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licitacoes\LICITAÇÕES 2018\LICITAÇÃO PUBLICA NACIONAL - LPN\BID\1368-17 - REFORMA E AMPLIAÇÃO DA SEDE ADMINISTRATIVA JURÉIA-ITATINS\Reforma e Ampliação - MUCJI\IMPRESSÃO SEDE JURÉIA\ORÇAMENTO\"/>
    </mc:Choice>
  </mc:AlternateContent>
  <bookViews>
    <workbookView xWindow="0" yWindow="0" windowWidth="19200" windowHeight="7170" activeTab="6"/>
  </bookViews>
  <sheets>
    <sheet name="DESEMBOLSO MENSAL" sheetId="29" r:id="rId1"/>
    <sheet name="PO-SEDE" sheetId="1" r:id="rId2"/>
    <sheet name="CRN-SEDE" sheetId="26" state="hidden" r:id="rId3"/>
    <sheet name="CPU" sheetId="2" r:id="rId4"/>
    <sheet name="BDI Obras" sheetId="5" r:id="rId5"/>
    <sheet name="COTAÇÕES" sheetId="12" r:id="rId6"/>
    <sheet name="CPU PRJ" sheetId="16" r:id="rId7"/>
    <sheet name="K1" sheetId="6" r:id="rId8"/>
    <sheet name="K2" sheetId="7" r:id="rId9"/>
    <sheet name="K3" sheetId="8" r:id="rId10"/>
    <sheet name="K4" sheetId="9" r:id="rId11"/>
    <sheet name="SERVIÇOS" sheetId="3" state="hidden" r:id="rId12"/>
    <sheet name="INSUMOS" sheetId="4" state="hidden" r:id="rId13"/>
    <sheet name="ÍNDICES" sheetId="15" state="hidden" r:id="rId14"/>
    <sheet name="DMT" sheetId="11" state="hidden" r:id="rId15"/>
    <sheet name="Plan1" sheetId="24" state="hidden" r:id="rId16"/>
    <sheet name="CRONOGRAMA $ GLOBAL" sheetId="27" state="hidden" r:id="rId17"/>
    <sheet name="CRONOGRAMA LICITAÇÃO" sheetId="28" state="hidden" r:id="rId18"/>
  </sheets>
  <definedNames>
    <definedName name="_xlnm._FilterDatabase" localSheetId="1" hidden="1">'PO-SEDE'!$A$9:$H$412</definedName>
    <definedName name="_xlnm._FilterDatabase" localSheetId="11" hidden="1">SERVIÇOS!$A$1:$F$4331</definedName>
    <definedName name="_xlnm.Print_Area" localSheetId="4">'BDI Obras'!$A$1:$E$53</definedName>
    <definedName name="_xlnm.Print_Area" localSheetId="5">COTAÇÕES!$A$1:$J$185</definedName>
    <definedName name="_xlnm.Print_Area" localSheetId="3">CPU!$A$1:$J$3210</definedName>
    <definedName name="_xlnm.Print_Area" localSheetId="6">'CPU PRJ'!$A$1:$I$49</definedName>
    <definedName name="_xlnm.Print_Area" localSheetId="2">'CRN-SEDE'!$A$1:$T$40</definedName>
    <definedName name="_xlnm.Print_Area" localSheetId="1">'PO-SEDE'!$A$1:$H$412</definedName>
    <definedName name="_xlnm.Print_Titles" localSheetId="5">COTAÇÕES!$1:$7</definedName>
    <definedName name="_xlnm.Print_Titles" localSheetId="3">CPU!$1:$7</definedName>
    <definedName name="_xlnm.Print_Titles" localSheetId="2">'CRN-SEDE'!$A:$G,'CRN-SEDE'!$1:$32</definedName>
    <definedName name="_xlnm.Print_Titles" localSheetId="1">'PO-SEDE'!$1:$10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29" l="1"/>
  <c r="L10" i="29"/>
  <c r="K10" i="29"/>
  <c r="J10" i="29"/>
  <c r="I10" i="29"/>
  <c r="H10" i="29"/>
  <c r="B32" i="29"/>
  <c r="B31" i="29"/>
  <c r="B30" i="29"/>
  <c r="B29" i="29"/>
  <c r="B28" i="29"/>
  <c r="B27" i="29"/>
  <c r="B26" i="29"/>
  <c r="B25" i="29"/>
  <c r="B24" i="29"/>
  <c r="B22" i="29"/>
  <c r="B21" i="29"/>
  <c r="B20" i="29"/>
  <c r="B19" i="29"/>
  <c r="B18" i="29"/>
  <c r="B17" i="29"/>
  <c r="B16" i="29"/>
  <c r="B15" i="29"/>
  <c r="B14" i="29"/>
  <c r="B13" i="29"/>
  <c r="B12" i="29"/>
  <c r="B11" i="29"/>
  <c r="B32" i="28"/>
  <c r="B31" i="28"/>
  <c r="B30" i="28"/>
  <c r="B29" i="28"/>
  <c r="B28" i="28"/>
  <c r="B27" i="28"/>
  <c r="B26" i="28"/>
  <c r="B25" i="28"/>
  <c r="B24" i="28"/>
  <c r="B22" i="28"/>
  <c r="B21" i="28"/>
  <c r="B20" i="28"/>
  <c r="B19" i="28"/>
  <c r="B18" i="28"/>
  <c r="B17" i="28"/>
  <c r="B16" i="28"/>
  <c r="B15" i="28"/>
  <c r="B14" i="28"/>
  <c r="B13" i="28"/>
  <c r="B12" i="28"/>
  <c r="B11" i="28"/>
  <c r="N34" i="27"/>
  <c r="B33" i="27"/>
  <c r="B32" i="27"/>
  <c r="B31" i="27"/>
  <c r="B30" i="27"/>
  <c r="B29" i="27"/>
  <c r="B28" i="27"/>
  <c r="B27" i="27"/>
  <c r="B26" i="27"/>
  <c r="B25" i="27"/>
  <c r="B22" i="27"/>
  <c r="B23" i="27"/>
  <c r="B21" i="27"/>
  <c r="B20" i="27"/>
  <c r="B19" i="27"/>
  <c r="B18" i="27"/>
  <c r="B17" i="27"/>
  <c r="B16" i="27"/>
  <c r="B15" i="27"/>
  <c r="B14" i="27"/>
  <c r="B13" i="27"/>
  <c r="B12" i="27"/>
  <c r="B45" i="27"/>
  <c r="B44" i="27"/>
  <c r="H38" i="1"/>
  <c r="H37" i="1"/>
  <c r="H43" i="1"/>
  <c r="H42" i="1"/>
  <c r="H41" i="1"/>
  <c r="H40" i="1"/>
  <c r="H39" i="1"/>
  <c r="H36" i="1" l="1"/>
  <c r="H35" i="1"/>
  <c r="H34" i="1"/>
  <c r="H32" i="1" l="1"/>
  <c r="F12" i="29" l="1"/>
  <c r="E13" i="27"/>
  <c r="F165" i="1"/>
  <c r="G12" i="29" l="1"/>
  <c r="H12" i="29" s="1"/>
  <c r="F134" i="12"/>
  <c r="F133" i="12"/>
  <c r="F132" i="12"/>
  <c r="H48" i="12" l="1"/>
  <c r="H45" i="12"/>
  <c r="H46" i="12"/>
  <c r="H39" i="12"/>
  <c r="H33" i="12"/>
  <c r="H32" i="12"/>
  <c r="H31" i="12"/>
  <c r="H30" i="12"/>
  <c r="F55" i="12"/>
  <c r="F54" i="12"/>
  <c r="F53" i="12"/>
  <c r="F52" i="12"/>
  <c r="D55" i="12"/>
  <c r="D54" i="12"/>
  <c r="D53" i="12"/>
  <c r="D52" i="12"/>
  <c r="D51" i="12"/>
  <c r="D50" i="12"/>
  <c r="D49" i="12"/>
  <c r="F182" i="12"/>
  <c r="H106" i="12" l="1"/>
  <c r="C4502" i="3" l="1"/>
  <c r="C4503" i="3"/>
  <c r="M3210" i="2"/>
  <c r="L3210" i="2"/>
  <c r="K3206" i="2"/>
  <c r="H3206" i="2" s="1"/>
  <c r="G3206" i="2"/>
  <c r="E3206" i="2"/>
  <c r="C3206" i="2"/>
  <c r="K3205" i="2"/>
  <c r="J3205" i="2" s="1"/>
  <c r="G3205" i="2"/>
  <c r="E3205" i="2"/>
  <c r="C3205" i="2"/>
  <c r="K3204" i="2"/>
  <c r="J3204" i="2" s="1"/>
  <c r="G3204" i="2"/>
  <c r="E3204" i="2"/>
  <c r="C3204" i="2"/>
  <c r="K3203" i="2"/>
  <c r="I3203" i="2" s="1"/>
  <c r="G3203" i="2"/>
  <c r="E3203" i="2"/>
  <c r="C3203" i="2"/>
  <c r="K3202" i="2"/>
  <c r="J3202" i="2" s="1"/>
  <c r="G3202" i="2"/>
  <c r="E3202" i="2"/>
  <c r="C3202" i="2"/>
  <c r="K3201" i="2"/>
  <c r="J3201" i="2" s="1"/>
  <c r="G3201" i="2"/>
  <c r="E3201" i="2"/>
  <c r="C3201" i="2"/>
  <c r="K3200" i="2"/>
  <c r="J3200" i="2" s="1"/>
  <c r="G3200" i="2"/>
  <c r="E3200" i="2"/>
  <c r="C3200" i="2"/>
  <c r="K3199" i="2"/>
  <c r="J3199" i="2" s="1"/>
  <c r="G3199" i="2"/>
  <c r="E3199" i="2"/>
  <c r="C3199" i="2"/>
  <c r="K3198" i="2"/>
  <c r="H3198" i="2" s="1"/>
  <c r="G3198" i="2"/>
  <c r="E3198" i="2"/>
  <c r="C3198" i="2"/>
  <c r="K3197" i="2"/>
  <c r="J3197" i="2" s="1"/>
  <c r="G3197" i="2"/>
  <c r="E3197" i="2"/>
  <c r="C3197" i="2"/>
  <c r="K3196" i="2"/>
  <c r="J3196" i="2" s="1"/>
  <c r="G3196" i="2"/>
  <c r="E3196" i="2"/>
  <c r="C3196" i="2"/>
  <c r="J3192" i="2"/>
  <c r="P3210" i="2" s="1"/>
  <c r="D3191" i="2"/>
  <c r="O3210" i="2" s="1"/>
  <c r="C183" i="12"/>
  <c r="B183" i="12"/>
  <c r="C182" i="12"/>
  <c r="B182" i="12"/>
  <c r="C255" i="4"/>
  <c r="M3190" i="2"/>
  <c r="L3190" i="2"/>
  <c r="K3186" i="2"/>
  <c r="I3186" i="2" s="1"/>
  <c r="G3186" i="2"/>
  <c r="E3186" i="2"/>
  <c r="C3186" i="2"/>
  <c r="K3185" i="2"/>
  <c r="H3185" i="2" s="1"/>
  <c r="G3185" i="2"/>
  <c r="E3185" i="2"/>
  <c r="C3185" i="2"/>
  <c r="K3184" i="2"/>
  <c r="J3184" i="2" s="1"/>
  <c r="G3184" i="2"/>
  <c r="E3184" i="2"/>
  <c r="C3184" i="2"/>
  <c r="K3183" i="2"/>
  <c r="J3183" i="2" s="1"/>
  <c r="G3183" i="2"/>
  <c r="E3183" i="2"/>
  <c r="C3183" i="2"/>
  <c r="K3182" i="2"/>
  <c r="J3182" i="2" s="1"/>
  <c r="G3182" i="2"/>
  <c r="E3182" i="2"/>
  <c r="C3182" i="2"/>
  <c r="K3181" i="2"/>
  <c r="I3181" i="2" s="1"/>
  <c r="G3181" i="2"/>
  <c r="E3181" i="2"/>
  <c r="C3181" i="2"/>
  <c r="K3180" i="2"/>
  <c r="J3180" i="2" s="1"/>
  <c r="G3180" i="2"/>
  <c r="E3180" i="2"/>
  <c r="C3180" i="2"/>
  <c r="K3179" i="2"/>
  <c r="J3179" i="2" s="1"/>
  <c r="G3179" i="2"/>
  <c r="E3179" i="2"/>
  <c r="C3179" i="2"/>
  <c r="K3178" i="2"/>
  <c r="G3178" i="2"/>
  <c r="E3178" i="2"/>
  <c r="C3178" i="2"/>
  <c r="K3177" i="2"/>
  <c r="H3177" i="2" s="1"/>
  <c r="G3177" i="2"/>
  <c r="E3177" i="2"/>
  <c r="C3177" i="2"/>
  <c r="K3176" i="2"/>
  <c r="J3176" i="2" s="1"/>
  <c r="G3176" i="2"/>
  <c r="E3176" i="2"/>
  <c r="C3176" i="2"/>
  <c r="J3172" i="2"/>
  <c r="P3190" i="2" s="1"/>
  <c r="D3171" i="2"/>
  <c r="O3190" i="2" s="1"/>
  <c r="M3170" i="2"/>
  <c r="L3170" i="2"/>
  <c r="N3170" i="2" s="1"/>
  <c r="K3166" i="2"/>
  <c r="J3166" i="2" s="1"/>
  <c r="G3166" i="2"/>
  <c r="E3166" i="2"/>
  <c r="C3166" i="2"/>
  <c r="K3165" i="2"/>
  <c r="J3165" i="2" s="1"/>
  <c r="G3165" i="2"/>
  <c r="E3165" i="2"/>
  <c r="C3165" i="2"/>
  <c r="K3164" i="2"/>
  <c r="J3164" i="2" s="1"/>
  <c r="G3164" i="2"/>
  <c r="E3164" i="2"/>
  <c r="C3164" i="2"/>
  <c r="K3163" i="2"/>
  <c r="I3163" i="2" s="1"/>
  <c r="G3163" i="2"/>
  <c r="E3163" i="2"/>
  <c r="C3163" i="2"/>
  <c r="J3152" i="2"/>
  <c r="P3170" i="2" s="1"/>
  <c r="D3151" i="2"/>
  <c r="O3170" i="2" s="1"/>
  <c r="C4501" i="3"/>
  <c r="H3205" i="2" l="1"/>
  <c r="H3196" i="2"/>
  <c r="H3204" i="2"/>
  <c r="H3197" i="2"/>
  <c r="N3210" i="2"/>
  <c r="H3201" i="2"/>
  <c r="I3198" i="2"/>
  <c r="J3203" i="2"/>
  <c r="I3206" i="2"/>
  <c r="J3198" i="2"/>
  <c r="J3206" i="2"/>
  <c r="I3197" i="2"/>
  <c r="I3202" i="2"/>
  <c r="I3205" i="2"/>
  <c r="I3196" i="2"/>
  <c r="H3203" i="2"/>
  <c r="I3204" i="2"/>
  <c r="H3202" i="2"/>
  <c r="H3200" i="2"/>
  <c r="I3201" i="2"/>
  <c r="H3199" i="2"/>
  <c r="I3200" i="2"/>
  <c r="I3199" i="2"/>
  <c r="J3177" i="2"/>
  <c r="H3176" i="2"/>
  <c r="I3178" i="2"/>
  <c r="I3177" i="2"/>
  <c r="H3184" i="2"/>
  <c r="I3176" i="2"/>
  <c r="J3181" i="2"/>
  <c r="J3186" i="2"/>
  <c r="I3185" i="2"/>
  <c r="N3190" i="2"/>
  <c r="J3178" i="2"/>
  <c r="J3185" i="2"/>
  <c r="H3183" i="2"/>
  <c r="I3184" i="2"/>
  <c r="H3182" i="2"/>
  <c r="I3183" i="2"/>
  <c r="H3181" i="2"/>
  <c r="I3182" i="2"/>
  <c r="H3180" i="2"/>
  <c r="H3179" i="2"/>
  <c r="I3180" i="2"/>
  <c r="H3178" i="2"/>
  <c r="I3179" i="2"/>
  <c r="H3186" i="2"/>
  <c r="H3166" i="2"/>
  <c r="J3163" i="2"/>
  <c r="I3166" i="2"/>
  <c r="H3165" i="2"/>
  <c r="I3165" i="2"/>
  <c r="H3164" i="2"/>
  <c r="H3163" i="2"/>
  <c r="I3164" i="2"/>
  <c r="C165" i="4"/>
  <c r="C164" i="4"/>
  <c r="C163" i="4"/>
  <c r="M180" i="2"/>
  <c r="L180" i="2"/>
  <c r="J156" i="2"/>
  <c r="P180" i="2" s="1"/>
  <c r="D155" i="2"/>
  <c r="O180" i="2" s="1"/>
  <c r="C4346" i="3"/>
  <c r="C4345" i="3"/>
  <c r="M133" i="2"/>
  <c r="L133" i="2"/>
  <c r="K129" i="2"/>
  <c r="H129" i="2" s="1"/>
  <c r="G129" i="2"/>
  <c r="E129" i="2"/>
  <c r="C129" i="2"/>
  <c r="K128" i="2"/>
  <c r="H128" i="2" s="1"/>
  <c r="G128" i="2"/>
  <c r="E128" i="2"/>
  <c r="C128" i="2"/>
  <c r="K127" i="2"/>
  <c r="I127" i="2" s="1"/>
  <c r="G127" i="2"/>
  <c r="E127" i="2"/>
  <c r="C127" i="2"/>
  <c r="K126" i="2"/>
  <c r="J126" i="2" s="1"/>
  <c r="G126" i="2"/>
  <c r="E126" i="2"/>
  <c r="C126" i="2"/>
  <c r="K125" i="2"/>
  <c r="J125" i="2" s="1"/>
  <c r="G125" i="2"/>
  <c r="E125" i="2"/>
  <c r="C125" i="2"/>
  <c r="K124" i="2"/>
  <c r="J124" i="2" s="1"/>
  <c r="G124" i="2"/>
  <c r="E124" i="2"/>
  <c r="C124" i="2"/>
  <c r="K123" i="2"/>
  <c r="J123" i="2" s="1"/>
  <c r="G123" i="2"/>
  <c r="E123" i="2"/>
  <c r="C123" i="2"/>
  <c r="K122" i="2"/>
  <c r="J122" i="2" s="1"/>
  <c r="G122" i="2"/>
  <c r="E122" i="2"/>
  <c r="C122" i="2"/>
  <c r="K121" i="2"/>
  <c r="H121" i="2" s="1"/>
  <c r="G121" i="2"/>
  <c r="E121" i="2"/>
  <c r="C121" i="2"/>
  <c r="J114" i="2"/>
  <c r="P133" i="2" s="1"/>
  <c r="D113" i="2"/>
  <c r="O133" i="2" s="1"/>
  <c r="M49" i="2"/>
  <c r="L49" i="2"/>
  <c r="K45" i="2"/>
  <c r="I45" i="2" s="1"/>
  <c r="G45" i="2"/>
  <c r="E45" i="2"/>
  <c r="C45" i="2"/>
  <c r="K44" i="2"/>
  <c r="H44" i="2" s="1"/>
  <c r="G44" i="2"/>
  <c r="E44" i="2"/>
  <c r="C44" i="2"/>
  <c r="K43" i="2"/>
  <c r="H43" i="2" s="1"/>
  <c r="G43" i="2"/>
  <c r="E43" i="2"/>
  <c r="C43" i="2"/>
  <c r="K42" i="2"/>
  <c r="J42" i="2" s="1"/>
  <c r="G42" i="2"/>
  <c r="E42" i="2"/>
  <c r="C42" i="2"/>
  <c r="K41" i="2"/>
  <c r="J41" i="2" s="1"/>
  <c r="G41" i="2"/>
  <c r="E41" i="2"/>
  <c r="C41" i="2"/>
  <c r="K40" i="2"/>
  <c r="J40" i="2" s="1"/>
  <c r="G40" i="2"/>
  <c r="E40" i="2"/>
  <c r="C40" i="2"/>
  <c r="K39" i="2"/>
  <c r="H39" i="2" s="1"/>
  <c r="G39" i="2"/>
  <c r="E39" i="2"/>
  <c r="C39" i="2"/>
  <c r="K38" i="2"/>
  <c r="J38" i="2" s="1"/>
  <c r="G38" i="2"/>
  <c r="E38" i="2"/>
  <c r="C38" i="2"/>
  <c r="K37" i="2"/>
  <c r="I37" i="2" s="1"/>
  <c r="G37" i="2"/>
  <c r="E37" i="2"/>
  <c r="C37" i="2"/>
  <c r="J30" i="2"/>
  <c r="P49" i="2" s="1"/>
  <c r="D29" i="2"/>
  <c r="O49" i="2" s="1"/>
  <c r="M70" i="2"/>
  <c r="L70" i="2"/>
  <c r="K66" i="2"/>
  <c r="I66" i="2" s="1"/>
  <c r="G66" i="2"/>
  <c r="E66" i="2"/>
  <c r="C66" i="2"/>
  <c r="K65" i="2"/>
  <c r="H65" i="2" s="1"/>
  <c r="G65" i="2"/>
  <c r="E65" i="2"/>
  <c r="C65" i="2"/>
  <c r="K64" i="2"/>
  <c r="J64" i="2" s="1"/>
  <c r="G64" i="2"/>
  <c r="E64" i="2"/>
  <c r="C64" i="2"/>
  <c r="K63" i="2"/>
  <c r="I63" i="2" s="1"/>
  <c r="G63" i="2"/>
  <c r="E63" i="2"/>
  <c r="C63" i="2"/>
  <c r="K62" i="2"/>
  <c r="J62" i="2" s="1"/>
  <c r="G62" i="2"/>
  <c r="E62" i="2"/>
  <c r="C62" i="2"/>
  <c r="K61" i="2"/>
  <c r="I61" i="2" s="1"/>
  <c r="G61" i="2"/>
  <c r="E61" i="2"/>
  <c r="C61" i="2"/>
  <c r="K60" i="2"/>
  <c r="H60" i="2" s="1"/>
  <c r="G60" i="2"/>
  <c r="E60" i="2"/>
  <c r="C60" i="2"/>
  <c r="K59" i="2"/>
  <c r="J59" i="2" s="1"/>
  <c r="G59" i="2"/>
  <c r="E59" i="2"/>
  <c r="C59" i="2"/>
  <c r="K58" i="2"/>
  <c r="I58" i="2" s="1"/>
  <c r="G58" i="2"/>
  <c r="E58" i="2"/>
  <c r="C58" i="2"/>
  <c r="J51" i="2"/>
  <c r="P70" i="2" s="1"/>
  <c r="D50" i="2"/>
  <c r="O70" i="2" s="1"/>
  <c r="M91" i="2"/>
  <c r="L91" i="2"/>
  <c r="K87" i="2"/>
  <c r="I87" i="2" s="1"/>
  <c r="G87" i="2"/>
  <c r="E87" i="2"/>
  <c r="C87" i="2"/>
  <c r="K86" i="2"/>
  <c r="H86" i="2" s="1"/>
  <c r="G86" i="2"/>
  <c r="E86" i="2"/>
  <c r="C86" i="2"/>
  <c r="K85" i="2"/>
  <c r="J85" i="2" s="1"/>
  <c r="G85" i="2"/>
  <c r="E85" i="2"/>
  <c r="C85" i="2"/>
  <c r="K84" i="2"/>
  <c r="J84" i="2" s="1"/>
  <c r="G84" i="2"/>
  <c r="E84" i="2"/>
  <c r="C84" i="2"/>
  <c r="K83" i="2"/>
  <c r="J83" i="2" s="1"/>
  <c r="G83" i="2"/>
  <c r="E83" i="2"/>
  <c r="C83" i="2"/>
  <c r="K82" i="2"/>
  <c r="I82" i="2" s="1"/>
  <c r="G82" i="2"/>
  <c r="E82" i="2"/>
  <c r="C82" i="2"/>
  <c r="K81" i="2"/>
  <c r="J81" i="2" s="1"/>
  <c r="G81" i="2"/>
  <c r="E81" i="2"/>
  <c r="C81" i="2"/>
  <c r="K80" i="2"/>
  <c r="J80" i="2" s="1"/>
  <c r="G80" i="2"/>
  <c r="E80" i="2"/>
  <c r="C80" i="2"/>
  <c r="K79" i="2"/>
  <c r="I79" i="2" s="1"/>
  <c r="G79" i="2"/>
  <c r="E79" i="2"/>
  <c r="C79" i="2"/>
  <c r="J72" i="2"/>
  <c r="P91" i="2" s="1"/>
  <c r="D71" i="2"/>
  <c r="O91" i="2" s="1"/>
  <c r="C4344" i="3"/>
  <c r="C4340" i="3"/>
  <c r="C4341" i="3"/>
  <c r="C4342" i="3"/>
  <c r="N49" i="2" l="1"/>
  <c r="N133" i="2"/>
  <c r="N180" i="2"/>
  <c r="I39" i="2"/>
  <c r="H127" i="2"/>
  <c r="J127" i="2"/>
  <c r="I126" i="2"/>
  <c r="I129" i="2"/>
  <c r="I121" i="2"/>
  <c r="J129" i="2"/>
  <c r="J121" i="2"/>
  <c r="H125" i="2"/>
  <c r="I128" i="2"/>
  <c r="I62" i="2"/>
  <c r="H126" i="2"/>
  <c r="J128" i="2"/>
  <c r="H124" i="2"/>
  <c r="I125" i="2"/>
  <c r="H64" i="2"/>
  <c r="I42" i="2"/>
  <c r="H123" i="2"/>
  <c r="I124" i="2"/>
  <c r="J37" i="2"/>
  <c r="I44" i="2"/>
  <c r="H122" i="2"/>
  <c r="I123" i="2"/>
  <c r="I122" i="2"/>
  <c r="J39" i="2"/>
  <c r="I43" i="2"/>
  <c r="H42" i="2"/>
  <c r="J43" i="2"/>
  <c r="I60" i="2"/>
  <c r="H41" i="2"/>
  <c r="J45" i="2"/>
  <c r="J44" i="2"/>
  <c r="J66" i="2"/>
  <c r="J63" i="2"/>
  <c r="H40" i="2"/>
  <c r="I41" i="2"/>
  <c r="I40" i="2"/>
  <c r="H38" i="2"/>
  <c r="H37" i="2"/>
  <c r="I38" i="2"/>
  <c r="H45" i="2"/>
  <c r="H58" i="2"/>
  <c r="H61" i="2"/>
  <c r="J58" i="2"/>
  <c r="J61" i="2"/>
  <c r="J60" i="2"/>
  <c r="N70" i="2"/>
  <c r="I65" i="2"/>
  <c r="I81" i="2"/>
  <c r="H63" i="2"/>
  <c r="I64" i="2"/>
  <c r="J65" i="2"/>
  <c r="H62" i="2"/>
  <c r="H59" i="2"/>
  <c r="I59" i="2"/>
  <c r="H66" i="2"/>
  <c r="H85" i="2"/>
  <c r="J87" i="2"/>
  <c r="J82" i="2"/>
  <c r="N91" i="2"/>
  <c r="J79" i="2"/>
  <c r="I86" i="2"/>
  <c r="H84" i="2"/>
  <c r="I85" i="2"/>
  <c r="J86" i="2"/>
  <c r="H83" i="2"/>
  <c r="I84" i="2"/>
  <c r="H82" i="2"/>
  <c r="I83" i="2"/>
  <c r="H81" i="2"/>
  <c r="H80" i="2"/>
  <c r="H79" i="2"/>
  <c r="I80" i="2"/>
  <c r="H87" i="2"/>
  <c r="C4343" i="3" l="1"/>
  <c r="C162" i="4"/>
  <c r="C161" i="4"/>
  <c r="M154" i="2"/>
  <c r="L154" i="2"/>
  <c r="K150" i="2"/>
  <c r="I150" i="2" s="1"/>
  <c r="G150" i="2"/>
  <c r="E150" i="2"/>
  <c r="C150" i="2"/>
  <c r="K149" i="2"/>
  <c r="I149" i="2" s="1"/>
  <c r="G149" i="2"/>
  <c r="E149" i="2"/>
  <c r="C149" i="2"/>
  <c r="K148" i="2"/>
  <c r="J148" i="2" s="1"/>
  <c r="G148" i="2"/>
  <c r="E148" i="2"/>
  <c r="C148" i="2"/>
  <c r="K147" i="2"/>
  <c r="J147" i="2" s="1"/>
  <c r="G147" i="2"/>
  <c r="E147" i="2"/>
  <c r="C147" i="2"/>
  <c r="K146" i="2"/>
  <c r="I146" i="2" s="1"/>
  <c r="G146" i="2"/>
  <c r="E146" i="2"/>
  <c r="C146" i="2"/>
  <c r="K145" i="2"/>
  <c r="H145" i="2" s="1"/>
  <c r="G145" i="2"/>
  <c r="E145" i="2"/>
  <c r="C145" i="2"/>
  <c r="K144" i="2"/>
  <c r="J144" i="2" s="1"/>
  <c r="G144" i="2"/>
  <c r="E144" i="2"/>
  <c r="C144" i="2"/>
  <c r="J135" i="2"/>
  <c r="P154" i="2" s="1"/>
  <c r="D134" i="2"/>
  <c r="O154" i="2" s="1"/>
  <c r="C160" i="4"/>
  <c r="M112" i="2"/>
  <c r="L112" i="2"/>
  <c r="N112" i="2" s="1"/>
  <c r="K108" i="2"/>
  <c r="I108" i="2" s="1"/>
  <c r="G108" i="2"/>
  <c r="E108" i="2"/>
  <c r="C108" i="2"/>
  <c r="K107" i="2"/>
  <c r="H107" i="2" s="1"/>
  <c r="G107" i="2"/>
  <c r="E107" i="2"/>
  <c r="C107" i="2"/>
  <c r="K106" i="2"/>
  <c r="J106" i="2" s="1"/>
  <c r="G106" i="2"/>
  <c r="E106" i="2"/>
  <c r="C106" i="2"/>
  <c r="K105" i="2"/>
  <c r="J105" i="2" s="1"/>
  <c r="G105" i="2"/>
  <c r="E105" i="2"/>
  <c r="C105" i="2"/>
  <c r="K104" i="2"/>
  <c r="J104" i="2" s="1"/>
  <c r="G104" i="2"/>
  <c r="E104" i="2"/>
  <c r="C104" i="2"/>
  <c r="K103" i="2"/>
  <c r="J103" i="2" s="1"/>
  <c r="G103" i="2"/>
  <c r="E103" i="2"/>
  <c r="C103" i="2"/>
  <c r="K102" i="2"/>
  <c r="H102" i="2" s="1"/>
  <c r="G102" i="2"/>
  <c r="E102" i="2"/>
  <c r="C102" i="2"/>
  <c r="K101" i="2"/>
  <c r="J101" i="2" s="1"/>
  <c r="G101" i="2"/>
  <c r="E101" i="2"/>
  <c r="C101" i="2"/>
  <c r="K100" i="2"/>
  <c r="I100" i="2" s="1"/>
  <c r="G100" i="2"/>
  <c r="E100" i="2"/>
  <c r="C100" i="2"/>
  <c r="J93" i="2"/>
  <c r="P112" i="2" s="1"/>
  <c r="D92" i="2"/>
  <c r="O112" i="2" s="1"/>
  <c r="F201" i="1"/>
  <c r="F202" i="1"/>
  <c r="F200" i="1"/>
  <c r="F199" i="1"/>
  <c r="F198" i="1"/>
  <c r="F197" i="1"/>
  <c r="C133" i="4"/>
  <c r="M3150" i="2"/>
  <c r="L3150" i="2"/>
  <c r="K3146" i="2"/>
  <c r="I3146" i="2" s="1"/>
  <c r="G3146" i="2"/>
  <c r="E3146" i="2"/>
  <c r="C3146" i="2"/>
  <c r="K3145" i="2"/>
  <c r="H3145" i="2" s="1"/>
  <c r="G3145" i="2"/>
  <c r="E3145" i="2"/>
  <c r="C3145" i="2"/>
  <c r="K3144" i="2"/>
  <c r="J3144" i="2" s="1"/>
  <c r="G3144" i="2"/>
  <c r="E3144" i="2"/>
  <c r="C3144" i="2"/>
  <c r="K3143" i="2"/>
  <c r="J3143" i="2" s="1"/>
  <c r="G3143" i="2"/>
  <c r="E3143" i="2"/>
  <c r="C3143" i="2"/>
  <c r="K3142" i="2"/>
  <c r="I3142" i="2" s="1"/>
  <c r="G3142" i="2"/>
  <c r="E3142" i="2"/>
  <c r="C3142" i="2"/>
  <c r="K3141" i="2"/>
  <c r="J3141" i="2" s="1"/>
  <c r="G3141" i="2"/>
  <c r="E3141" i="2"/>
  <c r="C3141" i="2"/>
  <c r="K3140" i="2"/>
  <c r="J3140" i="2" s="1"/>
  <c r="G3140" i="2"/>
  <c r="E3140" i="2"/>
  <c r="C3140" i="2"/>
  <c r="K3139" i="2"/>
  <c r="J3139" i="2" s="1"/>
  <c r="G3139" i="2"/>
  <c r="E3139" i="2"/>
  <c r="C3139" i="2"/>
  <c r="J3132" i="2"/>
  <c r="P3150" i="2" s="1"/>
  <c r="D3131" i="2"/>
  <c r="O3150" i="2" s="1"/>
  <c r="C4500" i="3"/>
  <c r="I18" i="26"/>
  <c r="K18" i="26" s="1"/>
  <c r="M18" i="26" s="1"/>
  <c r="O18" i="26" s="1"/>
  <c r="I19" i="26"/>
  <c r="I20" i="26"/>
  <c r="I21" i="26"/>
  <c r="K21" i="26" s="1"/>
  <c r="M21" i="26" s="1"/>
  <c r="O21" i="26" s="1"/>
  <c r="I22" i="26"/>
  <c r="K22" i="26" s="1"/>
  <c r="M22" i="26" s="1"/>
  <c r="O22" i="26" s="1"/>
  <c r="Q22" i="26" s="1"/>
  <c r="I23" i="26"/>
  <c r="K23" i="26" s="1"/>
  <c r="M23" i="26" s="1"/>
  <c r="O23" i="26" s="1"/>
  <c r="I24" i="26"/>
  <c r="K24" i="26" s="1"/>
  <c r="M24" i="26" s="1"/>
  <c r="O24" i="26" s="1"/>
  <c r="Q24" i="26" s="1"/>
  <c r="I26" i="26"/>
  <c r="K26" i="26" s="1"/>
  <c r="M26" i="26" s="1"/>
  <c r="O26" i="26" s="1"/>
  <c r="I27" i="26"/>
  <c r="K27" i="26" s="1"/>
  <c r="M27" i="26" s="1"/>
  <c r="O27" i="26" s="1"/>
  <c r="Q27" i="26" s="1"/>
  <c r="B39" i="26"/>
  <c r="B38" i="26"/>
  <c r="F29" i="1"/>
  <c r="N154" i="2" l="1"/>
  <c r="J145" i="2"/>
  <c r="I145" i="2"/>
  <c r="I148" i="2"/>
  <c r="H144" i="2"/>
  <c r="H147" i="2"/>
  <c r="H149" i="2"/>
  <c r="J146" i="2"/>
  <c r="J149" i="2"/>
  <c r="H148" i="2"/>
  <c r="J150" i="2"/>
  <c r="H146" i="2"/>
  <c r="I147" i="2"/>
  <c r="I144" i="2"/>
  <c r="H150" i="2"/>
  <c r="H100" i="2"/>
  <c r="J100" i="2"/>
  <c r="H106" i="2"/>
  <c r="J102" i="2"/>
  <c r="J108" i="2"/>
  <c r="I107" i="2"/>
  <c r="I102" i="2"/>
  <c r="J107" i="2"/>
  <c r="H105" i="2"/>
  <c r="I106" i="2"/>
  <c r="H104" i="2"/>
  <c r="I105" i="2"/>
  <c r="H103" i="2"/>
  <c r="I104" i="2"/>
  <c r="I103" i="2"/>
  <c r="H101" i="2"/>
  <c r="I101" i="2"/>
  <c r="H108" i="2"/>
  <c r="N3150" i="2"/>
  <c r="H3140" i="2"/>
  <c r="I3141" i="2"/>
  <c r="I3145" i="2"/>
  <c r="I3140" i="2"/>
  <c r="H3146" i="2"/>
  <c r="J3146" i="2"/>
  <c r="J3142" i="2"/>
  <c r="J3145" i="2"/>
  <c r="H3144" i="2"/>
  <c r="I3144" i="2"/>
  <c r="H3143" i="2"/>
  <c r="H3142" i="2"/>
  <c r="I3143" i="2"/>
  <c r="H3141" i="2"/>
  <c r="H3139" i="2"/>
  <c r="I3139" i="2"/>
  <c r="C4499" i="3"/>
  <c r="M3130" i="2"/>
  <c r="L3130" i="2"/>
  <c r="K3126" i="2"/>
  <c r="I3126" i="2" s="1"/>
  <c r="G3126" i="2"/>
  <c r="E3126" i="2"/>
  <c r="C3126" i="2"/>
  <c r="K3125" i="2"/>
  <c r="H3125" i="2" s="1"/>
  <c r="G3125" i="2"/>
  <c r="E3125" i="2"/>
  <c r="C3125" i="2"/>
  <c r="K3124" i="2"/>
  <c r="I3124" i="2" s="1"/>
  <c r="G3124" i="2"/>
  <c r="E3124" i="2"/>
  <c r="C3124" i="2"/>
  <c r="K3123" i="2"/>
  <c r="J3123" i="2" s="1"/>
  <c r="G3123" i="2"/>
  <c r="E3123" i="2"/>
  <c r="C3123" i="2"/>
  <c r="K3122" i="2"/>
  <c r="I3122" i="2" s="1"/>
  <c r="G3122" i="2"/>
  <c r="E3122" i="2"/>
  <c r="C3122" i="2"/>
  <c r="K3121" i="2"/>
  <c r="J3121" i="2" s="1"/>
  <c r="G3121" i="2"/>
  <c r="E3121" i="2"/>
  <c r="C3121" i="2"/>
  <c r="K3120" i="2"/>
  <c r="J3120" i="2" s="1"/>
  <c r="G3120" i="2"/>
  <c r="E3120" i="2"/>
  <c r="C3120" i="2"/>
  <c r="K3119" i="2"/>
  <c r="J3119" i="2" s="1"/>
  <c r="G3119" i="2"/>
  <c r="E3119" i="2"/>
  <c r="C3119" i="2"/>
  <c r="K3118" i="2"/>
  <c r="J3118" i="2" s="1"/>
  <c r="G3118" i="2"/>
  <c r="E3118" i="2"/>
  <c r="C3118" i="2"/>
  <c r="K3117" i="2"/>
  <c r="H3117" i="2" s="1"/>
  <c r="G3117" i="2"/>
  <c r="E3117" i="2"/>
  <c r="C3117" i="2"/>
  <c r="K3116" i="2"/>
  <c r="I3116" i="2" s="1"/>
  <c r="G3116" i="2"/>
  <c r="E3116" i="2"/>
  <c r="C3116" i="2"/>
  <c r="J3112" i="2"/>
  <c r="P3130" i="2" s="1"/>
  <c r="D3111" i="2"/>
  <c r="O3130" i="2" s="1"/>
  <c r="D113" i="12"/>
  <c r="D114" i="12"/>
  <c r="C253" i="4"/>
  <c r="C114" i="12"/>
  <c r="B114" i="12"/>
  <c r="M1745" i="2"/>
  <c r="L1745" i="2"/>
  <c r="K1741" i="2"/>
  <c r="I1741" i="2" s="1"/>
  <c r="G1741" i="2"/>
  <c r="E1741" i="2"/>
  <c r="C1741" i="2"/>
  <c r="K1740" i="2"/>
  <c r="H1740" i="2" s="1"/>
  <c r="G1740" i="2"/>
  <c r="E1740" i="2"/>
  <c r="C1740" i="2"/>
  <c r="K1739" i="2"/>
  <c r="J1739" i="2" s="1"/>
  <c r="G1739" i="2"/>
  <c r="E1739" i="2"/>
  <c r="C1739" i="2"/>
  <c r="K1738" i="2"/>
  <c r="H1738" i="2" s="1"/>
  <c r="G1738" i="2"/>
  <c r="E1738" i="2"/>
  <c r="C1738" i="2"/>
  <c r="K1737" i="2"/>
  <c r="J1737" i="2" s="1"/>
  <c r="G1737" i="2"/>
  <c r="E1737" i="2"/>
  <c r="C1737" i="2"/>
  <c r="K1736" i="2"/>
  <c r="J1736" i="2" s="1"/>
  <c r="G1736" i="2"/>
  <c r="E1736" i="2"/>
  <c r="C1736" i="2"/>
  <c r="K1735" i="2"/>
  <c r="J1735" i="2" s="1"/>
  <c r="G1735" i="2"/>
  <c r="E1735" i="2"/>
  <c r="C1735" i="2"/>
  <c r="K1734" i="2"/>
  <c r="J1734" i="2" s="1"/>
  <c r="G1734" i="2"/>
  <c r="E1734" i="2"/>
  <c r="C1734" i="2"/>
  <c r="K1733" i="2"/>
  <c r="I1733" i="2" s="1"/>
  <c r="G1733" i="2"/>
  <c r="E1733" i="2"/>
  <c r="C1733" i="2"/>
  <c r="K1732" i="2"/>
  <c r="H1732" i="2" s="1"/>
  <c r="G1732" i="2"/>
  <c r="E1732" i="2"/>
  <c r="C1732" i="2"/>
  <c r="K1731" i="2"/>
  <c r="J1731" i="2" s="1"/>
  <c r="E1731" i="2"/>
  <c r="C1731" i="2"/>
  <c r="J1727" i="2"/>
  <c r="P1745" i="2" s="1"/>
  <c r="D1726" i="2"/>
  <c r="O1745" i="2" s="1"/>
  <c r="B173" i="12"/>
  <c r="H3116" i="2" l="1"/>
  <c r="H3124" i="2"/>
  <c r="I3117" i="2"/>
  <c r="J3116" i="2"/>
  <c r="J3124" i="2"/>
  <c r="H3118" i="2"/>
  <c r="I3118" i="2"/>
  <c r="I3123" i="2"/>
  <c r="J3126" i="2"/>
  <c r="H3122" i="2"/>
  <c r="N3130" i="2"/>
  <c r="J3122" i="2"/>
  <c r="I3125" i="2"/>
  <c r="J3117" i="2"/>
  <c r="H3123" i="2"/>
  <c r="J3125" i="2"/>
  <c r="H3121" i="2"/>
  <c r="H3120" i="2"/>
  <c r="I3121" i="2"/>
  <c r="H3119" i="2"/>
  <c r="I3120" i="2"/>
  <c r="I3119" i="2"/>
  <c r="H3126" i="2"/>
  <c r="I1732" i="2"/>
  <c r="J1733" i="2"/>
  <c r="J1732" i="2"/>
  <c r="H1739" i="2"/>
  <c r="I1738" i="2"/>
  <c r="J1738" i="2"/>
  <c r="I1739" i="2"/>
  <c r="H1737" i="2"/>
  <c r="H1736" i="2"/>
  <c r="I1737" i="2"/>
  <c r="J1741" i="2"/>
  <c r="I1736" i="2"/>
  <c r="H1735" i="2"/>
  <c r="I1740" i="2"/>
  <c r="N1745" i="2"/>
  <c r="I1735" i="2"/>
  <c r="J1740" i="2"/>
  <c r="H1731" i="2"/>
  <c r="H1734" i="2"/>
  <c r="H1733" i="2"/>
  <c r="I1734" i="2"/>
  <c r="H1741" i="2"/>
  <c r="H176" i="12"/>
  <c r="H175" i="12"/>
  <c r="H174" i="12"/>
  <c r="H173" i="12"/>
  <c r="B176" i="12" l="1"/>
  <c r="C176" i="12"/>
  <c r="M3110" i="2" l="1"/>
  <c r="L3110" i="2"/>
  <c r="K3106" i="2"/>
  <c r="I3106" i="2" s="1"/>
  <c r="G3106" i="2"/>
  <c r="E3106" i="2"/>
  <c r="C3106" i="2"/>
  <c r="K3105" i="2"/>
  <c r="H3105" i="2" s="1"/>
  <c r="G3105" i="2"/>
  <c r="E3105" i="2"/>
  <c r="C3105" i="2"/>
  <c r="K3104" i="2"/>
  <c r="J3104" i="2" s="1"/>
  <c r="G3104" i="2"/>
  <c r="E3104" i="2"/>
  <c r="C3104" i="2"/>
  <c r="K3103" i="2"/>
  <c r="I3103" i="2" s="1"/>
  <c r="G3103" i="2"/>
  <c r="E3103" i="2"/>
  <c r="C3103" i="2"/>
  <c r="K3102" i="2"/>
  <c r="J3102" i="2" s="1"/>
  <c r="G3102" i="2"/>
  <c r="E3102" i="2"/>
  <c r="C3102" i="2"/>
  <c r="K3101" i="2"/>
  <c r="J3101" i="2" s="1"/>
  <c r="G3101" i="2"/>
  <c r="E3101" i="2"/>
  <c r="C3101" i="2"/>
  <c r="K3100" i="2"/>
  <c r="I3100" i="2" s="1"/>
  <c r="G3100" i="2"/>
  <c r="E3100" i="2"/>
  <c r="C3100" i="2"/>
  <c r="K3099" i="2"/>
  <c r="J3099" i="2" s="1"/>
  <c r="G3099" i="2"/>
  <c r="E3099" i="2"/>
  <c r="C3099" i="2"/>
  <c r="K3098" i="2"/>
  <c r="I3098" i="2" s="1"/>
  <c r="G3098" i="2"/>
  <c r="E3098" i="2"/>
  <c r="C3098" i="2"/>
  <c r="K3097" i="2"/>
  <c r="H3097" i="2" s="1"/>
  <c r="G3097" i="2"/>
  <c r="E3097" i="2"/>
  <c r="C3097" i="2"/>
  <c r="K3096" i="2"/>
  <c r="J3096" i="2" s="1"/>
  <c r="G3096" i="2"/>
  <c r="E3096" i="2"/>
  <c r="C3096" i="2"/>
  <c r="K3095" i="2"/>
  <c r="I3095" i="2" s="1"/>
  <c r="G3095" i="2"/>
  <c r="E3095" i="2"/>
  <c r="C3095" i="2"/>
  <c r="J3091" i="2"/>
  <c r="P3110" i="2" s="1"/>
  <c r="D3090" i="2"/>
  <c r="O3110" i="2" s="1"/>
  <c r="M3089" i="2"/>
  <c r="L3089" i="2"/>
  <c r="K3085" i="2"/>
  <c r="I3085" i="2" s="1"/>
  <c r="G3085" i="2"/>
  <c r="E3085" i="2"/>
  <c r="C3085" i="2"/>
  <c r="K3084" i="2"/>
  <c r="H3084" i="2" s="1"/>
  <c r="G3084" i="2"/>
  <c r="E3084" i="2"/>
  <c r="C3084" i="2"/>
  <c r="K3083" i="2"/>
  <c r="H3083" i="2" s="1"/>
  <c r="G3083" i="2"/>
  <c r="E3083" i="2"/>
  <c r="C3083" i="2"/>
  <c r="K3082" i="2"/>
  <c r="H3082" i="2" s="1"/>
  <c r="G3082" i="2"/>
  <c r="E3082" i="2"/>
  <c r="C3082" i="2"/>
  <c r="K3081" i="2"/>
  <c r="J3081" i="2" s="1"/>
  <c r="G3081" i="2"/>
  <c r="E3081" i="2"/>
  <c r="C3081" i="2"/>
  <c r="K3080" i="2"/>
  <c r="I3080" i="2" s="1"/>
  <c r="G3080" i="2"/>
  <c r="E3080" i="2"/>
  <c r="C3080" i="2"/>
  <c r="K3079" i="2"/>
  <c r="J3079" i="2" s="1"/>
  <c r="G3079" i="2"/>
  <c r="E3079" i="2"/>
  <c r="C3079" i="2"/>
  <c r="K3078" i="2"/>
  <c r="J3078" i="2" s="1"/>
  <c r="G3078" i="2"/>
  <c r="E3078" i="2"/>
  <c r="C3078" i="2"/>
  <c r="K3077" i="2"/>
  <c r="I3077" i="2" s="1"/>
  <c r="G3077" i="2"/>
  <c r="E3077" i="2"/>
  <c r="C3077" i="2"/>
  <c r="K3076" i="2"/>
  <c r="H3076" i="2" s="1"/>
  <c r="G3076" i="2"/>
  <c r="E3076" i="2"/>
  <c r="C3076" i="2"/>
  <c r="K3075" i="2"/>
  <c r="H3075" i="2" s="1"/>
  <c r="G3075" i="2"/>
  <c r="E3075" i="2"/>
  <c r="C3075" i="2"/>
  <c r="K3074" i="2"/>
  <c r="J3074" i="2" s="1"/>
  <c r="G3074" i="2"/>
  <c r="E3074" i="2"/>
  <c r="C3074" i="2"/>
  <c r="J3070" i="2"/>
  <c r="P3089" i="2" s="1"/>
  <c r="D3069" i="2"/>
  <c r="O3089" i="2" s="1"/>
  <c r="M3068" i="2"/>
  <c r="L3068" i="2"/>
  <c r="K3064" i="2"/>
  <c r="I3064" i="2" s="1"/>
  <c r="G3064" i="2"/>
  <c r="E3064" i="2"/>
  <c r="C3064" i="2"/>
  <c r="K3063" i="2"/>
  <c r="H3063" i="2" s="1"/>
  <c r="G3063" i="2"/>
  <c r="E3063" i="2"/>
  <c r="C3063" i="2"/>
  <c r="K3062" i="2"/>
  <c r="J3062" i="2" s="1"/>
  <c r="G3062" i="2"/>
  <c r="E3062" i="2"/>
  <c r="C3062" i="2"/>
  <c r="K3061" i="2"/>
  <c r="J3061" i="2" s="1"/>
  <c r="G3061" i="2"/>
  <c r="E3061" i="2"/>
  <c r="C3061" i="2"/>
  <c r="K3060" i="2"/>
  <c r="J3060" i="2" s="1"/>
  <c r="G3060" i="2"/>
  <c r="E3060" i="2"/>
  <c r="C3060" i="2"/>
  <c r="K3059" i="2"/>
  <c r="I3059" i="2" s="1"/>
  <c r="G3059" i="2"/>
  <c r="E3059" i="2"/>
  <c r="C3059" i="2"/>
  <c r="K3058" i="2"/>
  <c r="I3058" i="2" s="1"/>
  <c r="G3058" i="2"/>
  <c r="E3058" i="2"/>
  <c r="C3058" i="2"/>
  <c r="K3057" i="2"/>
  <c r="J3057" i="2" s="1"/>
  <c r="G3057" i="2"/>
  <c r="E3057" i="2"/>
  <c r="C3057" i="2"/>
  <c r="K3056" i="2"/>
  <c r="I3056" i="2" s="1"/>
  <c r="G3056" i="2"/>
  <c r="E3056" i="2"/>
  <c r="C3056" i="2"/>
  <c r="K3055" i="2"/>
  <c r="H3055" i="2" s="1"/>
  <c r="G3055" i="2"/>
  <c r="E3055" i="2"/>
  <c r="C3055" i="2"/>
  <c r="K3054" i="2"/>
  <c r="J3054" i="2" s="1"/>
  <c r="G3054" i="2"/>
  <c r="E3054" i="2"/>
  <c r="C3054" i="2"/>
  <c r="K3053" i="2"/>
  <c r="J3053" i="2" s="1"/>
  <c r="G3053" i="2"/>
  <c r="E3053" i="2"/>
  <c r="C3053" i="2"/>
  <c r="J3049" i="2"/>
  <c r="P3068" i="2" s="1"/>
  <c r="D3048" i="2"/>
  <c r="O3068" i="2" s="1"/>
  <c r="M3047" i="2"/>
  <c r="L3047" i="2"/>
  <c r="K3043" i="2"/>
  <c r="I3043" i="2" s="1"/>
  <c r="G3043" i="2"/>
  <c r="E3043" i="2"/>
  <c r="C3043" i="2"/>
  <c r="K3042" i="2"/>
  <c r="H3042" i="2" s="1"/>
  <c r="G3042" i="2"/>
  <c r="E3042" i="2"/>
  <c r="C3042" i="2"/>
  <c r="K3041" i="2"/>
  <c r="I3041" i="2" s="1"/>
  <c r="G3041" i="2"/>
  <c r="E3041" i="2"/>
  <c r="C3041" i="2"/>
  <c r="K3040" i="2"/>
  <c r="H3040" i="2" s="1"/>
  <c r="G3040" i="2"/>
  <c r="E3040" i="2"/>
  <c r="C3040" i="2"/>
  <c r="K3039" i="2"/>
  <c r="J3039" i="2" s="1"/>
  <c r="G3039" i="2"/>
  <c r="E3039" i="2"/>
  <c r="C3039" i="2"/>
  <c r="K3038" i="2"/>
  <c r="J3038" i="2" s="1"/>
  <c r="G3038" i="2"/>
  <c r="E3038" i="2"/>
  <c r="C3038" i="2"/>
  <c r="K3037" i="2"/>
  <c r="J3037" i="2" s="1"/>
  <c r="G3037" i="2"/>
  <c r="E3037" i="2"/>
  <c r="C3037" i="2"/>
  <c r="K3036" i="2"/>
  <c r="J3036" i="2" s="1"/>
  <c r="G3036" i="2"/>
  <c r="E3036" i="2"/>
  <c r="C3036" i="2"/>
  <c r="K3035" i="2"/>
  <c r="I3035" i="2" s="1"/>
  <c r="G3035" i="2"/>
  <c r="E3035" i="2"/>
  <c r="C3035" i="2"/>
  <c r="K3034" i="2"/>
  <c r="H3034" i="2" s="1"/>
  <c r="G3034" i="2"/>
  <c r="E3034" i="2"/>
  <c r="C3034" i="2"/>
  <c r="K3033" i="2"/>
  <c r="I3033" i="2" s="1"/>
  <c r="G3033" i="2"/>
  <c r="E3033" i="2"/>
  <c r="C3033" i="2"/>
  <c r="K3032" i="2"/>
  <c r="J3032" i="2" s="1"/>
  <c r="G3032" i="2"/>
  <c r="E3032" i="2"/>
  <c r="C3032" i="2"/>
  <c r="J3028" i="2"/>
  <c r="P3047" i="2" s="1"/>
  <c r="D3027" i="2"/>
  <c r="O3047" i="2" s="1"/>
  <c r="C173" i="12"/>
  <c r="B174" i="12"/>
  <c r="C174" i="12"/>
  <c r="B175" i="12"/>
  <c r="C175" i="12"/>
  <c r="C4498" i="3"/>
  <c r="C4497" i="3"/>
  <c r="C4496" i="3"/>
  <c r="C4495" i="3"/>
  <c r="N3068" i="2" l="1"/>
  <c r="J3100" i="2"/>
  <c r="N3110" i="2"/>
  <c r="J3095" i="2"/>
  <c r="I3082" i="2"/>
  <c r="N3089" i="2"/>
  <c r="H3096" i="2"/>
  <c r="I3079" i="2"/>
  <c r="J3082" i="2"/>
  <c r="I3102" i="2"/>
  <c r="I3097" i="2"/>
  <c r="H3080" i="2"/>
  <c r="I3083" i="2"/>
  <c r="H3101" i="2"/>
  <c r="J3083" i="2"/>
  <c r="H3104" i="2"/>
  <c r="J3106" i="2"/>
  <c r="H3074" i="2"/>
  <c r="J3098" i="2"/>
  <c r="J3103" i="2"/>
  <c r="I3074" i="2"/>
  <c r="I3105" i="2"/>
  <c r="H3095" i="2"/>
  <c r="I3096" i="2"/>
  <c r="J3097" i="2"/>
  <c r="H3103" i="2"/>
  <c r="I3104" i="2"/>
  <c r="J3105" i="2"/>
  <c r="H3037" i="2"/>
  <c r="J3059" i="2"/>
  <c r="H3078" i="2"/>
  <c r="H3102" i="2"/>
  <c r="I3078" i="2"/>
  <c r="J3056" i="2"/>
  <c r="I3075" i="2"/>
  <c r="H3081" i="2"/>
  <c r="H3100" i="2"/>
  <c r="I3101" i="2"/>
  <c r="J3058" i="2"/>
  <c r="J3075" i="2"/>
  <c r="H3099" i="2"/>
  <c r="H3098" i="2"/>
  <c r="I3099" i="2"/>
  <c r="H3106" i="2"/>
  <c r="I3055" i="2"/>
  <c r="H3062" i="2"/>
  <c r="J3080" i="2"/>
  <c r="H3054" i="2"/>
  <c r="I3076" i="2"/>
  <c r="J3077" i="2"/>
  <c r="I3084" i="2"/>
  <c r="J3085" i="2"/>
  <c r="I3034" i="2"/>
  <c r="J3064" i="2"/>
  <c r="J3076" i="2"/>
  <c r="J3084" i="2"/>
  <c r="H3058" i="2"/>
  <c r="I3081" i="2"/>
  <c r="I3063" i="2"/>
  <c r="H3079" i="2"/>
  <c r="H3077" i="2"/>
  <c r="H3085" i="2"/>
  <c r="I3037" i="2"/>
  <c r="H3053" i="2"/>
  <c r="I3054" i="2"/>
  <c r="J3055" i="2"/>
  <c r="H3061" i="2"/>
  <c r="I3062" i="2"/>
  <c r="J3063" i="2"/>
  <c r="I3053" i="2"/>
  <c r="H3060" i="2"/>
  <c r="I3061" i="2"/>
  <c r="H3059" i="2"/>
  <c r="I3060" i="2"/>
  <c r="H3057" i="2"/>
  <c r="H3056" i="2"/>
  <c r="I3057" i="2"/>
  <c r="H3064" i="2"/>
  <c r="J3035" i="2"/>
  <c r="H3041" i="2"/>
  <c r="H3035" i="2"/>
  <c r="I3040" i="2"/>
  <c r="J3041" i="2"/>
  <c r="J3040" i="2"/>
  <c r="H3043" i="2"/>
  <c r="H3033" i="2"/>
  <c r="H3039" i="2"/>
  <c r="J3043" i="2"/>
  <c r="J3033" i="2"/>
  <c r="I3039" i="2"/>
  <c r="I3042" i="2"/>
  <c r="N3047" i="2"/>
  <c r="I3032" i="2"/>
  <c r="H3032" i="2"/>
  <c r="J3034" i="2"/>
  <c r="J3042" i="2"/>
  <c r="H3038" i="2"/>
  <c r="I3038" i="2"/>
  <c r="H3036" i="2"/>
  <c r="I3036" i="2"/>
  <c r="F141" i="12"/>
  <c r="C4506" i="3" l="1"/>
  <c r="C4507" i="3"/>
  <c r="C4508" i="3"/>
  <c r="C4505" i="3"/>
  <c r="C325" i="4"/>
  <c r="C324" i="4"/>
  <c r="C323" i="4"/>
  <c r="C322" i="4"/>
  <c r="C321" i="4"/>
  <c r="C320" i="4"/>
  <c r="C331" i="4"/>
  <c r="C330" i="4"/>
  <c r="C329" i="4"/>
  <c r="C328" i="4"/>
  <c r="C327" i="4"/>
  <c r="C326" i="4"/>
  <c r="M311" i="2"/>
  <c r="L311" i="2"/>
  <c r="J291" i="2"/>
  <c r="P311" i="2" s="1"/>
  <c r="D290" i="2"/>
  <c r="O311" i="2" s="1"/>
  <c r="O289" i="2"/>
  <c r="M289" i="2"/>
  <c r="L289" i="2"/>
  <c r="N289" i="2" l="1"/>
  <c r="N311" i="2"/>
  <c r="A24" i="1" l="1"/>
  <c r="F16" i="16"/>
  <c r="F15" i="16"/>
  <c r="A25" i="1" l="1"/>
  <c r="A26" i="1" s="1"/>
  <c r="A27" i="1" l="1"/>
  <c r="A28" i="1" l="1"/>
  <c r="C4356" i="3"/>
  <c r="C256" i="4"/>
  <c r="A29" i="1" l="1"/>
  <c r="F259" i="1"/>
  <c r="F257" i="1"/>
  <c r="F252" i="1"/>
  <c r="F224" i="1"/>
  <c r="F223" i="1"/>
  <c r="A30" i="1" l="1"/>
  <c r="F88" i="1" l="1"/>
  <c r="F83" i="1"/>
  <c r="F84" i="1"/>
  <c r="F85" i="1"/>
  <c r="C51" i="12" l="1"/>
  <c r="B51" i="12"/>
  <c r="C50" i="12"/>
  <c r="B50" i="12"/>
  <c r="C53" i="12"/>
  <c r="B53" i="12"/>
  <c r="C52" i="12"/>
  <c r="B52" i="12"/>
  <c r="C54" i="12"/>
  <c r="B54" i="12"/>
  <c r="C55" i="12"/>
  <c r="B55" i="12"/>
  <c r="M3026" i="2"/>
  <c r="L3026" i="2"/>
  <c r="K3022" i="2"/>
  <c r="I3022" i="2" s="1"/>
  <c r="G3022" i="2"/>
  <c r="E3022" i="2"/>
  <c r="C3022" i="2"/>
  <c r="K3021" i="2"/>
  <c r="H3021" i="2" s="1"/>
  <c r="G3021" i="2"/>
  <c r="E3021" i="2"/>
  <c r="C3021" i="2"/>
  <c r="K3020" i="2"/>
  <c r="J3020" i="2" s="1"/>
  <c r="G3020" i="2"/>
  <c r="E3020" i="2"/>
  <c r="C3020" i="2"/>
  <c r="K3019" i="2"/>
  <c r="I3019" i="2" s="1"/>
  <c r="G3019" i="2"/>
  <c r="E3019" i="2"/>
  <c r="C3019" i="2"/>
  <c r="K3018" i="2"/>
  <c r="J3018" i="2" s="1"/>
  <c r="G3018" i="2"/>
  <c r="E3018" i="2"/>
  <c r="C3018" i="2"/>
  <c r="K3017" i="2"/>
  <c r="I3017" i="2" s="1"/>
  <c r="G3017" i="2"/>
  <c r="E3017" i="2"/>
  <c r="C3017" i="2"/>
  <c r="K3016" i="2"/>
  <c r="H3016" i="2" s="1"/>
  <c r="G3016" i="2"/>
  <c r="E3016" i="2"/>
  <c r="C3016" i="2"/>
  <c r="K3015" i="2"/>
  <c r="J3015" i="2" s="1"/>
  <c r="G3015" i="2"/>
  <c r="E3015" i="2"/>
  <c r="C3015" i="2"/>
  <c r="K3014" i="2"/>
  <c r="I3014" i="2" s="1"/>
  <c r="G3014" i="2"/>
  <c r="E3014" i="2"/>
  <c r="C3014" i="2"/>
  <c r="K3013" i="2"/>
  <c r="H3013" i="2" s="1"/>
  <c r="G3013" i="2"/>
  <c r="E3013" i="2"/>
  <c r="C3013" i="2"/>
  <c r="K3012" i="2"/>
  <c r="J3012" i="2" s="1"/>
  <c r="G3012" i="2"/>
  <c r="E3012" i="2"/>
  <c r="C3012" i="2"/>
  <c r="K3011" i="2"/>
  <c r="I3011" i="2" s="1"/>
  <c r="G3011" i="2"/>
  <c r="E3011" i="2"/>
  <c r="C3011" i="2"/>
  <c r="J3007" i="2"/>
  <c r="P3026" i="2" s="1"/>
  <c r="D3006" i="2"/>
  <c r="O3026" i="2" s="1"/>
  <c r="M3005" i="2"/>
  <c r="L3005" i="2"/>
  <c r="K3001" i="2"/>
  <c r="H3001" i="2" s="1"/>
  <c r="G3001" i="2"/>
  <c r="E3001" i="2"/>
  <c r="C3001" i="2"/>
  <c r="K3000" i="2"/>
  <c r="J3000" i="2" s="1"/>
  <c r="G3000" i="2"/>
  <c r="E3000" i="2"/>
  <c r="C3000" i="2"/>
  <c r="K2999" i="2"/>
  <c r="I2999" i="2" s="1"/>
  <c r="G2999" i="2"/>
  <c r="E2999" i="2"/>
  <c r="C2999" i="2"/>
  <c r="K2998" i="2"/>
  <c r="J2998" i="2" s="1"/>
  <c r="G2998" i="2"/>
  <c r="E2998" i="2"/>
  <c r="C2998" i="2"/>
  <c r="K2997" i="2"/>
  <c r="J2997" i="2" s="1"/>
  <c r="G2997" i="2"/>
  <c r="E2997" i="2"/>
  <c r="C2997" i="2"/>
  <c r="K2996" i="2"/>
  <c r="I2996" i="2" s="1"/>
  <c r="G2996" i="2"/>
  <c r="E2996" i="2"/>
  <c r="C2996" i="2"/>
  <c r="K2995" i="2"/>
  <c r="J2995" i="2" s="1"/>
  <c r="G2995" i="2"/>
  <c r="E2995" i="2"/>
  <c r="C2995" i="2"/>
  <c r="K2994" i="2"/>
  <c r="J2994" i="2" s="1"/>
  <c r="G2994" i="2"/>
  <c r="E2994" i="2"/>
  <c r="C2994" i="2"/>
  <c r="K2993" i="2"/>
  <c r="H2993" i="2" s="1"/>
  <c r="G2993" i="2"/>
  <c r="E2993" i="2"/>
  <c r="C2993" i="2"/>
  <c r="K2992" i="2"/>
  <c r="J2992" i="2" s="1"/>
  <c r="G2992" i="2"/>
  <c r="E2992" i="2"/>
  <c r="C2992" i="2"/>
  <c r="K2991" i="2"/>
  <c r="I2991" i="2" s="1"/>
  <c r="G2991" i="2"/>
  <c r="E2991" i="2"/>
  <c r="C2991" i="2"/>
  <c r="K2990" i="2"/>
  <c r="J2990" i="2" s="1"/>
  <c r="G2990" i="2"/>
  <c r="E2990" i="2"/>
  <c r="C2990" i="2"/>
  <c r="J2986" i="2"/>
  <c r="P3005" i="2" s="1"/>
  <c r="D2985" i="2"/>
  <c r="O3005" i="2" s="1"/>
  <c r="M2984" i="2"/>
  <c r="L2984" i="2"/>
  <c r="K2980" i="2"/>
  <c r="I2980" i="2" s="1"/>
  <c r="G2980" i="2"/>
  <c r="E2980" i="2"/>
  <c r="C2980" i="2"/>
  <c r="K2979" i="2"/>
  <c r="H2979" i="2" s="1"/>
  <c r="G2979" i="2"/>
  <c r="E2979" i="2"/>
  <c r="C2979" i="2"/>
  <c r="K2978" i="2"/>
  <c r="I2978" i="2" s="1"/>
  <c r="G2978" i="2"/>
  <c r="E2978" i="2"/>
  <c r="C2978" i="2"/>
  <c r="K2977" i="2"/>
  <c r="J2977" i="2" s="1"/>
  <c r="G2977" i="2"/>
  <c r="E2977" i="2"/>
  <c r="C2977" i="2"/>
  <c r="K2976" i="2"/>
  <c r="J2976" i="2" s="1"/>
  <c r="G2976" i="2"/>
  <c r="E2976" i="2"/>
  <c r="C2976" i="2"/>
  <c r="K2975" i="2"/>
  <c r="J2975" i="2" s="1"/>
  <c r="G2975" i="2"/>
  <c r="E2975" i="2"/>
  <c r="C2975" i="2"/>
  <c r="K2974" i="2"/>
  <c r="J2974" i="2" s="1"/>
  <c r="G2974" i="2"/>
  <c r="E2974" i="2"/>
  <c r="C2974" i="2"/>
  <c r="K2973" i="2"/>
  <c r="J2973" i="2" s="1"/>
  <c r="G2973" i="2"/>
  <c r="E2973" i="2"/>
  <c r="C2973" i="2"/>
  <c r="K2972" i="2"/>
  <c r="I2972" i="2" s="1"/>
  <c r="G2972" i="2"/>
  <c r="E2972" i="2"/>
  <c r="C2972" i="2"/>
  <c r="K2971" i="2"/>
  <c r="H2971" i="2" s="1"/>
  <c r="G2971" i="2"/>
  <c r="E2971" i="2"/>
  <c r="C2971" i="2"/>
  <c r="K2970" i="2"/>
  <c r="I2970" i="2" s="1"/>
  <c r="G2970" i="2"/>
  <c r="E2970" i="2"/>
  <c r="C2970" i="2"/>
  <c r="K2969" i="2"/>
  <c r="J2969" i="2" s="1"/>
  <c r="G2969" i="2"/>
  <c r="E2969" i="2"/>
  <c r="C2969" i="2"/>
  <c r="J2965" i="2"/>
  <c r="P2984" i="2" s="1"/>
  <c r="D2964" i="2"/>
  <c r="O2984" i="2" s="1"/>
  <c r="M2963" i="2"/>
  <c r="L2963" i="2"/>
  <c r="K2959" i="2"/>
  <c r="I2959" i="2" s="1"/>
  <c r="G2959" i="2"/>
  <c r="E2959" i="2"/>
  <c r="C2959" i="2"/>
  <c r="K2958" i="2"/>
  <c r="H2958" i="2" s="1"/>
  <c r="G2958" i="2"/>
  <c r="E2958" i="2"/>
  <c r="C2958" i="2"/>
  <c r="K2957" i="2"/>
  <c r="J2957" i="2" s="1"/>
  <c r="G2957" i="2"/>
  <c r="E2957" i="2"/>
  <c r="C2957" i="2"/>
  <c r="K2956" i="2"/>
  <c r="J2956" i="2" s="1"/>
  <c r="G2956" i="2"/>
  <c r="E2956" i="2"/>
  <c r="C2956" i="2"/>
  <c r="K2955" i="2"/>
  <c r="I2955" i="2" s="1"/>
  <c r="G2955" i="2"/>
  <c r="E2955" i="2"/>
  <c r="C2955" i="2"/>
  <c r="K2954" i="2"/>
  <c r="J2954" i="2" s="1"/>
  <c r="G2954" i="2"/>
  <c r="E2954" i="2"/>
  <c r="C2954" i="2"/>
  <c r="K2953" i="2"/>
  <c r="J2953" i="2" s="1"/>
  <c r="G2953" i="2"/>
  <c r="E2953" i="2"/>
  <c r="C2953" i="2"/>
  <c r="K2952" i="2"/>
  <c r="J2952" i="2" s="1"/>
  <c r="G2952" i="2"/>
  <c r="E2952" i="2"/>
  <c r="C2952" i="2"/>
  <c r="K2951" i="2"/>
  <c r="I2951" i="2" s="1"/>
  <c r="G2951" i="2"/>
  <c r="E2951" i="2"/>
  <c r="C2951" i="2"/>
  <c r="K2950" i="2"/>
  <c r="H2950" i="2" s="1"/>
  <c r="G2950" i="2"/>
  <c r="E2950" i="2"/>
  <c r="C2950" i="2"/>
  <c r="K2949" i="2"/>
  <c r="J2949" i="2" s="1"/>
  <c r="G2949" i="2"/>
  <c r="E2949" i="2"/>
  <c r="C2949" i="2"/>
  <c r="K2948" i="2"/>
  <c r="J2948" i="2" s="1"/>
  <c r="G2948" i="2"/>
  <c r="E2948" i="2"/>
  <c r="C2948" i="2"/>
  <c r="J2944" i="2"/>
  <c r="P2963" i="2" s="1"/>
  <c r="D2943" i="2"/>
  <c r="O2963" i="2" s="1"/>
  <c r="M2942" i="2"/>
  <c r="L2942" i="2"/>
  <c r="K2938" i="2"/>
  <c r="I2938" i="2" s="1"/>
  <c r="G2938" i="2"/>
  <c r="E2938" i="2"/>
  <c r="C2938" i="2"/>
  <c r="K2937" i="2"/>
  <c r="H2937" i="2" s="1"/>
  <c r="G2937" i="2"/>
  <c r="E2937" i="2"/>
  <c r="C2937" i="2"/>
  <c r="K2936" i="2"/>
  <c r="I2936" i="2" s="1"/>
  <c r="G2936" i="2"/>
  <c r="E2936" i="2"/>
  <c r="C2936" i="2"/>
  <c r="K2935" i="2"/>
  <c r="J2935" i="2" s="1"/>
  <c r="G2935" i="2"/>
  <c r="E2935" i="2"/>
  <c r="C2935" i="2"/>
  <c r="K2934" i="2"/>
  <c r="J2934" i="2" s="1"/>
  <c r="G2934" i="2"/>
  <c r="E2934" i="2"/>
  <c r="C2934" i="2"/>
  <c r="K2933" i="2"/>
  <c r="J2933" i="2" s="1"/>
  <c r="G2933" i="2"/>
  <c r="E2933" i="2"/>
  <c r="C2933" i="2"/>
  <c r="K2932" i="2"/>
  <c r="J2932" i="2" s="1"/>
  <c r="G2932" i="2"/>
  <c r="E2932" i="2"/>
  <c r="C2932" i="2"/>
  <c r="K2931" i="2"/>
  <c r="J2931" i="2" s="1"/>
  <c r="G2931" i="2"/>
  <c r="E2931" i="2"/>
  <c r="C2931" i="2"/>
  <c r="K2930" i="2"/>
  <c r="I2930" i="2" s="1"/>
  <c r="G2930" i="2"/>
  <c r="E2930" i="2"/>
  <c r="C2930" i="2"/>
  <c r="K2929" i="2"/>
  <c r="H2929" i="2" s="1"/>
  <c r="G2929" i="2"/>
  <c r="E2929" i="2"/>
  <c r="C2929" i="2"/>
  <c r="K2928" i="2"/>
  <c r="I2928" i="2" s="1"/>
  <c r="G2928" i="2"/>
  <c r="E2928" i="2"/>
  <c r="C2928" i="2"/>
  <c r="K2927" i="2"/>
  <c r="J2927" i="2" s="1"/>
  <c r="G2927" i="2"/>
  <c r="E2927" i="2"/>
  <c r="C2927" i="2"/>
  <c r="J2923" i="2"/>
  <c r="P2942" i="2" s="1"/>
  <c r="D2922" i="2"/>
  <c r="O2942" i="2" s="1"/>
  <c r="M2921" i="2"/>
  <c r="L2921" i="2"/>
  <c r="K2917" i="2"/>
  <c r="I2917" i="2" s="1"/>
  <c r="G2917" i="2"/>
  <c r="E2917" i="2"/>
  <c r="C2917" i="2"/>
  <c r="K2916" i="2"/>
  <c r="J2916" i="2" s="1"/>
  <c r="G2916" i="2"/>
  <c r="E2916" i="2"/>
  <c r="C2916" i="2"/>
  <c r="K2915" i="2"/>
  <c r="J2915" i="2" s="1"/>
  <c r="G2915" i="2"/>
  <c r="E2915" i="2"/>
  <c r="C2915" i="2"/>
  <c r="K2914" i="2"/>
  <c r="J2914" i="2" s="1"/>
  <c r="G2914" i="2"/>
  <c r="E2914" i="2"/>
  <c r="C2914" i="2"/>
  <c r="K2913" i="2"/>
  <c r="I2913" i="2" s="1"/>
  <c r="G2913" i="2"/>
  <c r="E2913" i="2"/>
  <c r="C2913" i="2"/>
  <c r="K2912" i="2"/>
  <c r="H2912" i="2" s="1"/>
  <c r="G2912" i="2"/>
  <c r="E2912" i="2"/>
  <c r="C2912" i="2"/>
  <c r="K2911" i="2"/>
  <c r="J2911" i="2" s="1"/>
  <c r="G2911" i="2"/>
  <c r="E2911" i="2"/>
  <c r="C2911" i="2"/>
  <c r="K2910" i="2"/>
  <c r="J2910" i="2" s="1"/>
  <c r="G2910" i="2"/>
  <c r="E2910" i="2"/>
  <c r="C2910" i="2"/>
  <c r="K2909" i="2"/>
  <c r="I2909" i="2" s="1"/>
  <c r="G2909" i="2"/>
  <c r="E2909" i="2"/>
  <c r="C2909" i="2"/>
  <c r="K2908" i="2"/>
  <c r="J2908" i="2" s="1"/>
  <c r="G2908" i="2"/>
  <c r="E2908" i="2"/>
  <c r="C2908" i="2"/>
  <c r="K2907" i="2"/>
  <c r="J2907" i="2" s="1"/>
  <c r="G2907" i="2"/>
  <c r="E2907" i="2"/>
  <c r="C2907" i="2"/>
  <c r="K2906" i="2"/>
  <c r="J2906" i="2" s="1"/>
  <c r="G2906" i="2"/>
  <c r="E2906" i="2"/>
  <c r="C2906" i="2"/>
  <c r="J2902" i="2"/>
  <c r="P2921" i="2" s="1"/>
  <c r="D2901" i="2"/>
  <c r="O2921" i="2" s="1"/>
  <c r="M2900" i="2"/>
  <c r="L2900" i="2"/>
  <c r="K2896" i="2"/>
  <c r="I2896" i="2" s="1"/>
  <c r="G2896" i="2"/>
  <c r="E2896" i="2"/>
  <c r="C2896" i="2"/>
  <c r="K2895" i="2"/>
  <c r="H2895" i="2" s="1"/>
  <c r="G2895" i="2"/>
  <c r="E2895" i="2"/>
  <c r="C2895" i="2"/>
  <c r="K2894" i="2"/>
  <c r="J2894" i="2" s="1"/>
  <c r="G2894" i="2"/>
  <c r="E2894" i="2"/>
  <c r="C2894" i="2"/>
  <c r="K2893" i="2"/>
  <c r="J2893" i="2" s="1"/>
  <c r="G2893" i="2"/>
  <c r="E2893" i="2"/>
  <c r="C2893" i="2"/>
  <c r="K2892" i="2"/>
  <c r="I2892" i="2" s="1"/>
  <c r="G2892" i="2"/>
  <c r="E2892" i="2"/>
  <c r="C2892" i="2"/>
  <c r="K2891" i="2"/>
  <c r="J2891" i="2" s="1"/>
  <c r="G2891" i="2"/>
  <c r="E2891" i="2"/>
  <c r="C2891" i="2"/>
  <c r="K2890" i="2"/>
  <c r="J2890" i="2" s="1"/>
  <c r="G2890" i="2"/>
  <c r="E2890" i="2"/>
  <c r="C2890" i="2"/>
  <c r="K2889" i="2"/>
  <c r="J2889" i="2" s="1"/>
  <c r="G2889" i="2"/>
  <c r="E2889" i="2"/>
  <c r="C2889" i="2"/>
  <c r="K2888" i="2"/>
  <c r="I2888" i="2" s="1"/>
  <c r="G2888" i="2"/>
  <c r="E2888" i="2"/>
  <c r="C2888" i="2"/>
  <c r="K2887" i="2"/>
  <c r="H2887" i="2" s="1"/>
  <c r="E2887" i="2"/>
  <c r="C2887" i="2"/>
  <c r="K2886" i="2"/>
  <c r="I2886" i="2" s="1"/>
  <c r="G2886" i="2"/>
  <c r="E2886" i="2"/>
  <c r="C2886" i="2"/>
  <c r="K2885" i="2"/>
  <c r="J2885" i="2" s="1"/>
  <c r="G2885" i="2"/>
  <c r="E2885" i="2"/>
  <c r="C2885" i="2"/>
  <c r="J2881" i="2"/>
  <c r="P2900" i="2" s="1"/>
  <c r="D2880" i="2"/>
  <c r="O2900" i="2" s="1"/>
  <c r="N2900" i="2" l="1"/>
  <c r="N2963" i="2"/>
  <c r="H3019" i="2"/>
  <c r="N2921" i="2"/>
  <c r="N3026" i="2"/>
  <c r="H3017" i="2"/>
  <c r="H3011" i="2"/>
  <c r="H3020" i="2"/>
  <c r="J3011" i="2"/>
  <c r="I3020" i="2"/>
  <c r="H3012" i="2"/>
  <c r="J3019" i="2"/>
  <c r="I3012" i="2"/>
  <c r="J3014" i="2"/>
  <c r="J3017" i="2"/>
  <c r="J2999" i="2"/>
  <c r="I3016" i="2"/>
  <c r="I3013" i="2"/>
  <c r="J3016" i="2"/>
  <c r="H2992" i="2"/>
  <c r="J3013" i="2"/>
  <c r="J3022" i="2"/>
  <c r="I2998" i="2"/>
  <c r="I3021" i="2"/>
  <c r="J3021" i="2"/>
  <c r="J2996" i="2"/>
  <c r="H3018" i="2"/>
  <c r="I3018" i="2"/>
  <c r="J2991" i="2"/>
  <c r="H3000" i="2"/>
  <c r="H3015" i="2"/>
  <c r="H3014" i="2"/>
  <c r="I3015" i="2"/>
  <c r="H3022" i="2"/>
  <c r="I2990" i="2"/>
  <c r="I2993" i="2"/>
  <c r="I3001" i="2"/>
  <c r="J2955" i="2"/>
  <c r="J2993" i="2"/>
  <c r="J3001" i="2"/>
  <c r="I2992" i="2"/>
  <c r="I3000" i="2"/>
  <c r="N3005" i="2"/>
  <c r="H2991" i="2"/>
  <c r="H2999" i="2"/>
  <c r="H2990" i="2"/>
  <c r="H2998" i="2"/>
  <c r="H2997" i="2"/>
  <c r="H2996" i="2"/>
  <c r="I2997" i="2"/>
  <c r="H2995" i="2"/>
  <c r="H2994" i="2"/>
  <c r="I2995" i="2"/>
  <c r="H2953" i="2"/>
  <c r="I2994" i="2"/>
  <c r="I2953" i="2"/>
  <c r="I2927" i="2"/>
  <c r="H2970" i="2"/>
  <c r="I2958" i="2"/>
  <c r="N2984" i="2"/>
  <c r="J2958" i="2"/>
  <c r="I2971" i="2"/>
  <c r="H2978" i="2"/>
  <c r="J2978" i="2"/>
  <c r="J2970" i="2"/>
  <c r="I2977" i="2"/>
  <c r="J2980" i="2"/>
  <c r="I2932" i="2"/>
  <c r="H2949" i="2"/>
  <c r="I2954" i="2"/>
  <c r="H2959" i="2"/>
  <c r="I2969" i="2"/>
  <c r="J2972" i="2"/>
  <c r="J2959" i="2"/>
  <c r="H2976" i="2"/>
  <c r="I2979" i="2"/>
  <c r="I2949" i="2"/>
  <c r="H2969" i="2"/>
  <c r="J2971" i="2"/>
  <c r="H2977" i="2"/>
  <c r="J2979" i="2"/>
  <c r="H2957" i="2"/>
  <c r="H2975" i="2"/>
  <c r="I2976" i="2"/>
  <c r="H2951" i="2"/>
  <c r="I2957" i="2"/>
  <c r="H2974" i="2"/>
  <c r="I2975" i="2"/>
  <c r="J2928" i="2"/>
  <c r="J2951" i="2"/>
  <c r="H2973" i="2"/>
  <c r="I2974" i="2"/>
  <c r="I2950" i="2"/>
  <c r="H2972" i="2"/>
  <c r="I2973" i="2"/>
  <c r="H2980" i="2"/>
  <c r="J2950" i="2"/>
  <c r="H2936" i="2"/>
  <c r="H2948" i="2"/>
  <c r="H2956" i="2"/>
  <c r="I2929" i="2"/>
  <c r="I2948" i="2"/>
  <c r="H2955" i="2"/>
  <c r="I2956" i="2"/>
  <c r="H2954" i="2"/>
  <c r="H2952" i="2"/>
  <c r="I2952" i="2"/>
  <c r="H2932" i="2"/>
  <c r="I2916" i="2"/>
  <c r="J2936" i="2"/>
  <c r="H2930" i="2"/>
  <c r="J2930" i="2"/>
  <c r="I2935" i="2"/>
  <c r="H2938" i="2"/>
  <c r="J2909" i="2"/>
  <c r="J2938" i="2"/>
  <c r="I2937" i="2"/>
  <c r="N2942" i="2"/>
  <c r="H2928" i="2"/>
  <c r="I2908" i="2"/>
  <c r="H2927" i="2"/>
  <c r="J2929" i="2"/>
  <c r="H2935" i="2"/>
  <c r="J2937" i="2"/>
  <c r="H2934" i="2"/>
  <c r="H2933" i="2"/>
  <c r="I2934" i="2"/>
  <c r="H2916" i="2"/>
  <c r="I2933" i="2"/>
  <c r="H2931" i="2"/>
  <c r="I2931" i="2"/>
  <c r="J2913" i="2"/>
  <c r="H2908" i="2"/>
  <c r="H2911" i="2"/>
  <c r="H2914" i="2"/>
  <c r="H2907" i="2"/>
  <c r="J2917" i="2"/>
  <c r="I2907" i="2"/>
  <c r="H2906" i="2"/>
  <c r="I2912" i="2"/>
  <c r="H2915" i="2"/>
  <c r="J2912" i="2"/>
  <c r="I2915" i="2"/>
  <c r="I2906" i="2"/>
  <c r="H2913" i="2"/>
  <c r="I2914" i="2"/>
  <c r="H2910" i="2"/>
  <c r="I2911" i="2"/>
  <c r="H2909" i="2"/>
  <c r="I2910" i="2"/>
  <c r="H2917" i="2"/>
  <c r="J2892" i="2"/>
  <c r="H2894" i="2"/>
  <c r="H2886" i="2"/>
  <c r="J2886" i="2"/>
  <c r="J2888" i="2"/>
  <c r="I2891" i="2"/>
  <c r="J2896" i="2"/>
  <c r="H2890" i="2"/>
  <c r="I2890" i="2"/>
  <c r="I2895" i="2"/>
  <c r="H2885" i="2"/>
  <c r="J2887" i="2"/>
  <c r="H2893" i="2"/>
  <c r="I2894" i="2"/>
  <c r="J2895" i="2"/>
  <c r="I2885" i="2"/>
  <c r="H2892" i="2"/>
  <c r="I2893" i="2"/>
  <c r="H2891" i="2"/>
  <c r="H2889" i="2"/>
  <c r="H2888" i="2"/>
  <c r="I2889" i="2"/>
  <c r="H2896" i="2"/>
  <c r="C4494" i="3"/>
  <c r="C4489" i="3"/>
  <c r="C4490" i="3"/>
  <c r="C4491" i="3"/>
  <c r="C4492" i="3"/>
  <c r="C4493" i="3"/>
  <c r="C4488" i="3"/>
  <c r="D134" i="12"/>
  <c r="M2879" i="2" l="1"/>
  <c r="L2879" i="2"/>
  <c r="K2875" i="2"/>
  <c r="I2875" i="2" s="1"/>
  <c r="G2875" i="2"/>
  <c r="E2875" i="2"/>
  <c r="C2875" i="2"/>
  <c r="K2874" i="2"/>
  <c r="H2874" i="2" s="1"/>
  <c r="G2874" i="2"/>
  <c r="E2874" i="2"/>
  <c r="C2874" i="2"/>
  <c r="K2873" i="2"/>
  <c r="J2873" i="2" s="1"/>
  <c r="G2873" i="2"/>
  <c r="E2873" i="2"/>
  <c r="C2873" i="2"/>
  <c r="K2872" i="2"/>
  <c r="J2872" i="2" s="1"/>
  <c r="G2872" i="2"/>
  <c r="E2872" i="2"/>
  <c r="C2872" i="2"/>
  <c r="K2871" i="2"/>
  <c r="H2871" i="2" s="1"/>
  <c r="G2871" i="2"/>
  <c r="E2871" i="2"/>
  <c r="C2871" i="2"/>
  <c r="K2870" i="2"/>
  <c r="J2870" i="2" s="1"/>
  <c r="G2870" i="2"/>
  <c r="E2870" i="2"/>
  <c r="C2870" i="2"/>
  <c r="K2869" i="2"/>
  <c r="I2869" i="2" s="1"/>
  <c r="G2869" i="2"/>
  <c r="E2869" i="2"/>
  <c r="C2869" i="2"/>
  <c r="K2868" i="2"/>
  <c r="J2868" i="2" s="1"/>
  <c r="E2868" i="2"/>
  <c r="C2868" i="2"/>
  <c r="K2867" i="2"/>
  <c r="J2867" i="2" s="1"/>
  <c r="E2867" i="2"/>
  <c r="C2867" i="2"/>
  <c r="J2860" i="2"/>
  <c r="P2879" i="2" s="1"/>
  <c r="D2859" i="2"/>
  <c r="O2879" i="2" s="1"/>
  <c r="C4487" i="3"/>
  <c r="C168" i="12"/>
  <c r="B168" i="12"/>
  <c r="M2858" i="2"/>
  <c r="L2858" i="2"/>
  <c r="K2854" i="2"/>
  <c r="I2854" i="2" s="1"/>
  <c r="G2854" i="2"/>
  <c r="E2854" i="2"/>
  <c r="C2854" i="2"/>
  <c r="K2853" i="2"/>
  <c r="H2853" i="2" s="1"/>
  <c r="G2853" i="2"/>
  <c r="E2853" i="2"/>
  <c r="C2853" i="2"/>
  <c r="K2852" i="2"/>
  <c r="J2852" i="2" s="1"/>
  <c r="G2852" i="2"/>
  <c r="E2852" i="2"/>
  <c r="C2852" i="2"/>
  <c r="K2851" i="2"/>
  <c r="H2851" i="2" s="1"/>
  <c r="G2851" i="2"/>
  <c r="E2851" i="2"/>
  <c r="C2851" i="2"/>
  <c r="K2850" i="2"/>
  <c r="J2850" i="2" s="1"/>
  <c r="G2850" i="2"/>
  <c r="E2850" i="2"/>
  <c r="C2850" i="2"/>
  <c r="K2849" i="2"/>
  <c r="I2849" i="2" s="1"/>
  <c r="G2849" i="2"/>
  <c r="E2849" i="2"/>
  <c r="C2849" i="2"/>
  <c r="K2848" i="2"/>
  <c r="H2848" i="2" s="1"/>
  <c r="G2848" i="2"/>
  <c r="E2848" i="2"/>
  <c r="C2848" i="2"/>
  <c r="J2839" i="2"/>
  <c r="P2858" i="2" s="1"/>
  <c r="D2838" i="2"/>
  <c r="O2858" i="2" s="1"/>
  <c r="C4486" i="3"/>
  <c r="B161" i="12"/>
  <c r="C161" i="12"/>
  <c r="C160" i="12"/>
  <c r="B160" i="12"/>
  <c r="N2879" i="2" l="1"/>
  <c r="J2871" i="2"/>
  <c r="H2869" i="2"/>
  <c r="J2869" i="2"/>
  <c r="H2875" i="2"/>
  <c r="H2873" i="2"/>
  <c r="I2870" i="2"/>
  <c r="J2875" i="2"/>
  <c r="I2874" i="2"/>
  <c r="I2871" i="2"/>
  <c r="H2872" i="2"/>
  <c r="I2873" i="2"/>
  <c r="J2874" i="2"/>
  <c r="I2872" i="2"/>
  <c r="H2870" i="2"/>
  <c r="H2868" i="2"/>
  <c r="H2867" i="2"/>
  <c r="J2851" i="2"/>
  <c r="H2849" i="2"/>
  <c r="J2849" i="2"/>
  <c r="H2852" i="2"/>
  <c r="I2848" i="2"/>
  <c r="J2848" i="2"/>
  <c r="I2851" i="2"/>
  <c r="J2854" i="2"/>
  <c r="N2858" i="2"/>
  <c r="I2850" i="2"/>
  <c r="I2853" i="2"/>
  <c r="I2852" i="2"/>
  <c r="J2853" i="2"/>
  <c r="H2850" i="2"/>
  <c r="H2854" i="2"/>
  <c r="G2887" i="2" l="1"/>
  <c r="I2887" i="2" s="1"/>
  <c r="C131" i="4"/>
  <c r="C87" i="12"/>
  <c r="B87" i="12"/>
  <c r="C86" i="12"/>
  <c r="B86" i="12"/>
  <c r="C85" i="12"/>
  <c r="B85" i="12"/>
  <c r="C84" i="12"/>
  <c r="B84" i="12"/>
  <c r="C83" i="12"/>
  <c r="B83" i="12"/>
  <c r="C82" i="12"/>
  <c r="B82" i="12"/>
  <c r="C81" i="12"/>
  <c r="B81" i="12"/>
  <c r="C80" i="12"/>
  <c r="B80" i="12"/>
  <c r="C79" i="12"/>
  <c r="B79" i="12"/>
  <c r="C78" i="12"/>
  <c r="B78" i="12"/>
  <c r="C77" i="12"/>
  <c r="B77" i="12"/>
  <c r="C76" i="12"/>
  <c r="B76" i="12"/>
  <c r="C75" i="12"/>
  <c r="B75" i="12"/>
  <c r="C74" i="12"/>
  <c r="B74" i="12"/>
  <c r="C73" i="12"/>
  <c r="B73" i="12"/>
  <c r="C72" i="12"/>
  <c r="B72" i="12"/>
  <c r="C71" i="12"/>
  <c r="B71" i="12"/>
  <c r="C70" i="12"/>
  <c r="B70" i="12"/>
  <c r="C69" i="12"/>
  <c r="B69" i="12"/>
  <c r="C68" i="12"/>
  <c r="B68" i="12"/>
  <c r="C67" i="12"/>
  <c r="B67" i="12"/>
  <c r="C66" i="12"/>
  <c r="B66" i="12"/>
  <c r="C65" i="12"/>
  <c r="B65" i="12"/>
  <c r="C64" i="12"/>
  <c r="B64" i="12"/>
  <c r="C63" i="12"/>
  <c r="B63" i="12"/>
  <c r="C62" i="12"/>
  <c r="B62" i="12"/>
  <c r="M2837" i="2" l="1"/>
  <c r="L2837" i="2"/>
  <c r="K2833" i="2"/>
  <c r="I2833" i="2" s="1"/>
  <c r="G2833" i="2"/>
  <c r="E2833" i="2"/>
  <c r="C2833" i="2"/>
  <c r="K2832" i="2"/>
  <c r="H2832" i="2" s="1"/>
  <c r="G2832" i="2"/>
  <c r="E2832" i="2"/>
  <c r="C2832" i="2"/>
  <c r="K2831" i="2"/>
  <c r="H2831" i="2" s="1"/>
  <c r="G2831" i="2"/>
  <c r="E2831" i="2"/>
  <c r="C2831" i="2"/>
  <c r="K2830" i="2"/>
  <c r="J2830" i="2" s="1"/>
  <c r="G2830" i="2"/>
  <c r="E2830" i="2"/>
  <c r="C2830" i="2"/>
  <c r="K2829" i="2"/>
  <c r="J2829" i="2" s="1"/>
  <c r="G2829" i="2"/>
  <c r="E2829" i="2"/>
  <c r="C2829" i="2"/>
  <c r="K2828" i="2"/>
  <c r="I2828" i="2" s="1"/>
  <c r="G2828" i="2"/>
  <c r="E2828" i="2"/>
  <c r="C2828" i="2"/>
  <c r="K2827" i="2"/>
  <c r="H2827" i="2" s="1"/>
  <c r="G2827" i="2"/>
  <c r="E2827" i="2"/>
  <c r="C2827" i="2"/>
  <c r="K2826" i="2"/>
  <c r="I2826" i="2" s="1"/>
  <c r="G2826" i="2"/>
  <c r="E2826" i="2"/>
  <c r="C2826" i="2"/>
  <c r="K2825" i="2"/>
  <c r="I2825" i="2" s="1"/>
  <c r="G2825" i="2"/>
  <c r="E2825" i="2"/>
  <c r="C2825" i="2"/>
  <c r="K2824" i="2"/>
  <c r="H2824" i="2" s="1"/>
  <c r="G2824" i="2"/>
  <c r="E2824" i="2"/>
  <c r="C2824" i="2"/>
  <c r="J2818" i="2"/>
  <c r="P2837" i="2" s="1"/>
  <c r="D2817" i="2"/>
  <c r="O2837" i="2" s="1"/>
  <c r="M2816" i="2"/>
  <c r="L2816" i="2"/>
  <c r="K2812" i="2"/>
  <c r="I2812" i="2" s="1"/>
  <c r="G2812" i="2"/>
  <c r="E2812" i="2"/>
  <c r="C2812" i="2"/>
  <c r="K2811" i="2"/>
  <c r="H2811" i="2" s="1"/>
  <c r="G2811" i="2"/>
  <c r="E2811" i="2"/>
  <c r="C2811" i="2"/>
  <c r="K2810" i="2"/>
  <c r="J2810" i="2" s="1"/>
  <c r="G2810" i="2"/>
  <c r="E2810" i="2"/>
  <c r="C2810" i="2"/>
  <c r="K2809" i="2"/>
  <c r="I2809" i="2" s="1"/>
  <c r="G2809" i="2"/>
  <c r="E2809" i="2"/>
  <c r="C2809" i="2"/>
  <c r="K2808" i="2"/>
  <c r="I2808" i="2" s="1"/>
  <c r="G2808" i="2"/>
  <c r="E2808" i="2"/>
  <c r="C2808" i="2"/>
  <c r="K2807" i="2"/>
  <c r="J2807" i="2" s="1"/>
  <c r="G2807" i="2"/>
  <c r="E2807" i="2"/>
  <c r="C2807" i="2"/>
  <c r="K2806" i="2"/>
  <c r="J2806" i="2" s="1"/>
  <c r="G2806" i="2"/>
  <c r="E2806" i="2"/>
  <c r="C2806" i="2"/>
  <c r="K2805" i="2"/>
  <c r="J2805" i="2" s="1"/>
  <c r="G2805" i="2"/>
  <c r="E2805" i="2"/>
  <c r="C2805" i="2"/>
  <c r="K2804" i="2"/>
  <c r="I2804" i="2" s="1"/>
  <c r="G2804" i="2"/>
  <c r="E2804" i="2"/>
  <c r="C2804" i="2"/>
  <c r="K2803" i="2"/>
  <c r="H2803" i="2" s="1"/>
  <c r="G2803" i="2"/>
  <c r="E2803" i="2"/>
  <c r="C2803" i="2"/>
  <c r="J2797" i="2"/>
  <c r="P2816" i="2" s="1"/>
  <c r="D2796" i="2"/>
  <c r="O2816" i="2" s="1"/>
  <c r="M2795" i="2"/>
  <c r="L2795" i="2"/>
  <c r="K2791" i="2"/>
  <c r="H2791" i="2" s="1"/>
  <c r="G2791" i="2"/>
  <c r="E2791" i="2"/>
  <c r="C2791" i="2"/>
  <c r="K2790" i="2"/>
  <c r="J2790" i="2" s="1"/>
  <c r="G2790" i="2"/>
  <c r="E2790" i="2"/>
  <c r="C2790" i="2"/>
  <c r="K2789" i="2"/>
  <c r="J2789" i="2" s="1"/>
  <c r="G2789" i="2"/>
  <c r="E2789" i="2"/>
  <c r="C2789" i="2"/>
  <c r="K2788" i="2"/>
  <c r="H2788" i="2" s="1"/>
  <c r="G2788" i="2"/>
  <c r="E2788" i="2"/>
  <c r="C2788" i="2"/>
  <c r="K2787" i="2"/>
  <c r="J2787" i="2" s="1"/>
  <c r="G2787" i="2"/>
  <c r="E2787" i="2"/>
  <c r="C2787" i="2"/>
  <c r="K2786" i="2"/>
  <c r="J2786" i="2" s="1"/>
  <c r="G2786" i="2"/>
  <c r="E2786" i="2"/>
  <c r="C2786" i="2"/>
  <c r="K2785" i="2"/>
  <c r="J2785" i="2" s="1"/>
  <c r="G2785" i="2"/>
  <c r="E2785" i="2"/>
  <c r="C2785" i="2"/>
  <c r="K2784" i="2"/>
  <c r="J2784" i="2" s="1"/>
  <c r="G2784" i="2"/>
  <c r="E2784" i="2"/>
  <c r="C2784" i="2"/>
  <c r="K2783" i="2"/>
  <c r="H2783" i="2" s="1"/>
  <c r="G2783" i="2"/>
  <c r="E2783" i="2"/>
  <c r="C2783" i="2"/>
  <c r="K2782" i="2"/>
  <c r="J2782" i="2" s="1"/>
  <c r="G2782" i="2"/>
  <c r="E2782" i="2"/>
  <c r="C2782" i="2"/>
  <c r="J2776" i="2"/>
  <c r="P2795" i="2" s="1"/>
  <c r="D2775" i="2"/>
  <c r="O2795" i="2" s="1"/>
  <c r="M2774" i="2"/>
  <c r="L2774" i="2"/>
  <c r="K2770" i="2"/>
  <c r="I2770" i="2" s="1"/>
  <c r="G2770" i="2"/>
  <c r="E2770" i="2"/>
  <c r="C2770" i="2"/>
  <c r="K2769" i="2"/>
  <c r="H2769" i="2" s="1"/>
  <c r="G2769" i="2"/>
  <c r="E2769" i="2"/>
  <c r="C2769" i="2"/>
  <c r="K2768" i="2"/>
  <c r="J2768" i="2" s="1"/>
  <c r="G2768" i="2"/>
  <c r="E2768" i="2"/>
  <c r="C2768" i="2"/>
  <c r="K2767" i="2"/>
  <c r="J2767" i="2" s="1"/>
  <c r="G2767" i="2"/>
  <c r="E2767" i="2"/>
  <c r="C2767" i="2"/>
  <c r="K2766" i="2"/>
  <c r="J2766" i="2" s="1"/>
  <c r="G2766" i="2"/>
  <c r="E2766" i="2"/>
  <c r="C2766" i="2"/>
  <c r="K2765" i="2"/>
  <c r="I2765" i="2" s="1"/>
  <c r="G2765" i="2"/>
  <c r="E2765" i="2"/>
  <c r="C2765" i="2"/>
  <c r="K2764" i="2"/>
  <c r="J2764" i="2" s="1"/>
  <c r="G2764" i="2"/>
  <c r="E2764" i="2"/>
  <c r="C2764" i="2"/>
  <c r="K2763" i="2"/>
  <c r="J2763" i="2" s="1"/>
  <c r="G2763" i="2"/>
  <c r="E2763" i="2"/>
  <c r="C2763" i="2"/>
  <c r="K2762" i="2"/>
  <c r="H2762" i="2" s="1"/>
  <c r="G2762" i="2"/>
  <c r="E2762" i="2"/>
  <c r="C2762" i="2"/>
  <c r="K2761" i="2"/>
  <c r="J2761" i="2" s="1"/>
  <c r="G2761" i="2"/>
  <c r="E2761" i="2"/>
  <c r="C2761" i="2"/>
  <c r="J2755" i="2"/>
  <c r="P2774" i="2" s="1"/>
  <c r="D2754" i="2"/>
  <c r="O2774" i="2" s="1"/>
  <c r="M2753" i="2"/>
  <c r="L2753" i="2"/>
  <c r="K2749" i="2"/>
  <c r="I2749" i="2" s="1"/>
  <c r="G2749" i="2"/>
  <c r="E2749" i="2"/>
  <c r="C2749" i="2"/>
  <c r="K2748" i="2"/>
  <c r="H2748" i="2" s="1"/>
  <c r="G2748" i="2"/>
  <c r="E2748" i="2"/>
  <c r="C2748" i="2"/>
  <c r="K2747" i="2"/>
  <c r="J2747" i="2" s="1"/>
  <c r="G2747" i="2"/>
  <c r="E2747" i="2"/>
  <c r="C2747" i="2"/>
  <c r="K2746" i="2"/>
  <c r="H2746" i="2" s="1"/>
  <c r="G2746" i="2"/>
  <c r="E2746" i="2"/>
  <c r="C2746" i="2"/>
  <c r="K2745" i="2"/>
  <c r="J2745" i="2" s="1"/>
  <c r="G2745" i="2"/>
  <c r="E2745" i="2"/>
  <c r="C2745" i="2"/>
  <c r="K2744" i="2"/>
  <c r="J2744" i="2" s="1"/>
  <c r="G2744" i="2"/>
  <c r="E2744" i="2"/>
  <c r="C2744" i="2"/>
  <c r="K2743" i="2"/>
  <c r="J2743" i="2" s="1"/>
  <c r="G2743" i="2"/>
  <c r="E2743" i="2"/>
  <c r="C2743" i="2"/>
  <c r="K2742" i="2"/>
  <c r="J2742" i="2" s="1"/>
  <c r="G2742" i="2"/>
  <c r="E2742" i="2"/>
  <c r="C2742" i="2"/>
  <c r="K2741" i="2"/>
  <c r="I2741" i="2" s="1"/>
  <c r="G2741" i="2"/>
  <c r="E2741" i="2"/>
  <c r="C2741" i="2"/>
  <c r="K2740" i="2"/>
  <c r="H2740" i="2" s="1"/>
  <c r="G2740" i="2"/>
  <c r="E2740" i="2"/>
  <c r="C2740" i="2"/>
  <c r="J2734" i="2"/>
  <c r="P2753" i="2" s="1"/>
  <c r="D2733" i="2"/>
  <c r="O2753" i="2" s="1"/>
  <c r="M2732" i="2"/>
  <c r="L2732" i="2"/>
  <c r="K2728" i="2"/>
  <c r="I2728" i="2" s="1"/>
  <c r="G2728" i="2"/>
  <c r="E2728" i="2"/>
  <c r="C2728" i="2"/>
  <c r="K2727" i="2"/>
  <c r="H2727" i="2" s="1"/>
  <c r="G2727" i="2"/>
  <c r="E2727" i="2"/>
  <c r="C2727" i="2"/>
  <c r="K2726" i="2"/>
  <c r="J2726" i="2" s="1"/>
  <c r="G2726" i="2"/>
  <c r="E2726" i="2"/>
  <c r="C2726" i="2"/>
  <c r="K2725" i="2"/>
  <c r="J2725" i="2" s="1"/>
  <c r="G2725" i="2"/>
  <c r="E2725" i="2"/>
  <c r="C2725" i="2"/>
  <c r="K2724" i="2"/>
  <c r="J2724" i="2" s="1"/>
  <c r="G2724" i="2"/>
  <c r="E2724" i="2"/>
  <c r="C2724" i="2"/>
  <c r="K2723" i="2"/>
  <c r="I2723" i="2" s="1"/>
  <c r="G2723" i="2"/>
  <c r="E2723" i="2"/>
  <c r="C2723" i="2"/>
  <c r="K2722" i="2"/>
  <c r="J2722" i="2" s="1"/>
  <c r="G2722" i="2"/>
  <c r="E2722" i="2"/>
  <c r="C2722" i="2"/>
  <c r="K2721" i="2"/>
  <c r="J2721" i="2" s="1"/>
  <c r="G2721" i="2"/>
  <c r="E2721" i="2"/>
  <c r="C2721" i="2"/>
  <c r="K2720" i="2"/>
  <c r="I2720" i="2" s="1"/>
  <c r="G2720" i="2"/>
  <c r="E2720" i="2"/>
  <c r="C2720" i="2"/>
  <c r="K2719" i="2"/>
  <c r="H2719" i="2" s="1"/>
  <c r="G2719" i="2"/>
  <c r="E2719" i="2"/>
  <c r="C2719" i="2"/>
  <c r="J2713" i="2"/>
  <c r="P2732" i="2" s="1"/>
  <c r="D2712" i="2"/>
  <c r="O2732" i="2" s="1"/>
  <c r="B149" i="12"/>
  <c r="C149" i="12"/>
  <c r="B150" i="12"/>
  <c r="C150" i="12"/>
  <c r="B151" i="12"/>
  <c r="C151" i="12"/>
  <c r="B152" i="12"/>
  <c r="C152" i="12"/>
  <c r="B153" i="12"/>
  <c r="C153" i="12"/>
  <c r="C148" i="12"/>
  <c r="B148" i="12"/>
  <c r="C4480" i="3"/>
  <c r="C4481" i="3"/>
  <c r="C4482" i="3"/>
  <c r="C4483" i="3"/>
  <c r="C4484" i="3"/>
  <c r="C4485" i="3"/>
  <c r="N2753" i="2" l="1"/>
  <c r="J2826" i="2"/>
  <c r="J2824" i="2"/>
  <c r="J2832" i="2"/>
  <c r="J2831" i="2"/>
  <c r="J2828" i="2"/>
  <c r="H2830" i="2"/>
  <c r="I2827" i="2"/>
  <c r="I2830" i="2"/>
  <c r="N2837" i="2"/>
  <c r="J2827" i="2"/>
  <c r="I2831" i="2"/>
  <c r="H2806" i="2"/>
  <c r="H2826" i="2"/>
  <c r="I2824" i="2"/>
  <c r="J2825" i="2"/>
  <c r="I2832" i="2"/>
  <c r="J2833" i="2"/>
  <c r="H2829" i="2"/>
  <c r="H2828" i="2"/>
  <c r="I2829" i="2"/>
  <c r="H2825" i="2"/>
  <c r="H2833" i="2"/>
  <c r="I2803" i="2"/>
  <c r="H2810" i="2"/>
  <c r="I2807" i="2"/>
  <c r="J2809" i="2"/>
  <c r="J2804" i="2"/>
  <c r="H2807" i="2"/>
  <c r="J2808" i="2"/>
  <c r="I2806" i="2"/>
  <c r="J2812" i="2"/>
  <c r="H2808" i="2"/>
  <c r="N2816" i="2"/>
  <c r="H2804" i="2"/>
  <c r="I2811" i="2"/>
  <c r="J2803" i="2"/>
  <c r="H2809" i="2"/>
  <c r="I2810" i="2"/>
  <c r="J2811" i="2"/>
  <c r="H2805" i="2"/>
  <c r="I2805" i="2"/>
  <c r="H2812" i="2"/>
  <c r="I2790" i="2"/>
  <c r="H2768" i="2"/>
  <c r="I2783" i="2"/>
  <c r="N2795" i="2"/>
  <c r="H2790" i="2"/>
  <c r="H2789" i="2"/>
  <c r="I2764" i="2"/>
  <c r="J2783" i="2"/>
  <c r="I2788" i="2"/>
  <c r="H2782" i="2"/>
  <c r="J2788" i="2"/>
  <c r="I2791" i="2"/>
  <c r="I2782" i="2"/>
  <c r="H2787" i="2"/>
  <c r="J2791" i="2"/>
  <c r="I2787" i="2"/>
  <c r="H2786" i="2"/>
  <c r="I2789" i="2"/>
  <c r="H2744" i="2"/>
  <c r="H2785" i="2"/>
  <c r="I2786" i="2"/>
  <c r="H2784" i="2"/>
  <c r="I2785" i="2"/>
  <c r="I2784" i="2"/>
  <c r="H2761" i="2"/>
  <c r="I2768" i="2"/>
  <c r="H2767" i="2"/>
  <c r="J2765" i="2"/>
  <c r="I2762" i="2"/>
  <c r="J2762" i="2"/>
  <c r="J2770" i="2"/>
  <c r="I2761" i="2"/>
  <c r="I2769" i="2"/>
  <c r="N2774" i="2"/>
  <c r="J2769" i="2"/>
  <c r="H2766" i="2"/>
  <c r="I2767" i="2"/>
  <c r="H2765" i="2"/>
  <c r="I2766" i="2"/>
  <c r="H2764" i="2"/>
  <c r="H2763" i="2"/>
  <c r="I2763" i="2"/>
  <c r="H2770" i="2"/>
  <c r="H2747" i="2"/>
  <c r="J2741" i="2"/>
  <c r="I2746" i="2"/>
  <c r="J2749" i="2"/>
  <c r="J2746" i="2"/>
  <c r="H2745" i="2"/>
  <c r="I2740" i="2"/>
  <c r="I2745" i="2"/>
  <c r="I2748" i="2"/>
  <c r="J2740" i="2"/>
  <c r="I2747" i="2"/>
  <c r="J2748" i="2"/>
  <c r="H2743" i="2"/>
  <c r="I2744" i="2"/>
  <c r="H2742" i="2"/>
  <c r="I2743" i="2"/>
  <c r="H2741" i="2"/>
  <c r="I2742" i="2"/>
  <c r="H2749" i="2"/>
  <c r="H2725" i="2"/>
  <c r="I2719" i="2"/>
  <c r="J2723" i="2"/>
  <c r="I2722" i="2"/>
  <c r="J2727" i="2"/>
  <c r="J2719" i="2"/>
  <c r="H2721" i="2"/>
  <c r="I2726" i="2"/>
  <c r="N2732" i="2"/>
  <c r="J2720" i="2"/>
  <c r="H2726" i="2"/>
  <c r="I2727" i="2"/>
  <c r="J2728" i="2"/>
  <c r="H2724" i="2"/>
  <c r="I2725" i="2"/>
  <c r="H2723" i="2"/>
  <c r="I2724" i="2"/>
  <c r="H2722" i="2"/>
  <c r="H2720" i="2"/>
  <c r="I2721" i="2"/>
  <c r="H2728" i="2"/>
  <c r="C129" i="4"/>
  <c r="C128" i="4"/>
  <c r="M286" i="2"/>
  <c r="L286" i="2"/>
  <c r="K282" i="2"/>
  <c r="I282" i="2" s="1"/>
  <c r="G282" i="2"/>
  <c r="E282" i="2"/>
  <c r="C282" i="2"/>
  <c r="K281" i="2"/>
  <c r="H281" i="2" s="1"/>
  <c r="G281" i="2"/>
  <c r="E281" i="2"/>
  <c r="C281" i="2"/>
  <c r="K280" i="2"/>
  <c r="H280" i="2" s="1"/>
  <c r="G280" i="2"/>
  <c r="E280" i="2"/>
  <c r="C280" i="2"/>
  <c r="K279" i="2"/>
  <c r="J279" i="2" s="1"/>
  <c r="G279" i="2"/>
  <c r="E279" i="2"/>
  <c r="C279" i="2"/>
  <c r="K278" i="2"/>
  <c r="J278" i="2" s="1"/>
  <c r="G278" i="2"/>
  <c r="E278" i="2"/>
  <c r="C278" i="2"/>
  <c r="J267" i="2"/>
  <c r="P286" i="2" s="1"/>
  <c r="D266" i="2"/>
  <c r="O286" i="2" s="1"/>
  <c r="C4339" i="3"/>
  <c r="F74" i="1"/>
  <c r="F72" i="1"/>
  <c r="C98" i="12"/>
  <c r="B98" i="12"/>
  <c r="M2711" i="2"/>
  <c r="L2711" i="2"/>
  <c r="K2707" i="2"/>
  <c r="I2707" i="2" s="1"/>
  <c r="G2707" i="2"/>
  <c r="E2707" i="2"/>
  <c r="C2707" i="2"/>
  <c r="K2706" i="2"/>
  <c r="H2706" i="2" s="1"/>
  <c r="G2706" i="2"/>
  <c r="E2706" i="2"/>
  <c r="C2706" i="2"/>
  <c r="K2705" i="2"/>
  <c r="J2705" i="2" s="1"/>
  <c r="G2705" i="2"/>
  <c r="E2705" i="2"/>
  <c r="C2705" i="2"/>
  <c r="K2704" i="2"/>
  <c r="J2704" i="2" s="1"/>
  <c r="G2704" i="2"/>
  <c r="E2704" i="2"/>
  <c r="C2704" i="2"/>
  <c r="K2703" i="2"/>
  <c r="J2703" i="2" s="1"/>
  <c r="G2703" i="2"/>
  <c r="E2703" i="2"/>
  <c r="C2703" i="2"/>
  <c r="K2702" i="2"/>
  <c r="J2702" i="2" s="1"/>
  <c r="G2702" i="2"/>
  <c r="E2702" i="2"/>
  <c r="C2702" i="2"/>
  <c r="K2701" i="2"/>
  <c r="J2701" i="2" s="1"/>
  <c r="G2701" i="2"/>
  <c r="E2701" i="2"/>
  <c r="C2701" i="2"/>
  <c r="K2700" i="2"/>
  <c r="J2700" i="2" s="1"/>
  <c r="G2700" i="2"/>
  <c r="E2700" i="2"/>
  <c r="C2700" i="2"/>
  <c r="K2699" i="2"/>
  <c r="I2699" i="2" s="1"/>
  <c r="G2699" i="2"/>
  <c r="E2699" i="2"/>
  <c r="C2699" i="2"/>
  <c r="K2698" i="2"/>
  <c r="H2698" i="2" s="1"/>
  <c r="G2698" i="2"/>
  <c r="E2698" i="2"/>
  <c r="C2698" i="2"/>
  <c r="K2697" i="2"/>
  <c r="J2697" i="2" s="1"/>
  <c r="G2697" i="2"/>
  <c r="E2697" i="2"/>
  <c r="C2697" i="2"/>
  <c r="J2692" i="2"/>
  <c r="P2711" i="2" s="1"/>
  <c r="D2691" i="2"/>
  <c r="O2711" i="2" s="1"/>
  <c r="C4479" i="3"/>
  <c r="F884" i="2"/>
  <c r="F862" i="2"/>
  <c r="F863" i="2" s="1"/>
  <c r="F820" i="2"/>
  <c r="F821" i="2" s="1"/>
  <c r="F756" i="2"/>
  <c r="F757" i="2" s="1"/>
  <c r="F652" i="2"/>
  <c r="F653" i="2" s="1"/>
  <c r="F631" i="2"/>
  <c r="F632" i="2" s="1"/>
  <c r="F610" i="2"/>
  <c r="F611" i="2" s="1"/>
  <c r="F589" i="2"/>
  <c r="F590" i="2" s="1"/>
  <c r="F568" i="2"/>
  <c r="F569" i="2" s="1"/>
  <c r="F547" i="2"/>
  <c r="F548" i="2" s="1"/>
  <c r="F526" i="2"/>
  <c r="F527" i="2" s="1"/>
  <c r="F505" i="2"/>
  <c r="F506" i="2" s="1"/>
  <c r="F484" i="2"/>
  <c r="F485" i="2" s="1"/>
  <c r="F463" i="2"/>
  <c r="F464" i="2" s="1"/>
  <c r="F442" i="2"/>
  <c r="F443" i="2" s="1"/>
  <c r="F735" i="2"/>
  <c r="F736" i="2" s="1"/>
  <c r="C97" i="12"/>
  <c r="B97" i="12"/>
  <c r="C96" i="12"/>
  <c r="B96" i="12"/>
  <c r="C95" i="12"/>
  <c r="B95" i="12"/>
  <c r="C94" i="12"/>
  <c r="B94" i="12"/>
  <c r="F86" i="1" l="1"/>
  <c r="I278" i="2"/>
  <c r="I280" i="2"/>
  <c r="H279" i="2"/>
  <c r="I279" i="2"/>
  <c r="J280" i="2"/>
  <c r="H278" i="2"/>
  <c r="J282" i="2"/>
  <c r="I281" i="2"/>
  <c r="N286" i="2"/>
  <c r="J281" i="2"/>
  <c r="H282" i="2"/>
  <c r="F66" i="1"/>
  <c r="N2711" i="2"/>
  <c r="H2704" i="2"/>
  <c r="H2701" i="2"/>
  <c r="H2702" i="2"/>
  <c r="I2706" i="2"/>
  <c r="H2697" i="2"/>
  <c r="I2702" i="2"/>
  <c r="I2697" i="2"/>
  <c r="I2705" i="2"/>
  <c r="I2704" i="2"/>
  <c r="J2698" i="2"/>
  <c r="H2705" i="2"/>
  <c r="H2703" i="2"/>
  <c r="I2703" i="2"/>
  <c r="J2707" i="2"/>
  <c r="J2699" i="2"/>
  <c r="I2698" i="2"/>
  <c r="I2701" i="2"/>
  <c r="J2706" i="2"/>
  <c r="H2700" i="2"/>
  <c r="H2699" i="2"/>
  <c r="I2700" i="2"/>
  <c r="H2707" i="2"/>
  <c r="C215" i="4"/>
  <c r="C349" i="4"/>
  <c r="C348" i="4"/>
  <c r="F151" i="1"/>
  <c r="M2690" i="2"/>
  <c r="L2690" i="2"/>
  <c r="K2686" i="2"/>
  <c r="I2686" i="2" s="1"/>
  <c r="G2686" i="2"/>
  <c r="E2686" i="2"/>
  <c r="C2686" i="2"/>
  <c r="K2685" i="2"/>
  <c r="H2685" i="2" s="1"/>
  <c r="G2685" i="2"/>
  <c r="E2685" i="2"/>
  <c r="C2685" i="2"/>
  <c r="K2684" i="2"/>
  <c r="J2684" i="2" s="1"/>
  <c r="G2684" i="2"/>
  <c r="E2684" i="2"/>
  <c r="C2684" i="2"/>
  <c r="K2683" i="2"/>
  <c r="J2683" i="2" s="1"/>
  <c r="G2683" i="2"/>
  <c r="E2683" i="2"/>
  <c r="C2683" i="2"/>
  <c r="K2682" i="2"/>
  <c r="J2682" i="2" s="1"/>
  <c r="G2682" i="2"/>
  <c r="E2682" i="2"/>
  <c r="C2682" i="2"/>
  <c r="K2681" i="2"/>
  <c r="I2681" i="2" s="1"/>
  <c r="G2681" i="2"/>
  <c r="E2681" i="2"/>
  <c r="C2681" i="2"/>
  <c r="K2680" i="2"/>
  <c r="J2680" i="2" s="1"/>
  <c r="G2680" i="2"/>
  <c r="E2680" i="2"/>
  <c r="C2680" i="2"/>
  <c r="K2679" i="2"/>
  <c r="J2679" i="2" s="1"/>
  <c r="G2679" i="2"/>
  <c r="E2679" i="2"/>
  <c r="C2679" i="2"/>
  <c r="K2678" i="2"/>
  <c r="I2678" i="2" s="1"/>
  <c r="G2678" i="2"/>
  <c r="E2678" i="2"/>
  <c r="C2678" i="2"/>
  <c r="K2677" i="2"/>
  <c r="H2677" i="2" s="1"/>
  <c r="G2677" i="2"/>
  <c r="E2677" i="2"/>
  <c r="C2677" i="2"/>
  <c r="K2676" i="2"/>
  <c r="J2676" i="2" s="1"/>
  <c r="G2676" i="2"/>
  <c r="E2676" i="2"/>
  <c r="C2676" i="2"/>
  <c r="J2671" i="2"/>
  <c r="P2690" i="2" s="1"/>
  <c r="D2670" i="2"/>
  <c r="O2690" i="2" s="1"/>
  <c r="C141" i="12"/>
  <c r="B141" i="12"/>
  <c r="C4478" i="3"/>
  <c r="B133" i="12"/>
  <c r="C133" i="12"/>
  <c r="B134" i="12"/>
  <c r="C134" i="12"/>
  <c r="C132" i="12"/>
  <c r="B132" i="12"/>
  <c r="M2669" i="2"/>
  <c r="L2669" i="2"/>
  <c r="K2665" i="2"/>
  <c r="I2665" i="2" s="1"/>
  <c r="G2665" i="2"/>
  <c r="E2665" i="2"/>
  <c r="C2665" i="2"/>
  <c r="K2664" i="2"/>
  <c r="H2664" i="2" s="1"/>
  <c r="G2664" i="2"/>
  <c r="E2664" i="2"/>
  <c r="C2664" i="2"/>
  <c r="K2663" i="2"/>
  <c r="J2663" i="2" s="1"/>
  <c r="G2663" i="2"/>
  <c r="E2663" i="2"/>
  <c r="C2663" i="2"/>
  <c r="K2662" i="2"/>
  <c r="I2662" i="2" s="1"/>
  <c r="G2662" i="2"/>
  <c r="E2662" i="2"/>
  <c r="C2662" i="2"/>
  <c r="K2661" i="2"/>
  <c r="J2661" i="2" s="1"/>
  <c r="G2661" i="2"/>
  <c r="E2661" i="2"/>
  <c r="C2661" i="2"/>
  <c r="K2660" i="2"/>
  <c r="J2660" i="2" s="1"/>
  <c r="G2660" i="2"/>
  <c r="E2660" i="2"/>
  <c r="C2660" i="2"/>
  <c r="K2659" i="2"/>
  <c r="J2659" i="2" s="1"/>
  <c r="G2659" i="2"/>
  <c r="E2659" i="2"/>
  <c r="C2659" i="2"/>
  <c r="K2658" i="2"/>
  <c r="H2658" i="2" s="1"/>
  <c r="G2658" i="2"/>
  <c r="E2658" i="2"/>
  <c r="C2658" i="2"/>
  <c r="K2657" i="2"/>
  <c r="I2657" i="2" s="1"/>
  <c r="G2657" i="2"/>
  <c r="E2657" i="2"/>
  <c r="C2657" i="2"/>
  <c r="K2656" i="2"/>
  <c r="H2656" i="2" s="1"/>
  <c r="G2656" i="2"/>
  <c r="E2656" i="2"/>
  <c r="C2656" i="2"/>
  <c r="J2650" i="2"/>
  <c r="P2669" i="2" s="1"/>
  <c r="D2649" i="2"/>
  <c r="O2669" i="2" s="1"/>
  <c r="M2648" i="2"/>
  <c r="L2648" i="2"/>
  <c r="K2644" i="2"/>
  <c r="I2644" i="2" s="1"/>
  <c r="G2644" i="2"/>
  <c r="E2644" i="2"/>
  <c r="C2644" i="2"/>
  <c r="K2643" i="2"/>
  <c r="H2643" i="2" s="1"/>
  <c r="G2643" i="2"/>
  <c r="E2643" i="2"/>
  <c r="C2643" i="2"/>
  <c r="K2642" i="2"/>
  <c r="I2642" i="2" s="1"/>
  <c r="G2642" i="2"/>
  <c r="E2642" i="2"/>
  <c r="C2642" i="2"/>
  <c r="K2641" i="2"/>
  <c r="J2641" i="2" s="1"/>
  <c r="G2641" i="2"/>
  <c r="E2641" i="2"/>
  <c r="C2641" i="2"/>
  <c r="K2640" i="2"/>
  <c r="J2640" i="2" s="1"/>
  <c r="G2640" i="2"/>
  <c r="E2640" i="2"/>
  <c r="C2640" i="2"/>
  <c r="K2639" i="2"/>
  <c r="H2639" i="2" s="1"/>
  <c r="G2639" i="2"/>
  <c r="E2639" i="2"/>
  <c r="C2639" i="2"/>
  <c r="K2638" i="2"/>
  <c r="J2638" i="2" s="1"/>
  <c r="G2638" i="2"/>
  <c r="E2638" i="2"/>
  <c r="C2638" i="2"/>
  <c r="K2637" i="2"/>
  <c r="J2637" i="2" s="1"/>
  <c r="G2637" i="2"/>
  <c r="E2637" i="2"/>
  <c r="C2637" i="2"/>
  <c r="K2636" i="2"/>
  <c r="I2636" i="2" s="1"/>
  <c r="G2636" i="2"/>
  <c r="E2636" i="2"/>
  <c r="C2636" i="2"/>
  <c r="K2635" i="2"/>
  <c r="H2635" i="2" s="1"/>
  <c r="G2635" i="2"/>
  <c r="E2635" i="2"/>
  <c r="C2635" i="2"/>
  <c r="J2629" i="2"/>
  <c r="P2648" i="2" s="1"/>
  <c r="D2628" i="2"/>
  <c r="O2648" i="2" s="1"/>
  <c r="M2627" i="2"/>
  <c r="L2627" i="2"/>
  <c r="K2623" i="2"/>
  <c r="I2623" i="2" s="1"/>
  <c r="G2623" i="2"/>
  <c r="E2623" i="2"/>
  <c r="C2623" i="2"/>
  <c r="K2622" i="2"/>
  <c r="H2622" i="2" s="1"/>
  <c r="G2622" i="2"/>
  <c r="E2622" i="2"/>
  <c r="C2622" i="2"/>
  <c r="K2621" i="2"/>
  <c r="J2621" i="2" s="1"/>
  <c r="G2621" i="2"/>
  <c r="E2621" i="2"/>
  <c r="C2621" i="2"/>
  <c r="K2620" i="2"/>
  <c r="I2620" i="2" s="1"/>
  <c r="G2620" i="2"/>
  <c r="E2620" i="2"/>
  <c r="C2620" i="2"/>
  <c r="K2619" i="2"/>
  <c r="J2619" i="2" s="1"/>
  <c r="G2619" i="2"/>
  <c r="E2619" i="2"/>
  <c r="C2619" i="2"/>
  <c r="K2618" i="2"/>
  <c r="I2618" i="2" s="1"/>
  <c r="G2618" i="2"/>
  <c r="E2618" i="2"/>
  <c r="C2618" i="2"/>
  <c r="K2617" i="2"/>
  <c r="J2617" i="2" s="1"/>
  <c r="G2617" i="2"/>
  <c r="E2617" i="2"/>
  <c r="C2617" i="2"/>
  <c r="K2616" i="2"/>
  <c r="J2616" i="2" s="1"/>
  <c r="G2616" i="2"/>
  <c r="E2616" i="2"/>
  <c r="C2616" i="2"/>
  <c r="K2615" i="2"/>
  <c r="I2615" i="2" s="1"/>
  <c r="G2615" i="2"/>
  <c r="E2615" i="2"/>
  <c r="C2615" i="2"/>
  <c r="K2614" i="2"/>
  <c r="H2614" i="2" s="1"/>
  <c r="G2614" i="2"/>
  <c r="E2614" i="2"/>
  <c r="C2614" i="2"/>
  <c r="J2608" i="2"/>
  <c r="P2627" i="2" s="1"/>
  <c r="D2607" i="2"/>
  <c r="O2627" i="2" s="1"/>
  <c r="C4477" i="3"/>
  <c r="C125" i="12"/>
  <c r="B125" i="12"/>
  <c r="C122" i="12"/>
  <c r="B122" i="12"/>
  <c r="C123" i="12"/>
  <c r="B123" i="12"/>
  <c r="C124" i="12"/>
  <c r="B124" i="12"/>
  <c r="C121" i="12"/>
  <c r="B121" i="12"/>
  <c r="M2606" i="2"/>
  <c r="L2606" i="2"/>
  <c r="K2602" i="2"/>
  <c r="I2602" i="2" s="1"/>
  <c r="G2602" i="2"/>
  <c r="E2602" i="2"/>
  <c r="C2602" i="2"/>
  <c r="K2601" i="2"/>
  <c r="H2601" i="2" s="1"/>
  <c r="G2601" i="2"/>
  <c r="E2601" i="2"/>
  <c r="C2601" i="2"/>
  <c r="K2600" i="2"/>
  <c r="H2600" i="2" s="1"/>
  <c r="G2600" i="2"/>
  <c r="E2600" i="2"/>
  <c r="C2600" i="2"/>
  <c r="K2599" i="2"/>
  <c r="H2599" i="2" s="1"/>
  <c r="G2599" i="2"/>
  <c r="E2599" i="2"/>
  <c r="C2599" i="2"/>
  <c r="K2598" i="2"/>
  <c r="J2598" i="2" s="1"/>
  <c r="G2598" i="2"/>
  <c r="E2598" i="2"/>
  <c r="C2598" i="2"/>
  <c r="K2597" i="2"/>
  <c r="J2597" i="2" s="1"/>
  <c r="G2597" i="2"/>
  <c r="E2597" i="2"/>
  <c r="C2597" i="2"/>
  <c r="K2596" i="2"/>
  <c r="H2596" i="2" s="1"/>
  <c r="G2596" i="2"/>
  <c r="E2596" i="2"/>
  <c r="C2596" i="2"/>
  <c r="K2595" i="2"/>
  <c r="J2595" i="2" s="1"/>
  <c r="G2595" i="2"/>
  <c r="E2595" i="2"/>
  <c r="C2595" i="2"/>
  <c r="K2594" i="2"/>
  <c r="I2594" i="2" s="1"/>
  <c r="G2594" i="2"/>
  <c r="E2594" i="2"/>
  <c r="C2594" i="2"/>
  <c r="K2593" i="2"/>
  <c r="H2593" i="2" s="1"/>
  <c r="G2593" i="2"/>
  <c r="E2593" i="2"/>
  <c r="C2593" i="2"/>
  <c r="J2587" i="2"/>
  <c r="P2606" i="2" s="1"/>
  <c r="D2586" i="2"/>
  <c r="O2606" i="2" s="1"/>
  <c r="M2585" i="2"/>
  <c r="L2585" i="2"/>
  <c r="K2581" i="2"/>
  <c r="I2581" i="2" s="1"/>
  <c r="G2581" i="2"/>
  <c r="E2581" i="2"/>
  <c r="C2581" i="2"/>
  <c r="K2580" i="2"/>
  <c r="H2580" i="2" s="1"/>
  <c r="G2580" i="2"/>
  <c r="E2580" i="2"/>
  <c r="C2580" i="2"/>
  <c r="K2579" i="2"/>
  <c r="J2579" i="2" s="1"/>
  <c r="G2579" i="2"/>
  <c r="E2579" i="2"/>
  <c r="C2579" i="2"/>
  <c r="K2578" i="2"/>
  <c r="I2578" i="2" s="1"/>
  <c r="G2578" i="2"/>
  <c r="E2578" i="2"/>
  <c r="C2578" i="2"/>
  <c r="K2577" i="2"/>
  <c r="J2577" i="2" s="1"/>
  <c r="G2577" i="2"/>
  <c r="E2577" i="2"/>
  <c r="C2577" i="2"/>
  <c r="K2576" i="2"/>
  <c r="I2576" i="2" s="1"/>
  <c r="G2576" i="2"/>
  <c r="E2576" i="2"/>
  <c r="C2576" i="2"/>
  <c r="K2575" i="2"/>
  <c r="H2575" i="2" s="1"/>
  <c r="G2575" i="2"/>
  <c r="E2575" i="2"/>
  <c r="C2575" i="2"/>
  <c r="K2574" i="2"/>
  <c r="J2574" i="2" s="1"/>
  <c r="G2574" i="2"/>
  <c r="E2574" i="2"/>
  <c r="C2574" i="2"/>
  <c r="K2573" i="2"/>
  <c r="I2573" i="2" s="1"/>
  <c r="G2573" i="2"/>
  <c r="E2573" i="2"/>
  <c r="C2573" i="2"/>
  <c r="K2572" i="2"/>
  <c r="I2572" i="2" s="1"/>
  <c r="G2572" i="2"/>
  <c r="E2572" i="2"/>
  <c r="C2572" i="2"/>
  <c r="J2566" i="2"/>
  <c r="P2585" i="2" s="1"/>
  <c r="D2565" i="2"/>
  <c r="O2585" i="2" s="1"/>
  <c r="M2564" i="2"/>
  <c r="L2564" i="2"/>
  <c r="K2560" i="2"/>
  <c r="I2560" i="2" s="1"/>
  <c r="G2560" i="2"/>
  <c r="E2560" i="2"/>
  <c r="C2560" i="2"/>
  <c r="K2559" i="2"/>
  <c r="H2559" i="2" s="1"/>
  <c r="G2559" i="2"/>
  <c r="E2559" i="2"/>
  <c r="C2559" i="2"/>
  <c r="K2558" i="2"/>
  <c r="J2558" i="2" s="1"/>
  <c r="G2558" i="2"/>
  <c r="E2558" i="2"/>
  <c r="C2558" i="2"/>
  <c r="K2557" i="2"/>
  <c r="J2557" i="2" s="1"/>
  <c r="G2557" i="2"/>
  <c r="E2557" i="2"/>
  <c r="C2557" i="2"/>
  <c r="K2556" i="2"/>
  <c r="I2556" i="2" s="1"/>
  <c r="G2556" i="2"/>
  <c r="E2556" i="2"/>
  <c r="C2556" i="2"/>
  <c r="K2555" i="2"/>
  <c r="J2555" i="2" s="1"/>
  <c r="G2555" i="2"/>
  <c r="E2555" i="2"/>
  <c r="C2555" i="2"/>
  <c r="K2554" i="2"/>
  <c r="I2554" i="2" s="1"/>
  <c r="G2554" i="2"/>
  <c r="E2554" i="2"/>
  <c r="C2554" i="2"/>
  <c r="K2553" i="2"/>
  <c r="J2553" i="2" s="1"/>
  <c r="G2553" i="2"/>
  <c r="E2553" i="2"/>
  <c r="C2553" i="2"/>
  <c r="K2552" i="2"/>
  <c r="I2552" i="2" s="1"/>
  <c r="G2552" i="2"/>
  <c r="E2552" i="2"/>
  <c r="C2552" i="2"/>
  <c r="K2551" i="2"/>
  <c r="H2551" i="2" s="1"/>
  <c r="G2551" i="2"/>
  <c r="E2551" i="2"/>
  <c r="C2551" i="2"/>
  <c r="J2545" i="2"/>
  <c r="P2564" i="2" s="1"/>
  <c r="D2544" i="2"/>
  <c r="O2564" i="2" s="1"/>
  <c r="M2543" i="2"/>
  <c r="L2543" i="2"/>
  <c r="K2539" i="2"/>
  <c r="I2539" i="2" s="1"/>
  <c r="G2539" i="2"/>
  <c r="E2539" i="2"/>
  <c r="C2539" i="2"/>
  <c r="K2538" i="2"/>
  <c r="H2538" i="2" s="1"/>
  <c r="G2538" i="2"/>
  <c r="E2538" i="2"/>
  <c r="C2538" i="2"/>
  <c r="K2537" i="2"/>
  <c r="J2537" i="2" s="1"/>
  <c r="G2537" i="2"/>
  <c r="E2537" i="2"/>
  <c r="C2537" i="2"/>
  <c r="K2536" i="2"/>
  <c r="J2536" i="2" s="1"/>
  <c r="G2536" i="2"/>
  <c r="E2536" i="2"/>
  <c r="C2536" i="2"/>
  <c r="K2535" i="2"/>
  <c r="I2535" i="2" s="1"/>
  <c r="G2535" i="2"/>
  <c r="E2535" i="2"/>
  <c r="C2535" i="2"/>
  <c r="K2534" i="2"/>
  <c r="J2534" i="2" s="1"/>
  <c r="G2534" i="2"/>
  <c r="E2534" i="2"/>
  <c r="C2534" i="2"/>
  <c r="K2533" i="2"/>
  <c r="I2533" i="2" s="1"/>
  <c r="G2533" i="2"/>
  <c r="E2533" i="2"/>
  <c r="C2533" i="2"/>
  <c r="J2524" i="2"/>
  <c r="P2543" i="2" s="1"/>
  <c r="D2523" i="2"/>
  <c r="O2543" i="2" s="1"/>
  <c r="M2522" i="2"/>
  <c r="L2522" i="2"/>
  <c r="K2518" i="2"/>
  <c r="I2518" i="2" s="1"/>
  <c r="G2518" i="2"/>
  <c r="E2518" i="2"/>
  <c r="C2518" i="2"/>
  <c r="K2517" i="2"/>
  <c r="H2517" i="2" s="1"/>
  <c r="G2517" i="2"/>
  <c r="E2517" i="2"/>
  <c r="C2517" i="2"/>
  <c r="K2516" i="2"/>
  <c r="H2516" i="2" s="1"/>
  <c r="G2516" i="2"/>
  <c r="E2516" i="2"/>
  <c r="C2516" i="2"/>
  <c r="K2515" i="2"/>
  <c r="H2515" i="2" s="1"/>
  <c r="G2515" i="2"/>
  <c r="E2515" i="2"/>
  <c r="C2515" i="2"/>
  <c r="K2514" i="2"/>
  <c r="J2514" i="2" s="1"/>
  <c r="G2514" i="2"/>
  <c r="E2514" i="2"/>
  <c r="C2514" i="2"/>
  <c r="K2513" i="2"/>
  <c r="I2513" i="2" s="1"/>
  <c r="G2513" i="2"/>
  <c r="E2513" i="2"/>
  <c r="C2513" i="2"/>
  <c r="K2512" i="2"/>
  <c r="H2512" i="2" s="1"/>
  <c r="G2512" i="2"/>
  <c r="E2512" i="2"/>
  <c r="C2512" i="2"/>
  <c r="K2511" i="2"/>
  <c r="J2511" i="2" s="1"/>
  <c r="G2511" i="2"/>
  <c r="E2511" i="2"/>
  <c r="C2511" i="2"/>
  <c r="J2503" i="2"/>
  <c r="P2522" i="2" s="1"/>
  <c r="D2502" i="2"/>
  <c r="O2522" i="2" s="1"/>
  <c r="C316" i="4"/>
  <c r="C317" i="4"/>
  <c r="C318" i="4"/>
  <c r="C319" i="4"/>
  <c r="C332" i="4"/>
  <c r="C333" i="4"/>
  <c r="C334" i="4"/>
  <c r="C335" i="4"/>
  <c r="C336" i="4"/>
  <c r="C337" i="4"/>
  <c r="C338" i="4"/>
  <c r="M2501" i="2"/>
  <c r="L2501" i="2"/>
  <c r="K2497" i="2"/>
  <c r="I2497" i="2" s="1"/>
  <c r="G2497" i="2"/>
  <c r="E2497" i="2"/>
  <c r="C2497" i="2"/>
  <c r="K2496" i="2"/>
  <c r="H2496" i="2" s="1"/>
  <c r="G2496" i="2"/>
  <c r="E2496" i="2"/>
  <c r="C2496" i="2"/>
  <c r="K2495" i="2"/>
  <c r="J2495" i="2" s="1"/>
  <c r="G2495" i="2"/>
  <c r="E2495" i="2"/>
  <c r="C2495" i="2"/>
  <c r="K2494" i="2"/>
  <c r="J2494" i="2" s="1"/>
  <c r="G2494" i="2"/>
  <c r="E2494" i="2"/>
  <c r="C2494" i="2"/>
  <c r="K2493" i="2"/>
  <c r="J2493" i="2" s="1"/>
  <c r="G2493" i="2"/>
  <c r="E2493" i="2"/>
  <c r="C2493" i="2"/>
  <c r="K2492" i="2"/>
  <c r="I2492" i="2" s="1"/>
  <c r="G2492" i="2"/>
  <c r="E2492" i="2"/>
  <c r="C2492" i="2"/>
  <c r="K2491" i="2"/>
  <c r="J2491" i="2" s="1"/>
  <c r="G2491" i="2"/>
  <c r="E2491" i="2"/>
  <c r="C2491" i="2"/>
  <c r="K2490" i="2"/>
  <c r="J2490" i="2" s="1"/>
  <c r="G2490" i="2"/>
  <c r="E2490" i="2"/>
  <c r="C2490" i="2"/>
  <c r="J2482" i="2"/>
  <c r="P2501" i="2" s="1"/>
  <c r="D2481" i="2"/>
  <c r="O2501" i="2" s="1"/>
  <c r="M2480" i="2"/>
  <c r="L2480" i="2"/>
  <c r="K2476" i="2"/>
  <c r="I2476" i="2" s="1"/>
  <c r="G2476" i="2"/>
  <c r="E2476" i="2"/>
  <c r="C2476" i="2"/>
  <c r="K2475" i="2"/>
  <c r="H2475" i="2" s="1"/>
  <c r="G2475" i="2"/>
  <c r="E2475" i="2"/>
  <c r="C2475" i="2"/>
  <c r="K2474" i="2"/>
  <c r="J2474" i="2" s="1"/>
  <c r="G2474" i="2"/>
  <c r="E2474" i="2"/>
  <c r="C2474" i="2"/>
  <c r="K2473" i="2"/>
  <c r="I2473" i="2" s="1"/>
  <c r="G2473" i="2"/>
  <c r="E2473" i="2"/>
  <c r="C2473" i="2"/>
  <c r="K2472" i="2"/>
  <c r="J2472" i="2" s="1"/>
  <c r="G2472" i="2"/>
  <c r="E2472" i="2"/>
  <c r="C2472" i="2"/>
  <c r="K2471" i="2"/>
  <c r="J2471" i="2" s="1"/>
  <c r="G2471" i="2"/>
  <c r="E2471" i="2"/>
  <c r="C2471" i="2"/>
  <c r="K2470" i="2"/>
  <c r="J2470" i="2" s="1"/>
  <c r="G2470" i="2"/>
  <c r="E2470" i="2"/>
  <c r="C2470" i="2"/>
  <c r="J2461" i="2"/>
  <c r="P2480" i="2" s="1"/>
  <c r="D2460" i="2"/>
  <c r="O2480" i="2" s="1"/>
  <c r="M2459" i="2"/>
  <c r="L2459" i="2"/>
  <c r="K2455" i="2"/>
  <c r="I2455" i="2" s="1"/>
  <c r="G2455" i="2"/>
  <c r="E2455" i="2"/>
  <c r="C2455" i="2"/>
  <c r="K2454" i="2"/>
  <c r="H2454" i="2" s="1"/>
  <c r="G2454" i="2"/>
  <c r="E2454" i="2"/>
  <c r="C2454" i="2"/>
  <c r="K2453" i="2"/>
  <c r="H2453" i="2" s="1"/>
  <c r="G2453" i="2"/>
  <c r="E2453" i="2"/>
  <c r="C2453" i="2"/>
  <c r="K2452" i="2"/>
  <c r="J2452" i="2" s="1"/>
  <c r="G2452" i="2"/>
  <c r="E2452" i="2"/>
  <c r="C2452" i="2"/>
  <c r="K2451" i="2"/>
  <c r="J2451" i="2" s="1"/>
  <c r="G2451" i="2"/>
  <c r="E2451" i="2"/>
  <c r="C2451" i="2"/>
  <c r="K2450" i="2"/>
  <c r="J2450" i="2" s="1"/>
  <c r="G2450" i="2"/>
  <c r="E2450" i="2"/>
  <c r="C2450" i="2"/>
  <c r="K2449" i="2"/>
  <c r="J2449" i="2" s="1"/>
  <c r="G2449" i="2"/>
  <c r="E2449" i="2"/>
  <c r="C2449" i="2"/>
  <c r="J2440" i="2"/>
  <c r="P2459" i="2" s="1"/>
  <c r="D2439" i="2"/>
  <c r="O2459" i="2" s="1"/>
  <c r="C312" i="4"/>
  <c r="M2438" i="2"/>
  <c r="L2438" i="2"/>
  <c r="K2434" i="2"/>
  <c r="H2434" i="2" s="1"/>
  <c r="G2434" i="2"/>
  <c r="E2434" i="2"/>
  <c r="C2434" i="2"/>
  <c r="K2433" i="2"/>
  <c r="J2433" i="2" s="1"/>
  <c r="G2433" i="2"/>
  <c r="E2433" i="2"/>
  <c r="C2433" i="2"/>
  <c r="K2432" i="2"/>
  <c r="J2432" i="2" s="1"/>
  <c r="G2432" i="2"/>
  <c r="E2432" i="2"/>
  <c r="C2432" i="2"/>
  <c r="K2431" i="2"/>
  <c r="I2431" i="2" s="1"/>
  <c r="G2431" i="2"/>
  <c r="E2431" i="2"/>
  <c r="C2431" i="2"/>
  <c r="K2430" i="2"/>
  <c r="J2430" i="2" s="1"/>
  <c r="G2430" i="2"/>
  <c r="E2430" i="2"/>
  <c r="C2430" i="2"/>
  <c r="K2429" i="2"/>
  <c r="I2429" i="2" s="1"/>
  <c r="G2429" i="2"/>
  <c r="E2429" i="2"/>
  <c r="C2429" i="2"/>
  <c r="K2428" i="2"/>
  <c r="J2428" i="2" s="1"/>
  <c r="G2428" i="2"/>
  <c r="E2428" i="2"/>
  <c r="C2428" i="2"/>
  <c r="K2427" i="2"/>
  <c r="J2427" i="2" s="1"/>
  <c r="G2427" i="2"/>
  <c r="E2427" i="2"/>
  <c r="C2427" i="2"/>
  <c r="J2419" i="2"/>
  <c r="P2438" i="2" s="1"/>
  <c r="D2418" i="2"/>
  <c r="O2438" i="2" s="1"/>
  <c r="M2417" i="2"/>
  <c r="L2417" i="2"/>
  <c r="K2413" i="2"/>
  <c r="I2413" i="2" s="1"/>
  <c r="G2413" i="2"/>
  <c r="E2413" i="2"/>
  <c r="C2413" i="2"/>
  <c r="K2412" i="2"/>
  <c r="H2412" i="2" s="1"/>
  <c r="G2412" i="2"/>
  <c r="E2412" i="2"/>
  <c r="C2412" i="2"/>
  <c r="K2411" i="2"/>
  <c r="J2411" i="2" s="1"/>
  <c r="G2411" i="2"/>
  <c r="E2411" i="2"/>
  <c r="C2411" i="2"/>
  <c r="K2410" i="2"/>
  <c r="I2410" i="2" s="1"/>
  <c r="G2410" i="2"/>
  <c r="E2410" i="2"/>
  <c r="C2410" i="2"/>
  <c r="K2409" i="2"/>
  <c r="J2409" i="2" s="1"/>
  <c r="G2409" i="2"/>
  <c r="E2409" i="2"/>
  <c r="C2409" i="2"/>
  <c r="K2408" i="2"/>
  <c r="J2408" i="2" s="1"/>
  <c r="G2408" i="2"/>
  <c r="E2408" i="2"/>
  <c r="C2408" i="2"/>
  <c r="K2407" i="2"/>
  <c r="J2407" i="2" s="1"/>
  <c r="G2407" i="2"/>
  <c r="E2407" i="2"/>
  <c r="C2407" i="2"/>
  <c r="J2398" i="2"/>
  <c r="P2417" i="2" s="1"/>
  <c r="D2397" i="2"/>
  <c r="O2417" i="2" s="1"/>
  <c r="M2396" i="2"/>
  <c r="L2396" i="2"/>
  <c r="K2392" i="2"/>
  <c r="I2392" i="2" s="1"/>
  <c r="G2392" i="2"/>
  <c r="E2392" i="2"/>
  <c r="C2392" i="2"/>
  <c r="K2391" i="2"/>
  <c r="H2391" i="2" s="1"/>
  <c r="G2391" i="2"/>
  <c r="E2391" i="2"/>
  <c r="C2391" i="2"/>
  <c r="K2390" i="2"/>
  <c r="J2390" i="2" s="1"/>
  <c r="G2390" i="2"/>
  <c r="E2390" i="2"/>
  <c r="C2390" i="2"/>
  <c r="K2389" i="2"/>
  <c r="H2389" i="2" s="1"/>
  <c r="G2389" i="2"/>
  <c r="E2389" i="2"/>
  <c r="C2389" i="2"/>
  <c r="K2388" i="2"/>
  <c r="J2388" i="2" s="1"/>
  <c r="G2388" i="2"/>
  <c r="E2388" i="2"/>
  <c r="C2388" i="2"/>
  <c r="K2387" i="2"/>
  <c r="J2387" i="2" s="1"/>
  <c r="G2387" i="2"/>
  <c r="E2387" i="2"/>
  <c r="C2387" i="2"/>
  <c r="K2386" i="2"/>
  <c r="H2386" i="2" s="1"/>
  <c r="G2386" i="2"/>
  <c r="E2386" i="2"/>
  <c r="C2386" i="2"/>
  <c r="K2385" i="2"/>
  <c r="J2385" i="2" s="1"/>
  <c r="G2385" i="2"/>
  <c r="E2385" i="2"/>
  <c r="C2385" i="2"/>
  <c r="J2377" i="2"/>
  <c r="P2396" i="2" s="1"/>
  <c r="D2376" i="2"/>
  <c r="O2396" i="2" s="1"/>
  <c r="M2375" i="2"/>
  <c r="L2375" i="2"/>
  <c r="K2371" i="2"/>
  <c r="I2371" i="2" s="1"/>
  <c r="G2371" i="2"/>
  <c r="E2371" i="2"/>
  <c r="C2371" i="2"/>
  <c r="K2370" i="2"/>
  <c r="H2370" i="2" s="1"/>
  <c r="G2370" i="2"/>
  <c r="E2370" i="2"/>
  <c r="C2370" i="2"/>
  <c r="K2369" i="2"/>
  <c r="J2369" i="2" s="1"/>
  <c r="G2369" i="2"/>
  <c r="E2369" i="2"/>
  <c r="C2369" i="2"/>
  <c r="K2368" i="2"/>
  <c r="J2368" i="2" s="1"/>
  <c r="G2368" i="2"/>
  <c r="E2368" i="2"/>
  <c r="C2368" i="2"/>
  <c r="K2367" i="2"/>
  <c r="J2367" i="2" s="1"/>
  <c r="G2367" i="2"/>
  <c r="E2367" i="2"/>
  <c r="C2367" i="2"/>
  <c r="K2366" i="2"/>
  <c r="J2366" i="2" s="1"/>
  <c r="G2366" i="2"/>
  <c r="E2366" i="2"/>
  <c r="C2366" i="2"/>
  <c r="K2365" i="2"/>
  <c r="J2365" i="2" s="1"/>
  <c r="G2365" i="2"/>
  <c r="E2365" i="2"/>
  <c r="C2365" i="2"/>
  <c r="K2364" i="2"/>
  <c r="J2364" i="2" s="1"/>
  <c r="G2364" i="2"/>
  <c r="E2364" i="2"/>
  <c r="C2364" i="2"/>
  <c r="J2356" i="2"/>
  <c r="P2375" i="2" s="1"/>
  <c r="D2355" i="2"/>
  <c r="O2375" i="2" s="1"/>
  <c r="M2354" i="2"/>
  <c r="L2354" i="2"/>
  <c r="K2350" i="2"/>
  <c r="I2350" i="2" s="1"/>
  <c r="G2350" i="2"/>
  <c r="E2350" i="2"/>
  <c r="C2350" i="2"/>
  <c r="K2349" i="2"/>
  <c r="H2349" i="2" s="1"/>
  <c r="G2349" i="2"/>
  <c r="E2349" i="2"/>
  <c r="C2349" i="2"/>
  <c r="K2348" i="2"/>
  <c r="J2348" i="2" s="1"/>
  <c r="G2348" i="2"/>
  <c r="E2348" i="2"/>
  <c r="C2348" i="2"/>
  <c r="K2347" i="2"/>
  <c r="J2347" i="2" s="1"/>
  <c r="G2347" i="2"/>
  <c r="E2347" i="2"/>
  <c r="C2347" i="2"/>
  <c r="K2346" i="2"/>
  <c r="J2346" i="2" s="1"/>
  <c r="G2346" i="2"/>
  <c r="E2346" i="2"/>
  <c r="C2346" i="2"/>
  <c r="K2345" i="2"/>
  <c r="I2345" i="2" s="1"/>
  <c r="G2345" i="2"/>
  <c r="E2345" i="2"/>
  <c r="C2345" i="2"/>
  <c r="K2344" i="2"/>
  <c r="H2344" i="2" s="1"/>
  <c r="G2344" i="2"/>
  <c r="E2344" i="2"/>
  <c r="C2344" i="2"/>
  <c r="K2343" i="2"/>
  <c r="J2343" i="2" s="1"/>
  <c r="G2343" i="2"/>
  <c r="E2343" i="2"/>
  <c r="C2343" i="2"/>
  <c r="J2335" i="2"/>
  <c r="P2354" i="2" s="1"/>
  <c r="D2334" i="2"/>
  <c r="O2354" i="2" s="1"/>
  <c r="M2333" i="2"/>
  <c r="L2333" i="2"/>
  <c r="K2329" i="2"/>
  <c r="I2329" i="2" s="1"/>
  <c r="G2329" i="2"/>
  <c r="E2329" i="2"/>
  <c r="C2329" i="2"/>
  <c r="K2328" i="2"/>
  <c r="H2328" i="2" s="1"/>
  <c r="G2328" i="2"/>
  <c r="E2328" i="2"/>
  <c r="C2328" i="2"/>
  <c r="K2327" i="2"/>
  <c r="H2327" i="2" s="1"/>
  <c r="G2327" i="2"/>
  <c r="E2327" i="2"/>
  <c r="C2327" i="2"/>
  <c r="K2326" i="2"/>
  <c r="I2326" i="2" s="1"/>
  <c r="G2326" i="2"/>
  <c r="E2326" i="2"/>
  <c r="C2326" i="2"/>
  <c r="K2325" i="2"/>
  <c r="J2325" i="2" s="1"/>
  <c r="G2325" i="2"/>
  <c r="E2325" i="2"/>
  <c r="C2325" i="2"/>
  <c r="K2324" i="2"/>
  <c r="J2324" i="2" s="1"/>
  <c r="G2324" i="2"/>
  <c r="E2324" i="2"/>
  <c r="C2324" i="2"/>
  <c r="K2323" i="2"/>
  <c r="I2323" i="2" s="1"/>
  <c r="G2323" i="2"/>
  <c r="E2323" i="2"/>
  <c r="C2323" i="2"/>
  <c r="K2322" i="2"/>
  <c r="J2322" i="2" s="1"/>
  <c r="G2322" i="2"/>
  <c r="E2322" i="2"/>
  <c r="C2322" i="2"/>
  <c r="J2314" i="2"/>
  <c r="P2333" i="2" s="1"/>
  <c r="D2313" i="2"/>
  <c r="O2333" i="2" s="1"/>
  <c r="M2312" i="2"/>
  <c r="L2312" i="2"/>
  <c r="K2308" i="2"/>
  <c r="I2308" i="2" s="1"/>
  <c r="G2308" i="2"/>
  <c r="E2308" i="2"/>
  <c r="C2308" i="2"/>
  <c r="K2307" i="2"/>
  <c r="H2307" i="2" s="1"/>
  <c r="G2307" i="2"/>
  <c r="E2307" i="2"/>
  <c r="C2307" i="2"/>
  <c r="K2306" i="2"/>
  <c r="H2306" i="2" s="1"/>
  <c r="G2306" i="2"/>
  <c r="E2306" i="2"/>
  <c r="C2306" i="2"/>
  <c r="K2305" i="2"/>
  <c r="J2305" i="2" s="1"/>
  <c r="G2305" i="2"/>
  <c r="E2305" i="2"/>
  <c r="C2305" i="2"/>
  <c r="K2304" i="2"/>
  <c r="J2304" i="2" s="1"/>
  <c r="G2304" i="2"/>
  <c r="E2304" i="2"/>
  <c r="C2304" i="2"/>
  <c r="K2303" i="2"/>
  <c r="J2303" i="2" s="1"/>
  <c r="G2303" i="2"/>
  <c r="E2303" i="2"/>
  <c r="C2303" i="2"/>
  <c r="K2302" i="2"/>
  <c r="I2302" i="2" s="1"/>
  <c r="G2302" i="2"/>
  <c r="E2302" i="2"/>
  <c r="C2302" i="2"/>
  <c r="J2293" i="2"/>
  <c r="P2312" i="2" s="1"/>
  <c r="D2292" i="2"/>
  <c r="O2312" i="2" s="1"/>
  <c r="M2291" i="2"/>
  <c r="L2291" i="2"/>
  <c r="K2287" i="2"/>
  <c r="I2287" i="2" s="1"/>
  <c r="G2287" i="2"/>
  <c r="E2287" i="2"/>
  <c r="C2287" i="2"/>
  <c r="K2286" i="2"/>
  <c r="H2286" i="2" s="1"/>
  <c r="G2286" i="2"/>
  <c r="E2286" i="2"/>
  <c r="C2286" i="2"/>
  <c r="K2285" i="2"/>
  <c r="J2285" i="2" s="1"/>
  <c r="G2285" i="2"/>
  <c r="E2285" i="2"/>
  <c r="C2285" i="2"/>
  <c r="K2284" i="2"/>
  <c r="J2284" i="2" s="1"/>
  <c r="G2284" i="2"/>
  <c r="E2284" i="2"/>
  <c r="C2284" i="2"/>
  <c r="K2283" i="2"/>
  <c r="H2283" i="2" s="1"/>
  <c r="G2283" i="2"/>
  <c r="E2283" i="2"/>
  <c r="C2283" i="2"/>
  <c r="K2282" i="2"/>
  <c r="J2282" i="2" s="1"/>
  <c r="G2282" i="2"/>
  <c r="E2282" i="2"/>
  <c r="C2282" i="2"/>
  <c r="K2281" i="2"/>
  <c r="J2281" i="2" s="1"/>
  <c r="G2281" i="2"/>
  <c r="E2281" i="2"/>
  <c r="C2281" i="2"/>
  <c r="K2280" i="2"/>
  <c r="J2280" i="2" s="1"/>
  <c r="G2280" i="2"/>
  <c r="E2280" i="2"/>
  <c r="C2280" i="2"/>
  <c r="J2272" i="2"/>
  <c r="P2291" i="2" s="1"/>
  <c r="D2271" i="2"/>
  <c r="O2291" i="2" s="1"/>
  <c r="G2867" i="2" l="1"/>
  <c r="I2867" i="2" s="1"/>
  <c r="N2543" i="2"/>
  <c r="H2680" i="2"/>
  <c r="I2680" i="2"/>
  <c r="I2682" i="2"/>
  <c r="J2681" i="2"/>
  <c r="H2681" i="2"/>
  <c r="J2685" i="2"/>
  <c r="I2677" i="2"/>
  <c r="I2684" i="2"/>
  <c r="J2677" i="2"/>
  <c r="H2683" i="2"/>
  <c r="I2683" i="2"/>
  <c r="I2676" i="2"/>
  <c r="H2682" i="2"/>
  <c r="N2690" i="2"/>
  <c r="H2676" i="2"/>
  <c r="J2678" i="2"/>
  <c r="H2684" i="2"/>
  <c r="I2685" i="2"/>
  <c r="J2686" i="2"/>
  <c r="H2679" i="2"/>
  <c r="H2678" i="2"/>
  <c r="I2679" i="2"/>
  <c r="H2686" i="2"/>
  <c r="H2660" i="2"/>
  <c r="I2659" i="2"/>
  <c r="I2658" i="2"/>
  <c r="J2658" i="2"/>
  <c r="H2662" i="2"/>
  <c r="J2662" i="2"/>
  <c r="J2618" i="2"/>
  <c r="I2661" i="2"/>
  <c r="J2664" i="2"/>
  <c r="I2660" i="2"/>
  <c r="J2656" i="2"/>
  <c r="H2659" i="2"/>
  <c r="I2663" i="2"/>
  <c r="N2669" i="2"/>
  <c r="I2656" i="2"/>
  <c r="J2657" i="2"/>
  <c r="H2663" i="2"/>
  <c r="I2664" i="2"/>
  <c r="J2665" i="2"/>
  <c r="H2661" i="2"/>
  <c r="H2657" i="2"/>
  <c r="H2665" i="2"/>
  <c r="N2648" i="2"/>
  <c r="H2642" i="2"/>
  <c r="J2642" i="2"/>
  <c r="J2639" i="2"/>
  <c r="J2614" i="2"/>
  <c r="I2621" i="2"/>
  <c r="J2643" i="2"/>
  <c r="J2620" i="2"/>
  <c r="I2639" i="2"/>
  <c r="H2638" i="2"/>
  <c r="H2641" i="2"/>
  <c r="I2638" i="2"/>
  <c r="I2635" i="2"/>
  <c r="I2614" i="2"/>
  <c r="H2621" i="2"/>
  <c r="J2635" i="2"/>
  <c r="J2636" i="2"/>
  <c r="I2643" i="2"/>
  <c r="J2644" i="2"/>
  <c r="H2620" i="2"/>
  <c r="H2640" i="2"/>
  <c r="I2641" i="2"/>
  <c r="H2617" i="2"/>
  <c r="I2640" i="2"/>
  <c r="I2617" i="2"/>
  <c r="H2637" i="2"/>
  <c r="H2636" i="2"/>
  <c r="I2637" i="2"/>
  <c r="H2644" i="2"/>
  <c r="J2623" i="2"/>
  <c r="I2619" i="2"/>
  <c r="H2618" i="2"/>
  <c r="I2622" i="2"/>
  <c r="N2627" i="2"/>
  <c r="J2615" i="2"/>
  <c r="J2622" i="2"/>
  <c r="H2619" i="2"/>
  <c r="H2616" i="2"/>
  <c r="H2615" i="2"/>
  <c r="I2616" i="2"/>
  <c r="H2623" i="2"/>
  <c r="N2291" i="2"/>
  <c r="H2598" i="2"/>
  <c r="J2599" i="2"/>
  <c r="I2598" i="2"/>
  <c r="I2599" i="2"/>
  <c r="H2597" i="2"/>
  <c r="J2601" i="2"/>
  <c r="I2596" i="2"/>
  <c r="I2600" i="2"/>
  <c r="J2596" i="2"/>
  <c r="J2600" i="2"/>
  <c r="J2593" i="2"/>
  <c r="N2606" i="2"/>
  <c r="I2593" i="2"/>
  <c r="J2594" i="2"/>
  <c r="I2601" i="2"/>
  <c r="J2602" i="2"/>
  <c r="I2597" i="2"/>
  <c r="H2595" i="2"/>
  <c r="H2594" i="2"/>
  <c r="I2595" i="2"/>
  <c r="H2602" i="2"/>
  <c r="H2578" i="2"/>
  <c r="H2572" i="2"/>
  <c r="J2572" i="2"/>
  <c r="J2575" i="2"/>
  <c r="H2579" i="2"/>
  <c r="J2580" i="2"/>
  <c r="J2576" i="2"/>
  <c r="I2579" i="2"/>
  <c r="I2575" i="2"/>
  <c r="J2578" i="2"/>
  <c r="N2585" i="2"/>
  <c r="I2580" i="2"/>
  <c r="J2573" i="2"/>
  <c r="J2581" i="2"/>
  <c r="H2577" i="2"/>
  <c r="H2576" i="2"/>
  <c r="I2577" i="2"/>
  <c r="H2574" i="2"/>
  <c r="H2573" i="2"/>
  <c r="I2574" i="2"/>
  <c r="H2581" i="2"/>
  <c r="J2556" i="2"/>
  <c r="J2554" i="2"/>
  <c r="J2559" i="2"/>
  <c r="J2551" i="2"/>
  <c r="I2558" i="2"/>
  <c r="H2557" i="2"/>
  <c r="N2564" i="2"/>
  <c r="H2554" i="2"/>
  <c r="I2551" i="2"/>
  <c r="J2552" i="2"/>
  <c r="H2558" i="2"/>
  <c r="I2559" i="2"/>
  <c r="J2560" i="2"/>
  <c r="H2556" i="2"/>
  <c r="I2557" i="2"/>
  <c r="H2555" i="2"/>
  <c r="I2555" i="2"/>
  <c r="H2553" i="2"/>
  <c r="H2552" i="2"/>
  <c r="I2553" i="2"/>
  <c r="H2560" i="2"/>
  <c r="J2533" i="2"/>
  <c r="H2537" i="2"/>
  <c r="I2537" i="2"/>
  <c r="I2534" i="2"/>
  <c r="H2533" i="2"/>
  <c r="H2536" i="2"/>
  <c r="J2535" i="2"/>
  <c r="I2538" i="2"/>
  <c r="J2538" i="2"/>
  <c r="J2539" i="2"/>
  <c r="H2535" i="2"/>
  <c r="I2536" i="2"/>
  <c r="H2534" i="2"/>
  <c r="H2539" i="2"/>
  <c r="H2511" i="2"/>
  <c r="J2513" i="2"/>
  <c r="I2512" i="2"/>
  <c r="I2511" i="2"/>
  <c r="I2516" i="2"/>
  <c r="I2515" i="2"/>
  <c r="J2515" i="2"/>
  <c r="H2513" i="2"/>
  <c r="J2517" i="2"/>
  <c r="J2512" i="2"/>
  <c r="J2516" i="2"/>
  <c r="H2514" i="2"/>
  <c r="N2522" i="2"/>
  <c r="I2517" i="2"/>
  <c r="J2518" i="2"/>
  <c r="I2514" i="2"/>
  <c r="H2518" i="2"/>
  <c r="J2496" i="2"/>
  <c r="I2491" i="2"/>
  <c r="I2495" i="2"/>
  <c r="J2492" i="2"/>
  <c r="H2494" i="2"/>
  <c r="N2501" i="2"/>
  <c r="H2495" i="2"/>
  <c r="I2496" i="2"/>
  <c r="J2497" i="2"/>
  <c r="H2493" i="2"/>
  <c r="I2494" i="2"/>
  <c r="H2492" i="2"/>
  <c r="I2493" i="2"/>
  <c r="H2491" i="2"/>
  <c r="H2490" i="2"/>
  <c r="I2490" i="2"/>
  <c r="H2497" i="2"/>
  <c r="H2470" i="2"/>
  <c r="H2474" i="2"/>
  <c r="H2471" i="2"/>
  <c r="I2471" i="2"/>
  <c r="I2472" i="2"/>
  <c r="I2470" i="2"/>
  <c r="J2476" i="2"/>
  <c r="J2473" i="2"/>
  <c r="N2480" i="2"/>
  <c r="I2475" i="2"/>
  <c r="H2473" i="2"/>
  <c r="I2474" i="2"/>
  <c r="J2475" i="2"/>
  <c r="H2472" i="2"/>
  <c r="H2476" i="2"/>
  <c r="I2452" i="2"/>
  <c r="H2452" i="2"/>
  <c r="J2454" i="2"/>
  <c r="I2453" i="2"/>
  <c r="J2453" i="2"/>
  <c r="N2459" i="2"/>
  <c r="H2451" i="2"/>
  <c r="I2454" i="2"/>
  <c r="J2455" i="2"/>
  <c r="H2450" i="2"/>
  <c r="I2451" i="2"/>
  <c r="H2449" i="2"/>
  <c r="I2450" i="2"/>
  <c r="I2449" i="2"/>
  <c r="H2455" i="2"/>
  <c r="J2429" i="2"/>
  <c r="H2433" i="2"/>
  <c r="H2432" i="2"/>
  <c r="H2429" i="2"/>
  <c r="J2431" i="2"/>
  <c r="I2434" i="2"/>
  <c r="J2434" i="2"/>
  <c r="I2430" i="2"/>
  <c r="I2433" i="2"/>
  <c r="N2438" i="2"/>
  <c r="H2431" i="2"/>
  <c r="I2432" i="2"/>
  <c r="H2430" i="2"/>
  <c r="H2428" i="2"/>
  <c r="H2427" i="2"/>
  <c r="I2428" i="2"/>
  <c r="I2427" i="2"/>
  <c r="H2410" i="2"/>
  <c r="H2407" i="2"/>
  <c r="I2407" i="2"/>
  <c r="I2409" i="2"/>
  <c r="J2412" i="2"/>
  <c r="H2408" i="2"/>
  <c r="I2411" i="2"/>
  <c r="J2410" i="2"/>
  <c r="N2417" i="2"/>
  <c r="H2411" i="2"/>
  <c r="I2412" i="2"/>
  <c r="J2413" i="2"/>
  <c r="H2409" i="2"/>
  <c r="I2408" i="2"/>
  <c r="H2413" i="2"/>
  <c r="J2386" i="2"/>
  <c r="J2392" i="2"/>
  <c r="I2389" i="2"/>
  <c r="J2389" i="2"/>
  <c r="H2387" i="2"/>
  <c r="H2390" i="2"/>
  <c r="I2386" i="2"/>
  <c r="H2388" i="2"/>
  <c r="N2396" i="2"/>
  <c r="I2388" i="2"/>
  <c r="I2391" i="2"/>
  <c r="I2390" i="2"/>
  <c r="J2391" i="2"/>
  <c r="I2387" i="2"/>
  <c r="H2385" i="2"/>
  <c r="I2385" i="2"/>
  <c r="H2392" i="2"/>
  <c r="H2366" i="2"/>
  <c r="I2369" i="2"/>
  <c r="I2366" i="2"/>
  <c r="H2368" i="2"/>
  <c r="H2365" i="2"/>
  <c r="I2368" i="2"/>
  <c r="J2370" i="2"/>
  <c r="I2365" i="2"/>
  <c r="I2346" i="2"/>
  <c r="J2350" i="2"/>
  <c r="H2364" i="2"/>
  <c r="N2375" i="2"/>
  <c r="I2348" i="2"/>
  <c r="H2369" i="2"/>
  <c r="I2370" i="2"/>
  <c r="J2371" i="2"/>
  <c r="H2347" i="2"/>
  <c r="H2367" i="2"/>
  <c r="I2344" i="2"/>
  <c r="I2367" i="2"/>
  <c r="J2344" i="2"/>
  <c r="I2364" i="2"/>
  <c r="H2371" i="2"/>
  <c r="H2348" i="2"/>
  <c r="I2347" i="2"/>
  <c r="H2345" i="2"/>
  <c r="I2349" i="2"/>
  <c r="N2354" i="2"/>
  <c r="J2345" i="2"/>
  <c r="J2349" i="2"/>
  <c r="H2346" i="2"/>
  <c r="H2343" i="2"/>
  <c r="I2343" i="2"/>
  <c r="H2350" i="2"/>
  <c r="H2323" i="2"/>
  <c r="J2323" i="2"/>
  <c r="J2327" i="2"/>
  <c r="H2326" i="2"/>
  <c r="J2326" i="2"/>
  <c r="H2324" i="2"/>
  <c r="J2328" i="2"/>
  <c r="I2327" i="2"/>
  <c r="H2325" i="2"/>
  <c r="I2325" i="2"/>
  <c r="N2333" i="2"/>
  <c r="I2328" i="2"/>
  <c r="J2329" i="2"/>
  <c r="I2324" i="2"/>
  <c r="H2322" i="2"/>
  <c r="I2322" i="2"/>
  <c r="H2329" i="2"/>
  <c r="H2305" i="2"/>
  <c r="I2306" i="2"/>
  <c r="J2306" i="2"/>
  <c r="I2305" i="2"/>
  <c r="J2302" i="2"/>
  <c r="J2308" i="2"/>
  <c r="I2307" i="2"/>
  <c r="N2312" i="2"/>
  <c r="J2307" i="2"/>
  <c r="H2304" i="2"/>
  <c r="H2303" i="2"/>
  <c r="I2304" i="2"/>
  <c r="H2302" i="2"/>
  <c r="I2303" i="2"/>
  <c r="H2308" i="2"/>
  <c r="J2283" i="2"/>
  <c r="H2282" i="2"/>
  <c r="I2283" i="2"/>
  <c r="I2282" i="2"/>
  <c r="H2285" i="2"/>
  <c r="H2281" i="2"/>
  <c r="J2287" i="2"/>
  <c r="I2286" i="2"/>
  <c r="H2284" i="2"/>
  <c r="I2285" i="2"/>
  <c r="J2286" i="2"/>
  <c r="I2284" i="2"/>
  <c r="H2280" i="2"/>
  <c r="I2281" i="2"/>
  <c r="I2280" i="2"/>
  <c r="H2287" i="2"/>
  <c r="M2270" i="2"/>
  <c r="L2270" i="2"/>
  <c r="K2266" i="2"/>
  <c r="I2266" i="2" s="1"/>
  <c r="G2266" i="2"/>
  <c r="E2266" i="2"/>
  <c r="C2266" i="2"/>
  <c r="K2265" i="2"/>
  <c r="H2265" i="2" s="1"/>
  <c r="G2265" i="2"/>
  <c r="E2265" i="2"/>
  <c r="C2265" i="2"/>
  <c r="K2264" i="2"/>
  <c r="H2264" i="2" s="1"/>
  <c r="G2264" i="2"/>
  <c r="E2264" i="2"/>
  <c r="C2264" i="2"/>
  <c r="K2263" i="2"/>
  <c r="J2263" i="2" s="1"/>
  <c r="G2263" i="2"/>
  <c r="E2263" i="2"/>
  <c r="C2263" i="2"/>
  <c r="K2262" i="2"/>
  <c r="J2262" i="2" s="1"/>
  <c r="G2262" i="2"/>
  <c r="E2262" i="2"/>
  <c r="C2262" i="2"/>
  <c r="K2261" i="2"/>
  <c r="J2261" i="2" s="1"/>
  <c r="G2261" i="2"/>
  <c r="E2261" i="2"/>
  <c r="C2261" i="2"/>
  <c r="K2260" i="2"/>
  <c r="H2260" i="2" s="1"/>
  <c r="G2260" i="2"/>
  <c r="E2260" i="2"/>
  <c r="C2260" i="2"/>
  <c r="K2259" i="2"/>
  <c r="J2259" i="2" s="1"/>
  <c r="G2259" i="2"/>
  <c r="E2259" i="2"/>
  <c r="C2259" i="2"/>
  <c r="J2251" i="2"/>
  <c r="P2270" i="2" s="1"/>
  <c r="D2250" i="2"/>
  <c r="O2270" i="2" s="1"/>
  <c r="C302" i="4"/>
  <c r="C301" i="4"/>
  <c r="C304" i="4"/>
  <c r="C303" i="4"/>
  <c r="C306" i="4"/>
  <c r="C305" i="4"/>
  <c r="C308" i="4"/>
  <c r="C307" i="4"/>
  <c r="C310" i="4"/>
  <c r="C309" i="4"/>
  <c r="M2249" i="2"/>
  <c r="L2249" i="2"/>
  <c r="K2245" i="2"/>
  <c r="I2245" i="2" s="1"/>
  <c r="G2245" i="2"/>
  <c r="E2245" i="2"/>
  <c r="C2245" i="2"/>
  <c r="K2244" i="2"/>
  <c r="H2244" i="2" s="1"/>
  <c r="G2244" i="2"/>
  <c r="E2244" i="2"/>
  <c r="C2244" i="2"/>
  <c r="K2243" i="2"/>
  <c r="J2243" i="2" s="1"/>
  <c r="G2243" i="2"/>
  <c r="E2243" i="2"/>
  <c r="C2243" i="2"/>
  <c r="K2242" i="2"/>
  <c r="I2242" i="2" s="1"/>
  <c r="G2242" i="2"/>
  <c r="E2242" i="2"/>
  <c r="C2242" i="2"/>
  <c r="K2241" i="2"/>
  <c r="J2241" i="2" s="1"/>
  <c r="G2241" i="2"/>
  <c r="E2241" i="2"/>
  <c r="C2241" i="2"/>
  <c r="K2240" i="2"/>
  <c r="I2240" i="2" s="1"/>
  <c r="G2240" i="2"/>
  <c r="E2240" i="2"/>
  <c r="C2240" i="2"/>
  <c r="K2239" i="2"/>
  <c r="H2239" i="2" s="1"/>
  <c r="G2239" i="2"/>
  <c r="E2239" i="2"/>
  <c r="C2239" i="2"/>
  <c r="K2238" i="2"/>
  <c r="J2238" i="2" s="1"/>
  <c r="G2238" i="2"/>
  <c r="E2238" i="2"/>
  <c r="C2238" i="2"/>
  <c r="J2230" i="2"/>
  <c r="P2249" i="2" s="1"/>
  <c r="D2229" i="2"/>
  <c r="O2249" i="2" s="1"/>
  <c r="M2228" i="2"/>
  <c r="L2228" i="2"/>
  <c r="K2224" i="2"/>
  <c r="H2224" i="2" s="1"/>
  <c r="G2224" i="2"/>
  <c r="E2224" i="2"/>
  <c r="C2224" i="2"/>
  <c r="K2223" i="2"/>
  <c r="J2223" i="2" s="1"/>
  <c r="G2223" i="2"/>
  <c r="E2223" i="2"/>
  <c r="C2223" i="2"/>
  <c r="K2222" i="2"/>
  <c r="J2222" i="2" s="1"/>
  <c r="G2222" i="2"/>
  <c r="E2222" i="2"/>
  <c r="C2222" i="2"/>
  <c r="K2221" i="2"/>
  <c r="I2221" i="2" s="1"/>
  <c r="G2221" i="2"/>
  <c r="E2221" i="2"/>
  <c r="C2221" i="2"/>
  <c r="K2220" i="2"/>
  <c r="J2220" i="2" s="1"/>
  <c r="G2220" i="2"/>
  <c r="E2220" i="2"/>
  <c r="C2220" i="2"/>
  <c r="K2219" i="2"/>
  <c r="I2219" i="2" s="1"/>
  <c r="G2219" i="2"/>
  <c r="E2219" i="2"/>
  <c r="C2219" i="2"/>
  <c r="K2218" i="2"/>
  <c r="J2218" i="2" s="1"/>
  <c r="G2218" i="2"/>
  <c r="E2218" i="2"/>
  <c r="C2218" i="2"/>
  <c r="K2217" i="2"/>
  <c r="J2217" i="2" s="1"/>
  <c r="G2217" i="2"/>
  <c r="E2217" i="2"/>
  <c r="C2217" i="2"/>
  <c r="K2216" i="2"/>
  <c r="H2216" i="2" s="1"/>
  <c r="G2216" i="2"/>
  <c r="E2216" i="2"/>
  <c r="C2216" i="2"/>
  <c r="K2215" i="2"/>
  <c r="J2215" i="2" s="1"/>
  <c r="G2215" i="2"/>
  <c r="E2215" i="2"/>
  <c r="C2215" i="2"/>
  <c r="J2209" i="2"/>
  <c r="P2228" i="2" s="1"/>
  <c r="D2208" i="2"/>
  <c r="O2228" i="2" s="1"/>
  <c r="M2207" i="2"/>
  <c r="L2207" i="2"/>
  <c r="K2203" i="2"/>
  <c r="I2203" i="2" s="1"/>
  <c r="G2203" i="2"/>
  <c r="E2203" i="2"/>
  <c r="C2203" i="2"/>
  <c r="K2202" i="2"/>
  <c r="H2202" i="2" s="1"/>
  <c r="G2202" i="2"/>
  <c r="E2202" i="2"/>
  <c r="C2202" i="2"/>
  <c r="K2201" i="2"/>
  <c r="J2201" i="2" s="1"/>
  <c r="G2201" i="2"/>
  <c r="E2201" i="2"/>
  <c r="C2201" i="2"/>
  <c r="K2200" i="2"/>
  <c r="J2200" i="2" s="1"/>
  <c r="G2200" i="2"/>
  <c r="E2200" i="2"/>
  <c r="C2200" i="2"/>
  <c r="K2199" i="2"/>
  <c r="J2199" i="2" s="1"/>
  <c r="G2199" i="2"/>
  <c r="E2199" i="2"/>
  <c r="C2199" i="2"/>
  <c r="K2198" i="2"/>
  <c r="J2198" i="2" s="1"/>
  <c r="G2198" i="2"/>
  <c r="E2198" i="2"/>
  <c r="C2198" i="2"/>
  <c r="K2197" i="2"/>
  <c r="J2197" i="2" s="1"/>
  <c r="G2197" i="2"/>
  <c r="E2197" i="2"/>
  <c r="C2197" i="2"/>
  <c r="K2196" i="2"/>
  <c r="J2196" i="2" s="1"/>
  <c r="G2196" i="2"/>
  <c r="E2196" i="2"/>
  <c r="C2196" i="2"/>
  <c r="K2195" i="2"/>
  <c r="G2195" i="2"/>
  <c r="E2195" i="2"/>
  <c r="C2195" i="2"/>
  <c r="K2194" i="2"/>
  <c r="H2194" i="2" s="1"/>
  <c r="G2194" i="2"/>
  <c r="E2194" i="2"/>
  <c r="C2194" i="2"/>
  <c r="J2188" i="2"/>
  <c r="P2207" i="2" s="1"/>
  <c r="D2187" i="2"/>
  <c r="O2207" i="2" s="1"/>
  <c r="C4469" i="3"/>
  <c r="C4470" i="3"/>
  <c r="C4471" i="3"/>
  <c r="C4472" i="3"/>
  <c r="C4473" i="3"/>
  <c r="C4474" i="3"/>
  <c r="C4475" i="3"/>
  <c r="C4476" i="3"/>
  <c r="C4458" i="3"/>
  <c r="C4459" i="3"/>
  <c r="C4460" i="3"/>
  <c r="C4461" i="3"/>
  <c r="C4462" i="3"/>
  <c r="C4463" i="3"/>
  <c r="C4464" i="3"/>
  <c r="C4465" i="3"/>
  <c r="C4466" i="3"/>
  <c r="C4467" i="3"/>
  <c r="C4468" i="3"/>
  <c r="M2186" i="2"/>
  <c r="L2186" i="2"/>
  <c r="K2182" i="2"/>
  <c r="I2182" i="2" s="1"/>
  <c r="G2182" i="2"/>
  <c r="E2182" i="2"/>
  <c r="C2182" i="2"/>
  <c r="K2181" i="2"/>
  <c r="I2181" i="2" s="1"/>
  <c r="G2181" i="2"/>
  <c r="E2181" i="2"/>
  <c r="C2181" i="2"/>
  <c r="K2180" i="2"/>
  <c r="J2180" i="2" s="1"/>
  <c r="G2180" i="2"/>
  <c r="E2180" i="2"/>
  <c r="C2180" i="2"/>
  <c r="K2179" i="2"/>
  <c r="I2179" i="2" s="1"/>
  <c r="G2179" i="2"/>
  <c r="E2179" i="2"/>
  <c r="C2179" i="2"/>
  <c r="K2178" i="2"/>
  <c r="J2178" i="2" s="1"/>
  <c r="G2178" i="2"/>
  <c r="E2178" i="2"/>
  <c r="C2178" i="2"/>
  <c r="K2177" i="2"/>
  <c r="H2177" i="2" s="1"/>
  <c r="G2177" i="2"/>
  <c r="E2177" i="2"/>
  <c r="C2177" i="2"/>
  <c r="K2176" i="2"/>
  <c r="J2176" i="2" s="1"/>
  <c r="G2176" i="2"/>
  <c r="E2176" i="2"/>
  <c r="C2176" i="2"/>
  <c r="K2175" i="2"/>
  <c r="J2175" i="2" s="1"/>
  <c r="G2175" i="2"/>
  <c r="E2175" i="2"/>
  <c r="C2175" i="2"/>
  <c r="J2167" i="2"/>
  <c r="P2186" i="2" s="1"/>
  <c r="D2166" i="2"/>
  <c r="O2186" i="2" s="1"/>
  <c r="M2165" i="2"/>
  <c r="L2165" i="2"/>
  <c r="K2161" i="2"/>
  <c r="I2161" i="2" s="1"/>
  <c r="G2161" i="2"/>
  <c r="E2161" i="2"/>
  <c r="C2161" i="2"/>
  <c r="K2160" i="2"/>
  <c r="H2160" i="2" s="1"/>
  <c r="G2160" i="2"/>
  <c r="E2160" i="2"/>
  <c r="C2160" i="2"/>
  <c r="K2159" i="2"/>
  <c r="J2159" i="2" s="1"/>
  <c r="G2159" i="2"/>
  <c r="E2159" i="2"/>
  <c r="C2159" i="2"/>
  <c r="K2158" i="2"/>
  <c r="J2158" i="2" s="1"/>
  <c r="G2158" i="2"/>
  <c r="E2158" i="2"/>
  <c r="C2158" i="2"/>
  <c r="K2157" i="2"/>
  <c r="J2157" i="2" s="1"/>
  <c r="G2157" i="2"/>
  <c r="E2157" i="2"/>
  <c r="C2157" i="2"/>
  <c r="K2156" i="2"/>
  <c r="J2156" i="2" s="1"/>
  <c r="G2156" i="2"/>
  <c r="E2156" i="2"/>
  <c r="C2156" i="2"/>
  <c r="K2155" i="2"/>
  <c r="J2155" i="2" s="1"/>
  <c r="G2155" i="2"/>
  <c r="E2155" i="2"/>
  <c r="C2155" i="2"/>
  <c r="K2154" i="2"/>
  <c r="J2154" i="2" s="1"/>
  <c r="G2154" i="2"/>
  <c r="E2154" i="2"/>
  <c r="C2154" i="2"/>
  <c r="K2153" i="2"/>
  <c r="I2153" i="2" s="1"/>
  <c r="G2153" i="2"/>
  <c r="E2153" i="2"/>
  <c r="C2153" i="2"/>
  <c r="J2146" i="2"/>
  <c r="P2165" i="2" s="1"/>
  <c r="D2145" i="2"/>
  <c r="O2165" i="2" s="1"/>
  <c r="M2144" i="2"/>
  <c r="L2144" i="2"/>
  <c r="K2140" i="2"/>
  <c r="H2140" i="2" s="1"/>
  <c r="G2140" i="2"/>
  <c r="E2140" i="2"/>
  <c r="C2140" i="2"/>
  <c r="K2139" i="2"/>
  <c r="J2139" i="2" s="1"/>
  <c r="G2139" i="2"/>
  <c r="E2139" i="2"/>
  <c r="C2139" i="2"/>
  <c r="K2138" i="2"/>
  <c r="J2138" i="2" s="1"/>
  <c r="G2138" i="2"/>
  <c r="E2138" i="2"/>
  <c r="C2138" i="2"/>
  <c r="K2137" i="2"/>
  <c r="H2137" i="2" s="1"/>
  <c r="G2137" i="2"/>
  <c r="E2137" i="2"/>
  <c r="C2137" i="2"/>
  <c r="K2136" i="2"/>
  <c r="J2136" i="2" s="1"/>
  <c r="G2136" i="2"/>
  <c r="E2136" i="2"/>
  <c r="C2136" i="2"/>
  <c r="K2135" i="2"/>
  <c r="J2135" i="2" s="1"/>
  <c r="G2135" i="2"/>
  <c r="E2135" i="2"/>
  <c r="C2135" i="2"/>
  <c r="K2134" i="2"/>
  <c r="J2134" i="2" s="1"/>
  <c r="G2134" i="2"/>
  <c r="E2134" i="2"/>
  <c r="C2134" i="2"/>
  <c r="K2133" i="2"/>
  <c r="J2133" i="2" s="1"/>
  <c r="G2133" i="2"/>
  <c r="E2133" i="2"/>
  <c r="C2133" i="2"/>
  <c r="K2132" i="2"/>
  <c r="J2132" i="2" s="1"/>
  <c r="G2132" i="2"/>
  <c r="E2132" i="2"/>
  <c r="C2132" i="2"/>
  <c r="J2125" i="2"/>
  <c r="P2144" i="2" s="1"/>
  <c r="D2124" i="2"/>
  <c r="O2144" i="2" s="1"/>
  <c r="C296" i="4"/>
  <c r="C297" i="4"/>
  <c r="C298" i="4"/>
  <c r="C299" i="4"/>
  <c r="C300" i="4"/>
  <c r="C311" i="4"/>
  <c r="C313" i="4"/>
  <c r="C314" i="4"/>
  <c r="C315" i="4"/>
  <c r="C4455" i="3"/>
  <c r="C4456" i="3"/>
  <c r="C4457" i="3"/>
  <c r="M2123" i="2"/>
  <c r="L2123" i="2"/>
  <c r="K2119" i="2"/>
  <c r="I2119" i="2" s="1"/>
  <c r="G2119" i="2"/>
  <c r="E2119" i="2"/>
  <c r="C2119" i="2"/>
  <c r="K2118" i="2"/>
  <c r="I2118" i="2" s="1"/>
  <c r="G2118" i="2"/>
  <c r="E2118" i="2"/>
  <c r="C2118" i="2"/>
  <c r="K2117" i="2"/>
  <c r="J2117" i="2" s="1"/>
  <c r="G2117" i="2"/>
  <c r="E2117" i="2"/>
  <c r="C2117" i="2"/>
  <c r="K2116" i="2"/>
  <c r="J2116" i="2" s="1"/>
  <c r="G2116" i="2"/>
  <c r="E2116" i="2"/>
  <c r="C2116" i="2"/>
  <c r="K2115" i="2"/>
  <c r="I2115" i="2" s="1"/>
  <c r="G2115" i="2"/>
  <c r="E2115" i="2"/>
  <c r="C2115" i="2"/>
  <c r="K2114" i="2"/>
  <c r="J2114" i="2" s="1"/>
  <c r="G2114" i="2"/>
  <c r="E2114" i="2"/>
  <c r="C2114" i="2"/>
  <c r="K2113" i="2"/>
  <c r="J2113" i="2" s="1"/>
  <c r="G2113" i="2"/>
  <c r="E2113" i="2"/>
  <c r="C2113" i="2"/>
  <c r="J2104" i="2"/>
  <c r="P2123" i="2" s="1"/>
  <c r="D2103" i="2"/>
  <c r="O2123" i="2" s="1"/>
  <c r="M2102" i="2"/>
  <c r="L2102" i="2"/>
  <c r="K2098" i="2"/>
  <c r="H2098" i="2" s="1"/>
  <c r="G2098" i="2"/>
  <c r="E2098" i="2"/>
  <c r="C2098" i="2"/>
  <c r="K2097" i="2"/>
  <c r="J2097" i="2" s="1"/>
  <c r="G2097" i="2"/>
  <c r="E2097" i="2"/>
  <c r="C2097" i="2"/>
  <c r="K2096" i="2"/>
  <c r="J2096" i="2" s="1"/>
  <c r="G2096" i="2"/>
  <c r="E2096" i="2"/>
  <c r="C2096" i="2"/>
  <c r="K2095" i="2"/>
  <c r="I2095" i="2" s="1"/>
  <c r="G2095" i="2"/>
  <c r="E2095" i="2"/>
  <c r="C2095" i="2"/>
  <c r="K2094" i="2"/>
  <c r="H2094" i="2" s="1"/>
  <c r="G2094" i="2"/>
  <c r="E2094" i="2"/>
  <c r="C2094" i="2"/>
  <c r="K2093" i="2"/>
  <c r="J2093" i="2" s="1"/>
  <c r="G2093" i="2"/>
  <c r="E2093" i="2"/>
  <c r="C2093" i="2"/>
  <c r="K2092" i="2"/>
  <c r="J2092" i="2" s="1"/>
  <c r="G2092" i="2"/>
  <c r="E2092" i="2"/>
  <c r="C2092" i="2"/>
  <c r="J2083" i="2"/>
  <c r="P2102" i="2" s="1"/>
  <c r="D2082" i="2"/>
  <c r="O2102" i="2" s="1"/>
  <c r="C295" i="4"/>
  <c r="C294" i="4"/>
  <c r="M2081" i="2"/>
  <c r="L2081" i="2"/>
  <c r="K2077" i="2"/>
  <c r="I2077" i="2" s="1"/>
  <c r="G2077" i="2"/>
  <c r="E2077" i="2"/>
  <c r="C2077" i="2"/>
  <c r="K2076" i="2"/>
  <c r="H2076" i="2" s="1"/>
  <c r="G2076" i="2"/>
  <c r="E2076" i="2"/>
  <c r="C2076" i="2"/>
  <c r="K2075" i="2"/>
  <c r="H2075" i="2" s="1"/>
  <c r="G2075" i="2"/>
  <c r="E2075" i="2"/>
  <c r="C2075" i="2"/>
  <c r="K2074" i="2"/>
  <c r="J2074" i="2" s="1"/>
  <c r="G2074" i="2"/>
  <c r="E2074" i="2"/>
  <c r="C2074" i="2"/>
  <c r="K2073" i="2"/>
  <c r="J2073" i="2" s="1"/>
  <c r="G2073" i="2"/>
  <c r="E2073" i="2"/>
  <c r="C2073" i="2"/>
  <c r="K2072" i="2"/>
  <c r="J2072" i="2" s="1"/>
  <c r="G2072" i="2"/>
  <c r="E2072" i="2"/>
  <c r="C2072" i="2"/>
  <c r="K2071" i="2"/>
  <c r="I2071" i="2" s="1"/>
  <c r="G2071" i="2"/>
  <c r="E2071" i="2"/>
  <c r="C2071" i="2"/>
  <c r="J2062" i="2"/>
  <c r="P2081" i="2" s="1"/>
  <c r="D2061" i="2"/>
  <c r="O2081" i="2" s="1"/>
  <c r="C293" i="4"/>
  <c r="M2060" i="2"/>
  <c r="L2060" i="2"/>
  <c r="K2056" i="2"/>
  <c r="I2056" i="2" s="1"/>
  <c r="G2056" i="2"/>
  <c r="E2056" i="2"/>
  <c r="C2056" i="2"/>
  <c r="K2055" i="2"/>
  <c r="I2055" i="2" s="1"/>
  <c r="G2055" i="2"/>
  <c r="E2055" i="2"/>
  <c r="C2055" i="2"/>
  <c r="K2054" i="2"/>
  <c r="J2054" i="2" s="1"/>
  <c r="G2054" i="2"/>
  <c r="E2054" i="2"/>
  <c r="C2054" i="2"/>
  <c r="K2053" i="2"/>
  <c r="J2053" i="2" s="1"/>
  <c r="G2053" i="2"/>
  <c r="E2053" i="2"/>
  <c r="C2053" i="2"/>
  <c r="K2052" i="2"/>
  <c r="J2052" i="2" s="1"/>
  <c r="G2052" i="2"/>
  <c r="E2052" i="2"/>
  <c r="C2052" i="2"/>
  <c r="K2051" i="2"/>
  <c r="J2051" i="2" s="1"/>
  <c r="G2051" i="2"/>
  <c r="E2051" i="2"/>
  <c r="C2051" i="2"/>
  <c r="K2050" i="2"/>
  <c r="J2050" i="2" s="1"/>
  <c r="G2050" i="2"/>
  <c r="E2050" i="2"/>
  <c r="C2050" i="2"/>
  <c r="J2041" i="2"/>
  <c r="P2060" i="2" s="1"/>
  <c r="D2040" i="2"/>
  <c r="O2060" i="2" s="1"/>
  <c r="M2039" i="2"/>
  <c r="L2039" i="2"/>
  <c r="K2035" i="2"/>
  <c r="I2035" i="2" s="1"/>
  <c r="G2035" i="2"/>
  <c r="E2035" i="2"/>
  <c r="C2035" i="2"/>
  <c r="K2034" i="2"/>
  <c r="H2034" i="2" s="1"/>
  <c r="G2034" i="2"/>
  <c r="E2034" i="2"/>
  <c r="C2034" i="2"/>
  <c r="K2033" i="2"/>
  <c r="H2033" i="2" s="1"/>
  <c r="G2033" i="2"/>
  <c r="E2033" i="2"/>
  <c r="C2033" i="2"/>
  <c r="K2032" i="2"/>
  <c r="J2032" i="2" s="1"/>
  <c r="G2032" i="2"/>
  <c r="E2032" i="2"/>
  <c r="C2032" i="2"/>
  <c r="K2031" i="2"/>
  <c r="J2031" i="2" s="1"/>
  <c r="G2031" i="2"/>
  <c r="E2031" i="2"/>
  <c r="C2031" i="2"/>
  <c r="K2030" i="2"/>
  <c r="H2030" i="2" s="1"/>
  <c r="G2030" i="2"/>
  <c r="E2030" i="2"/>
  <c r="C2030" i="2"/>
  <c r="K2029" i="2"/>
  <c r="I2029" i="2" s="1"/>
  <c r="G2029" i="2"/>
  <c r="E2029" i="2"/>
  <c r="C2029" i="2"/>
  <c r="J2020" i="2"/>
  <c r="P2039" i="2" s="1"/>
  <c r="D2019" i="2"/>
  <c r="O2039" i="2" s="1"/>
  <c r="M2018" i="2"/>
  <c r="L2018" i="2"/>
  <c r="K2014" i="2"/>
  <c r="I2014" i="2" s="1"/>
  <c r="G2014" i="2"/>
  <c r="E2014" i="2"/>
  <c r="C2014" i="2"/>
  <c r="K2013" i="2"/>
  <c r="H2013" i="2" s="1"/>
  <c r="G2013" i="2"/>
  <c r="E2013" i="2"/>
  <c r="C2013" i="2"/>
  <c r="K2012" i="2"/>
  <c r="J2012" i="2" s="1"/>
  <c r="G2012" i="2"/>
  <c r="E2012" i="2"/>
  <c r="C2012" i="2"/>
  <c r="K2011" i="2"/>
  <c r="J2011" i="2" s="1"/>
  <c r="G2011" i="2"/>
  <c r="E2011" i="2"/>
  <c r="C2011" i="2"/>
  <c r="K2010" i="2"/>
  <c r="J2010" i="2" s="1"/>
  <c r="G2010" i="2"/>
  <c r="E2010" i="2"/>
  <c r="C2010" i="2"/>
  <c r="K2009" i="2"/>
  <c r="H2009" i="2" s="1"/>
  <c r="G2009" i="2"/>
  <c r="E2009" i="2"/>
  <c r="C2009" i="2"/>
  <c r="K2008" i="2"/>
  <c r="J2008" i="2" s="1"/>
  <c r="G2008" i="2"/>
  <c r="E2008" i="2"/>
  <c r="C2008" i="2"/>
  <c r="J1999" i="2"/>
  <c r="P2018" i="2" s="1"/>
  <c r="D1998" i="2"/>
  <c r="O2018" i="2" s="1"/>
  <c r="M1997" i="2"/>
  <c r="L1997" i="2"/>
  <c r="K1993" i="2"/>
  <c r="I1993" i="2" s="1"/>
  <c r="G1993" i="2"/>
  <c r="E1993" i="2"/>
  <c r="C1993" i="2"/>
  <c r="K1992" i="2"/>
  <c r="H1992" i="2" s="1"/>
  <c r="G1992" i="2"/>
  <c r="E1992" i="2"/>
  <c r="C1992" i="2"/>
  <c r="K1991" i="2"/>
  <c r="J1991" i="2" s="1"/>
  <c r="G1991" i="2"/>
  <c r="E1991" i="2"/>
  <c r="C1991" i="2"/>
  <c r="K1990" i="2"/>
  <c r="J1990" i="2" s="1"/>
  <c r="G1990" i="2"/>
  <c r="E1990" i="2"/>
  <c r="C1990" i="2"/>
  <c r="K1989" i="2"/>
  <c r="H1989" i="2" s="1"/>
  <c r="G1989" i="2"/>
  <c r="E1989" i="2"/>
  <c r="C1989" i="2"/>
  <c r="K1988" i="2"/>
  <c r="J1988" i="2" s="1"/>
  <c r="G1988" i="2"/>
  <c r="E1988" i="2"/>
  <c r="C1988" i="2"/>
  <c r="K1987" i="2"/>
  <c r="J1987" i="2" s="1"/>
  <c r="G1987" i="2"/>
  <c r="E1987" i="2"/>
  <c r="C1987" i="2"/>
  <c r="J1978" i="2"/>
  <c r="P1997" i="2" s="1"/>
  <c r="D1977" i="2"/>
  <c r="O1997" i="2" s="1"/>
  <c r="C292" i="4"/>
  <c r="C291" i="4"/>
  <c r="C290" i="4"/>
  <c r="C289" i="4"/>
  <c r="M1976" i="2"/>
  <c r="L1976" i="2"/>
  <c r="K1972" i="2"/>
  <c r="H1972" i="2" s="1"/>
  <c r="G1972" i="2"/>
  <c r="E1972" i="2"/>
  <c r="C1972" i="2"/>
  <c r="K1971" i="2"/>
  <c r="J1971" i="2" s="1"/>
  <c r="G1971" i="2"/>
  <c r="E1971" i="2"/>
  <c r="C1971" i="2"/>
  <c r="K1970" i="2"/>
  <c r="J1970" i="2" s="1"/>
  <c r="G1970" i="2"/>
  <c r="E1970" i="2"/>
  <c r="C1970" i="2"/>
  <c r="K1969" i="2"/>
  <c r="J1969" i="2" s="1"/>
  <c r="G1969" i="2"/>
  <c r="E1969" i="2"/>
  <c r="C1969" i="2"/>
  <c r="K1968" i="2"/>
  <c r="H1968" i="2" s="1"/>
  <c r="G1968" i="2"/>
  <c r="E1968" i="2"/>
  <c r="C1968" i="2"/>
  <c r="K1967" i="2"/>
  <c r="J1967" i="2" s="1"/>
  <c r="G1967" i="2"/>
  <c r="E1967" i="2"/>
  <c r="C1967" i="2"/>
  <c r="K1966" i="2"/>
  <c r="J1966" i="2" s="1"/>
  <c r="G1966" i="2"/>
  <c r="E1966" i="2"/>
  <c r="C1966" i="2"/>
  <c r="J1957" i="2"/>
  <c r="P1976" i="2" s="1"/>
  <c r="D1956" i="2"/>
  <c r="O1976" i="2" s="1"/>
  <c r="C4445" i="3"/>
  <c r="C4446" i="3"/>
  <c r="C4447" i="3"/>
  <c r="C4448" i="3"/>
  <c r="C4449" i="3"/>
  <c r="C4450" i="3"/>
  <c r="C4451" i="3"/>
  <c r="C4452" i="3"/>
  <c r="C4453" i="3"/>
  <c r="C4454" i="3"/>
  <c r="C288" i="4"/>
  <c r="C287" i="4"/>
  <c r="M1955" i="2"/>
  <c r="L1955" i="2"/>
  <c r="K1951" i="2"/>
  <c r="I1951" i="2" s="1"/>
  <c r="G1951" i="2"/>
  <c r="E1951" i="2"/>
  <c r="C1951" i="2"/>
  <c r="K1950" i="2"/>
  <c r="H1950" i="2" s="1"/>
  <c r="G1950" i="2"/>
  <c r="E1950" i="2"/>
  <c r="C1950" i="2"/>
  <c r="K1949" i="2"/>
  <c r="J1949" i="2" s="1"/>
  <c r="G1949" i="2"/>
  <c r="E1949" i="2"/>
  <c r="C1949" i="2"/>
  <c r="K1948" i="2"/>
  <c r="J1948" i="2" s="1"/>
  <c r="G1948" i="2"/>
  <c r="E1948" i="2"/>
  <c r="C1948" i="2"/>
  <c r="K1947" i="2"/>
  <c r="J1947" i="2" s="1"/>
  <c r="G1947" i="2"/>
  <c r="E1947" i="2"/>
  <c r="C1947" i="2"/>
  <c r="K1946" i="2"/>
  <c r="I1946" i="2" s="1"/>
  <c r="G1946" i="2"/>
  <c r="E1946" i="2"/>
  <c r="C1946" i="2"/>
  <c r="K1945" i="2"/>
  <c r="H1945" i="2" s="1"/>
  <c r="G1945" i="2"/>
  <c r="E1945" i="2"/>
  <c r="C1945" i="2"/>
  <c r="J1936" i="2"/>
  <c r="P1955" i="2" s="1"/>
  <c r="D1935" i="2"/>
  <c r="O1955" i="2" s="1"/>
  <c r="C4444" i="3"/>
  <c r="C286" i="4"/>
  <c r="M1934" i="2"/>
  <c r="L1934" i="2"/>
  <c r="K1930" i="2"/>
  <c r="H1930" i="2" s="1"/>
  <c r="G1930" i="2"/>
  <c r="E1930" i="2"/>
  <c r="C1930" i="2"/>
  <c r="K1929" i="2"/>
  <c r="J1929" i="2" s="1"/>
  <c r="G1929" i="2"/>
  <c r="E1929" i="2"/>
  <c r="C1929" i="2"/>
  <c r="K1928" i="2"/>
  <c r="I1928" i="2" s="1"/>
  <c r="G1928" i="2"/>
  <c r="E1928" i="2"/>
  <c r="C1928" i="2"/>
  <c r="K1927" i="2"/>
  <c r="J1927" i="2" s="1"/>
  <c r="G1927" i="2"/>
  <c r="E1927" i="2"/>
  <c r="C1927" i="2"/>
  <c r="K1926" i="2"/>
  <c r="I1926" i="2" s="1"/>
  <c r="G1926" i="2"/>
  <c r="E1926" i="2"/>
  <c r="C1926" i="2"/>
  <c r="K1925" i="2"/>
  <c r="J1925" i="2" s="1"/>
  <c r="G1925" i="2"/>
  <c r="E1925" i="2"/>
  <c r="C1925" i="2"/>
  <c r="K1924" i="2"/>
  <c r="J1924" i="2" s="1"/>
  <c r="G1924" i="2"/>
  <c r="E1924" i="2"/>
  <c r="C1924" i="2"/>
  <c r="J1915" i="2"/>
  <c r="P1934" i="2" s="1"/>
  <c r="D1914" i="2"/>
  <c r="O1934" i="2" s="1"/>
  <c r="C4443" i="3"/>
  <c r="M1913" i="2"/>
  <c r="L1913" i="2"/>
  <c r="K1909" i="2"/>
  <c r="I1909" i="2" s="1"/>
  <c r="G1909" i="2"/>
  <c r="E1909" i="2"/>
  <c r="C1909" i="2"/>
  <c r="K1908" i="2"/>
  <c r="H1908" i="2" s="1"/>
  <c r="G1908" i="2"/>
  <c r="E1908" i="2"/>
  <c r="C1908" i="2"/>
  <c r="K1907" i="2"/>
  <c r="J1907" i="2" s="1"/>
  <c r="G1907" i="2"/>
  <c r="E1907" i="2"/>
  <c r="C1907" i="2"/>
  <c r="K1906" i="2"/>
  <c r="J1906" i="2" s="1"/>
  <c r="G1906" i="2"/>
  <c r="E1906" i="2"/>
  <c r="C1906" i="2"/>
  <c r="K1905" i="2"/>
  <c r="J1905" i="2" s="1"/>
  <c r="G1905" i="2"/>
  <c r="E1905" i="2"/>
  <c r="C1905" i="2"/>
  <c r="K1904" i="2"/>
  <c r="J1904" i="2" s="1"/>
  <c r="G1904" i="2"/>
  <c r="E1904" i="2"/>
  <c r="C1904" i="2"/>
  <c r="K1903" i="2"/>
  <c r="H1903" i="2" s="1"/>
  <c r="G1903" i="2"/>
  <c r="E1903" i="2"/>
  <c r="C1903" i="2"/>
  <c r="J1894" i="2"/>
  <c r="P1913" i="2" s="1"/>
  <c r="D1893" i="2"/>
  <c r="O1913" i="2" s="1"/>
  <c r="M1892" i="2"/>
  <c r="L1892" i="2"/>
  <c r="K1888" i="2"/>
  <c r="I1888" i="2" s="1"/>
  <c r="G1888" i="2"/>
  <c r="E1888" i="2"/>
  <c r="C1888" i="2"/>
  <c r="K1887" i="2"/>
  <c r="J1887" i="2" s="1"/>
  <c r="G1887" i="2"/>
  <c r="E1887" i="2"/>
  <c r="C1887" i="2"/>
  <c r="K1886" i="2"/>
  <c r="J1886" i="2" s="1"/>
  <c r="G1886" i="2"/>
  <c r="E1886" i="2"/>
  <c r="C1886" i="2"/>
  <c r="K1885" i="2"/>
  <c r="J1885" i="2" s="1"/>
  <c r="G1885" i="2"/>
  <c r="E1885" i="2"/>
  <c r="C1885" i="2"/>
  <c r="K1884" i="2"/>
  <c r="J1884" i="2" s="1"/>
  <c r="G1884" i="2"/>
  <c r="E1884" i="2"/>
  <c r="C1884" i="2"/>
  <c r="K1883" i="2"/>
  <c r="J1883" i="2" s="1"/>
  <c r="G1883" i="2"/>
  <c r="E1883" i="2"/>
  <c r="C1883" i="2"/>
  <c r="K1882" i="2"/>
  <c r="J1882" i="2" s="1"/>
  <c r="G1882" i="2"/>
  <c r="E1882" i="2"/>
  <c r="C1882" i="2"/>
  <c r="J1873" i="2"/>
  <c r="P1892" i="2" s="1"/>
  <c r="D1872" i="2"/>
  <c r="O1892" i="2" s="1"/>
  <c r="M1871" i="2"/>
  <c r="L1871" i="2"/>
  <c r="K1867" i="2"/>
  <c r="I1867" i="2" s="1"/>
  <c r="G1867" i="2"/>
  <c r="E1867" i="2"/>
  <c r="C1867" i="2"/>
  <c r="K1866" i="2"/>
  <c r="I1866" i="2" s="1"/>
  <c r="G1866" i="2"/>
  <c r="E1866" i="2"/>
  <c r="C1866" i="2"/>
  <c r="K1865" i="2"/>
  <c r="J1865" i="2" s="1"/>
  <c r="G1865" i="2"/>
  <c r="E1865" i="2"/>
  <c r="C1865" i="2"/>
  <c r="K1864" i="2"/>
  <c r="J1864" i="2" s="1"/>
  <c r="G1864" i="2"/>
  <c r="E1864" i="2"/>
  <c r="C1864" i="2"/>
  <c r="K1863" i="2"/>
  <c r="J1863" i="2" s="1"/>
  <c r="G1863" i="2"/>
  <c r="E1863" i="2"/>
  <c r="C1863" i="2"/>
  <c r="K1862" i="2"/>
  <c r="I1862" i="2" s="1"/>
  <c r="G1862" i="2"/>
  <c r="E1862" i="2"/>
  <c r="C1862" i="2"/>
  <c r="K1861" i="2"/>
  <c r="J1861" i="2" s="1"/>
  <c r="G1861" i="2"/>
  <c r="E1861" i="2"/>
  <c r="C1861" i="2"/>
  <c r="J1852" i="2"/>
  <c r="P1871" i="2" s="1"/>
  <c r="D1851" i="2"/>
  <c r="O1871" i="2" s="1"/>
  <c r="M1850" i="2"/>
  <c r="L1850" i="2"/>
  <c r="K1846" i="2"/>
  <c r="I1846" i="2" s="1"/>
  <c r="G1846" i="2"/>
  <c r="E1846" i="2"/>
  <c r="C1846" i="2"/>
  <c r="K1845" i="2"/>
  <c r="H1845" i="2" s="1"/>
  <c r="G1845" i="2"/>
  <c r="E1845" i="2"/>
  <c r="C1845" i="2"/>
  <c r="K1844" i="2"/>
  <c r="J1844" i="2" s="1"/>
  <c r="G1844" i="2"/>
  <c r="E1844" i="2"/>
  <c r="C1844" i="2"/>
  <c r="K1843" i="2"/>
  <c r="J1843" i="2" s="1"/>
  <c r="G1843" i="2"/>
  <c r="E1843" i="2"/>
  <c r="C1843" i="2"/>
  <c r="K1842" i="2"/>
  <c r="I1842" i="2" s="1"/>
  <c r="G1842" i="2"/>
  <c r="E1842" i="2"/>
  <c r="C1842" i="2"/>
  <c r="K1841" i="2"/>
  <c r="J1841" i="2" s="1"/>
  <c r="G1841" i="2"/>
  <c r="E1841" i="2"/>
  <c r="C1841" i="2"/>
  <c r="K1840" i="2"/>
  <c r="I1840" i="2" s="1"/>
  <c r="G1840" i="2"/>
  <c r="E1840" i="2"/>
  <c r="C1840" i="2"/>
  <c r="J1831" i="2"/>
  <c r="P1850" i="2" s="1"/>
  <c r="D1830" i="2"/>
  <c r="O1850" i="2" s="1"/>
  <c r="M1829" i="2"/>
  <c r="L1829" i="2"/>
  <c r="K1825" i="2"/>
  <c r="I1825" i="2" s="1"/>
  <c r="G1825" i="2"/>
  <c r="E1825" i="2"/>
  <c r="C1825" i="2"/>
  <c r="K1824" i="2"/>
  <c r="H1824" i="2" s="1"/>
  <c r="G1824" i="2"/>
  <c r="E1824" i="2"/>
  <c r="C1824" i="2"/>
  <c r="K1823" i="2"/>
  <c r="J1823" i="2" s="1"/>
  <c r="G1823" i="2"/>
  <c r="E1823" i="2"/>
  <c r="C1823" i="2"/>
  <c r="K1822" i="2"/>
  <c r="J1822" i="2" s="1"/>
  <c r="G1822" i="2"/>
  <c r="E1822" i="2"/>
  <c r="C1822" i="2"/>
  <c r="K1821" i="2"/>
  <c r="J1821" i="2" s="1"/>
  <c r="G1821" i="2"/>
  <c r="E1821" i="2"/>
  <c r="C1821" i="2"/>
  <c r="K1820" i="2"/>
  <c r="J1820" i="2" s="1"/>
  <c r="G1820" i="2"/>
  <c r="E1820" i="2"/>
  <c r="C1820" i="2"/>
  <c r="K1819" i="2"/>
  <c r="J1819" i="2" s="1"/>
  <c r="G1819" i="2"/>
  <c r="E1819" i="2"/>
  <c r="C1819" i="2"/>
  <c r="J1810" i="2"/>
  <c r="P1829" i="2" s="1"/>
  <c r="D1809" i="2"/>
  <c r="O1829" i="2" s="1"/>
  <c r="M1808" i="2"/>
  <c r="L1808" i="2"/>
  <c r="K1804" i="2"/>
  <c r="I1804" i="2" s="1"/>
  <c r="G1804" i="2"/>
  <c r="E1804" i="2"/>
  <c r="C1804" i="2"/>
  <c r="K1803" i="2"/>
  <c r="H1803" i="2" s="1"/>
  <c r="G1803" i="2"/>
  <c r="E1803" i="2"/>
  <c r="C1803" i="2"/>
  <c r="K1802" i="2"/>
  <c r="J1802" i="2" s="1"/>
  <c r="G1802" i="2"/>
  <c r="E1802" i="2"/>
  <c r="C1802" i="2"/>
  <c r="K1801" i="2"/>
  <c r="I1801" i="2" s="1"/>
  <c r="G1801" i="2"/>
  <c r="E1801" i="2"/>
  <c r="C1801" i="2"/>
  <c r="K1800" i="2"/>
  <c r="H1800" i="2" s="1"/>
  <c r="G1800" i="2"/>
  <c r="E1800" i="2"/>
  <c r="C1800" i="2"/>
  <c r="K1799" i="2"/>
  <c r="J1799" i="2" s="1"/>
  <c r="G1799" i="2"/>
  <c r="E1799" i="2"/>
  <c r="C1799" i="2"/>
  <c r="K1798" i="2"/>
  <c r="J1798" i="2" s="1"/>
  <c r="G1798" i="2"/>
  <c r="E1798" i="2"/>
  <c r="C1798" i="2"/>
  <c r="J1789" i="2"/>
  <c r="P1808" i="2" s="1"/>
  <c r="D1788" i="2"/>
  <c r="O1808" i="2" s="1"/>
  <c r="M1787" i="2"/>
  <c r="L1787" i="2"/>
  <c r="K1783" i="2"/>
  <c r="I1783" i="2" s="1"/>
  <c r="G1783" i="2"/>
  <c r="E1783" i="2"/>
  <c r="C1783" i="2"/>
  <c r="K1782" i="2"/>
  <c r="I1782" i="2" s="1"/>
  <c r="G1782" i="2"/>
  <c r="E1782" i="2"/>
  <c r="C1782" i="2"/>
  <c r="K1781" i="2"/>
  <c r="J1781" i="2" s="1"/>
  <c r="G1781" i="2"/>
  <c r="E1781" i="2"/>
  <c r="C1781" i="2"/>
  <c r="K1780" i="2"/>
  <c r="I1780" i="2" s="1"/>
  <c r="G1780" i="2"/>
  <c r="E1780" i="2"/>
  <c r="C1780" i="2"/>
  <c r="K1779" i="2"/>
  <c r="J1779" i="2" s="1"/>
  <c r="G1779" i="2"/>
  <c r="E1779" i="2"/>
  <c r="C1779" i="2"/>
  <c r="K1778" i="2"/>
  <c r="J1778" i="2" s="1"/>
  <c r="G1778" i="2"/>
  <c r="E1778" i="2"/>
  <c r="C1778" i="2"/>
  <c r="K1777" i="2"/>
  <c r="J1777" i="2" s="1"/>
  <c r="G1777" i="2"/>
  <c r="E1777" i="2"/>
  <c r="C1777" i="2"/>
  <c r="J1768" i="2"/>
  <c r="P1787" i="2" s="1"/>
  <c r="D1767" i="2"/>
  <c r="O1787" i="2" s="1"/>
  <c r="C4438" i="3"/>
  <c r="C4437" i="3"/>
  <c r="C4436" i="3"/>
  <c r="C4435" i="3"/>
  <c r="C4439" i="3"/>
  <c r="C4440" i="3"/>
  <c r="C4441" i="3"/>
  <c r="C4442" i="3"/>
  <c r="C278" i="4"/>
  <c r="C279" i="4"/>
  <c r="C280" i="4"/>
  <c r="C281" i="4"/>
  <c r="C282" i="4"/>
  <c r="C283" i="4"/>
  <c r="C284" i="4"/>
  <c r="C285" i="4"/>
  <c r="C119" i="4"/>
  <c r="C120" i="4"/>
  <c r="C121" i="4"/>
  <c r="C122" i="4"/>
  <c r="C123" i="4"/>
  <c r="C124" i="4"/>
  <c r="C125" i="4"/>
  <c r="C126" i="4"/>
  <c r="C127" i="4"/>
  <c r="C130" i="4"/>
  <c r="C132" i="4"/>
  <c r="C134" i="4"/>
  <c r="C135" i="4"/>
  <c r="C136" i="4"/>
  <c r="C137" i="4"/>
  <c r="C138" i="4"/>
  <c r="C139" i="4"/>
  <c r="C140" i="4"/>
  <c r="C141" i="4"/>
  <c r="C142" i="4"/>
  <c r="C143" i="4"/>
  <c r="C144" i="4"/>
  <c r="C145" i="4"/>
  <c r="M1766" i="2"/>
  <c r="L1766" i="2"/>
  <c r="K1762" i="2"/>
  <c r="I1762" i="2" s="1"/>
  <c r="G1762" i="2"/>
  <c r="E1762" i="2"/>
  <c r="C1762" i="2"/>
  <c r="K1761" i="2"/>
  <c r="H1761" i="2" s="1"/>
  <c r="G1761" i="2"/>
  <c r="E1761" i="2"/>
  <c r="C1761" i="2"/>
  <c r="K1760" i="2"/>
  <c r="H1760" i="2" s="1"/>
  <c r="G1760" i="2"/>
  <c r="E1760" i="2"/>
  <c r="C1760" i="2"/>
  <c r="K1759" i="2"/>
  <c r="J1759" i="2" s="1"/>
  <c r="G1759" i="2"/>
  <c r="E1759" i="2"/>
  <c r="C1759" i="2"/>
  <c r="K1758" i="2"/>
  <c r="J1758" i="2" s="1"/>
  <c r="G1758" i="2"/>
  <c r="E1758" i="2"/>
  <c r="C1758" i="2"/>
  <c r="K1757" i="2"/>
  <c r="J1757" i="2" s="1"/>
  <c r="G1757" i="2"/>
  <c r="E1757" i="2"/>
  <c r="C1757" i="2"/>
  <c r="K1756" i="2"/>
  <c r="H1756" i="2" s="1"/>
  <c r="G1756" i="2"/>
  <c r="E1756" i="2"/>
  <c r="C1756" i="2"/>
  <c r="J1747" i="2"/>
  <c r="P1766" i="2" s="1"/>
  <c r="D1746" i="2"/>
  <c r="O1766" i="2" s="1"/>
  <c r="C4353" i="3"/>
  <c r="C4352" i="3"/>
  <c r="C4351" i="3"/>
  <c r="C4350" i="3"/>
  <c r="C4349" i="3"/>
  <c r="C4348" i="3"/>
  <c r="N2018" i="2" l="1"/>
  <c r="N2123" i="2"/>
  <c r="N1892" i="2"/>
  <c r="N1808" i="2"/>
  <c r="N1871" i="2"/>
  <c r="N1976" i="2"/>
  <c r="N1934" i="2"/>
  <c r="N2270" i="2"/>
  <c r="H2262" i="2"/>
  <c r="I2262" i="2"/>
  <c r="I2264" i="2"/>
  <c r="J2264" i="2"/>
  <c r="H2263" i="2"/>
  <c r="J2260" i="2"/>
  <c r="I2263" i="2"/>
  <c r="J2266" i="2"/>
  <c r="H2261" i="2"/>
  <c r="I2265" i="2"/>
  <c r="I2260" i="2"/>
  <c r="J2265" i="2"/>
  <c r="I2261" i="2"/>
  <c r="H2259" i="2"/>
  <c r="I2259" i="2"/>
  <c r="H2266" i="2"/>
  <c r="I2239" i="2"/>
  <c r="J2239" i="2"/>
  <c r="H2243" i="2"/>
  <c r="I2216" i="2"/>
  <c r="J2245" i="2"/>
  <c r="J2242" i="2"/>
  <c r="H2242" i="2"/>
  <c r="H2241" i="2"/>
  <c r="I2241" i="2"/>
  <c r="H2240" i="2"/>
  <c r="I2244" i="2"/>
  <c r="N2249" i="2"/>
  <c r="J2240" i="2"/>
  <c r="J2244" i="2"/>
  <c r="I2243" i="2"/>
  <c r="H2238" i="2"/>
  <c r="I2238" i="2"/>
  <c r="H2245" i="2"/>
  <c r="H2223" i="2"/>
  <c r="H2219" i="2"/>
  <c r="J2219" i="2"/>
  <c r="H2222" i="2"/>
  <c r="J2216" i="2"/>
  <c r="H2215" i="2"/>
  <c r="J2221" i="2"/>
  <c r="I2224" i="2"/>
  <c r="I2215" i="2"/>
  <c r="J2224" i="2"/>
  <c r="I2220" i="2"/>
  <c r="I2223" i="2"/>
  <c r="N2228" i="2"/>
  <c r="H2221" i="2"/>
  <c r="I2222" i="2"/>
  <c r="H2220" i="2"/>
  <c r="H2218" i="2"/>
  <c r="H2217" i="2"/>
  <c r="I2218" i="2"/>
  <c r="I2217" i="2"/>
  <c r="I2197" i="2"/>
  <c r="H2201" i="2"/>
  <c r="I2201" i="2"/>
  <c r="I2195" i="2"/>
  <c r="H2197" i="2"/>
  <c r="I2200" i="2"/>
  <c r="J2203" i="2"/>
  <c r="N2207" i="2"/>
  <c r="I2196" i="2"/>
  <c r="H2199" i="2"/>
  <c r="I2194" i="2"/>
  <c r="J2195" i="2"/>
  <c r="I2202" i="2"/>
  <c r="J2194" i="2"/>
  <c r="H2200" i="2"/>
  <c r="J2202" i="2"/>
  <c r="H2198" i="2"/>
  <c r="I2199" i="2"/>
  <c r="I2198" i="2"/>
  <c r="H2196" i="2"/>
  <c r="H2195" i="2"/>
  <c r="H2203" i="2"/>
  <c r="I2178" i="2"/>
  <c r="H2175" i="2"/>
  <c r="I2177" i="2"/>
  <c r="I2180" i="2"/>
  <c r="J2177" i="2"/>
  <c r="J2179" i="2"/>
  <c r="J2181" i="2"/>
  <c r="H2179" i="2"/>
  <c r="I2175" i="2"/>
  <c r="N2186" i="2"/>
  <c r="H2181" i="2"/>
  <c r="H2180" i="2"/>
  <c r="J2182" i="2"/>
  <c r="H2178" i="2"/>
  <c r="H2176" i="2"/>
  <c r="I2176" i="2"/>
  <c r="H2182" i="2"/>
  <c r="J2160" i="2"/>
  <c r="H2155" i="2"/>
  <c r="I2155" i="2"/>
  <c r="H2154" i="2"/>
  <c r="I2154" i="2"/>
  <c r="I2159" i="2"/>
  <c r="H2158" i="2"/>
  <c r="N2165" i="2"/>
  <c r="J2153" i="2"/>
  <c r="H2159" i="2"/>
  <c r="I2160" i="2"/>
  <c r="J2161" i="2"/>
  <c r="H2157" i="2"/>
  <c r="I2158" i="2"/>
  <c r="H2156" i="2"/>
  <c r="I2157" i="2"/>
  <c r="I2156" i="2"/>
  <c r="H2153" i="2"/>
  <c r="H2161" i="2"/>
  <c r="H2138" i="2"/>
  <c r="I2132" i="2"/>
  <c r="I2136" i="2"/>
  <c r="I2137" i="2"/>
  <c r="H2136" i="2"/>
  <c r="J2137" i="2"/>
  <c r="I2140" i="2"/>
  <c r="J2140" i="2"/>
  <c r="H2135" i="2"/>
  <c r="H2139" i="2"/>
  <c r="I2135" i="2"/>
  <c r="I2139" i="2"/>
  <c r="N2144" i="2"/>
  <c r="I2138" i="2"/>
  <c r="H2134" i="2"/>
  <c r="H2133" i="2"/>
  <c r="I2134" i="2"/>
  <c r="H2132" i="2"/>
  <c r="I2133" i="2"/>
  <c r="J2098" i="2"/>
  <c r="I2117" i="2"/>
  <c r="H2116" i="2"/>
  <c r="I2114" i="2"/>
  <c r="N2102" i="2"/>
  <c r="H2113" i="2"/>
  <c r="H2118" i="2"/>
  <c r="J2115" i="2"/>
  <c r="J2118" i="2"/>
  <c r="J2095" i="2"/>
  <c r="I2098" i="2"/>
  <c r="H2117" i="2"/>
  <c r="J2119" i="2"/>
  <c r="I2094" i="2"/>
  <c r="H2097" i="2"/>
  <c r="H2115" i="2"/>
  <c r="I2116" i="2"/>
  <c r="J2094" i="2"/>
  <c r="I2097" i="2"/>
  <c r="H2114" i="2"/>
  <c r="H2093" i="2"/>
  <c r="I2093" i="2"/>
  <c r="H2096" i="2"/>
  <c r="I2113" i="2"/>
  <c r="H2119" i="2"/>
  <c r="H2095" i="2"/>
  <c r="I2096" i="2"/>
  <c r="H2092" i="2"/>
  <c r="I2092" i="2"/>
  <c r="J2075" i="2"/>
  <c r="J2071" i="2"/>
  <c r="H2073" i="2"/>
  <c r="J2077" i="2"/>
  <c r="H2071" i="2"/>
  <c r="I2074" i="2"/>
  <c r="I2075" i="2"/>
  <c r="H2077" i="2"/>
  <c r="I2076" i="2"/>
  <c r="N2081" i="2"/>
  <c r="H2074" i="2"/>
  <c r="J2076" i="2"/>
  <c r="H2072" i="2"/>
  <c r="I2073" i="2"/>
  <c r="I2072" i="2"/>
  <c r="J2055" i="2"/>
  <c r="N2060" i="2"/>
  <c r="I2054" i="2"/>
  <c r="H2053" i="2"/>
  <c r="H2055" i="2"/>
  <c r="J2029" i="2"/>
  <c r="H2054" i="2"/>
  <c r="J2056" i="2"/>
  <c r="H2052" i="2"/>
  <c r="I2053" i="2"/>
  <c r="H2051" i="2"/>
  <c r="I2052" i="2"/>
  <c r="H2050" i="2"/>
  <c r="I2051" i="2"/>
  <c r="J2034" i="2"/>
  <c r="I2050" i="2"/>
  <c r="H2056" i="2"/>
  <c r="H2032" i="2"/>
  <c r="I2032" i="2"/>
  <c r="I2030" i="2"/>
  <c r="I2033" i="2"/>
  <c r="H2029" i="2"/>
  <c r="J2030" i="2"/>
  <c r="J2033" i="2"/>
  <c r="N2039" i="2"/>
  <c r="I2034" i="2"/>
  <c r="J2035" i="2"/>
  <c r="H2031" i="2"/>
  <c r="I2031" i="2"/>
  <c r="I2009" i="2"/>
  <c r="H2035" i="2"/>
  <c r="H2012" i="2"/>
  <c r="I2012" i="2"/>
  <c r="J2009" i="2"/>
  <c r="J2013" i="2"/>
  <c r="H2008" i="2"/>
  <c r="H2011" i="2"/>
  <c r="I2008" i="2"/>
  <c r="I2013" i="2"/>
  <c r="J2014" i="2"/>
  <c r="H2010" i="2"/>
  <c r="I2011" i="2"/>
  <c r="I2010" i="2"/>
  <c r="H2014" i="2"/>
  <c r="H1987" i="2"/>
  <c r="I1988" i="2"/>
  <c r="H1988" i="2"/>
  <c r="H1991" i="2"/>
  <c r="H1990" i="2"/>
  <c r="J1992" i="2"/>
  <c r="I1987" i="2"/>
  <c r="I1991" i="2"/>
  <c r="I1989" i="2"/>
  <c r="N1997" i="2"/>
  <c r="J1989" i="2"/>
  <c r="I1992" i="2"/>
  <c r="J1993" i="2"/>
  <c r="I1990" i="2"/>
  <c r="H1993" i="2"/>
  <c r="J1968" i="2"/>
  <c r="I1967" i="2"/>
  <c r="I1972" i="2"/>
  <c r="J1972" i="2"/>
  <c r="H1971" i="2"/>
  <c r="I1968" i="2"/>
  <c r="I1971" i="2"/>
  <c r="H1967" i="2"/>
  <c r="H1970" i="2"/>
  <c r="H1969" i="2"/>
  <c r="I1970" i="2"/>
  <c r="I1969" i="2"/>
  <c r="H1966" i="2"/>
  <c r="I1966" i="2"/>
  <c r="N1955" i="2"/>
  <c r="H1948" i="2"/>
  <c r="H1947" i="2"/>
  <c r="H1946" i="2"/>
  <c r="J1946" i="2"/>
  <c r="I1948" i="2"/>
  <c r="J1950" i="2"/>
  <c r="I1945" i="2"/>
  <c r="J1945" i="2"/>
  <c r="I1949" i="2"/>
  <c r="I1947" i="2"/>
  <c r="H1949" i="2"/>
  <c r="I1950" i="2"/>
  <c r="J1951" i="2"/>
  <c r="H1951" i="2"/>
  <c r="H1924" i="2"/>
  <c r="H1929" i="2"/>
  <c r="I1930" i="2"/>
  <c r="J1930" i="2"/>
  <c r="H1926" i="2"/>
  <c r="J1926" i="2"/>
  <c r="I1929" i="2"/>
  <c r="H1928" i="2"/>
  <c r="I1925" i="2"/>
  <c r="J1928" i="2"/>
  <c r="H1927" i="2"/>
  <c r="I1927" i="2"/>
  <c r="H1925" i="2"/>
  <c r="I1924" i="2"/>
  <c r="I1903" i="2"/>
  <c r="J1903" i="2"/>
  <c r="H1907" i="2"/>
  <c r="I1907" i="2"/>
  <c r="H1906" i="2"/>
  <c r="I1906" i="2"/>
  <c r="H1905" i="2"/>
  <c r="J1909" i="2"/>
  <c r="H1904" i="2"/>
  <c r="I1904" i="2"/>
  <c r="I1908" i="2"/>
  <c r="N1913" i="2"/>
  <c r="H1882" i="2"/>
  <c r="J1908" i="2"/>
  <c r="I1905" i="2"/>
  <c r="H1885" i="2"/>
  <c r="H1909" i="2"/>
  <c r="I1886" i="2"/>
  <c r="I1883" i="2"/>
  <c r="H1884" i="2"/>
  <c r="I1884" i="2"/>
  <c r="H1883" i="2"/>
  <c r="H1887" i="2"/>
  <c r="I1887" i="2"/>
  <c r="H1886" i="2"/>
  <c r="J1888" i="2"/>
  <c r="I1885" i="2"/>
  <c r="I1882" i="2"/>
  <c r="H1888" i="2"/>
  <c r="J1866" i="2"/>
  <c r="I1865" i="2"/>
  <c r="H1840" i="2"/>
  <c r="J1862" i="2"/>
  <c r="H1864" i="2"/>
  <c r="H1866" i="2"/>
  <c r="H1865" i="2"/>
  <c r="J1867" i="2"/>
  <c r="H1863" i="2"/>
  <c r="I1864" i="2"/>
  <c r="H1862" i="2"/>
  <c r="I1863" i="2"/>
  <c r="H1861" i="2"/>
  <c r="I1861" i="2"/>
  <c r="H1867" i="2"/>
  <c r="J1840" i="2"/>
  <c r="I1844" i="2"/>
  <c r="H1843" i="2"/>
  <c r="H1844" i="2"/>
  <c r="J1824" i="2"/>
  <c r="J1846" i="2"/>
  <c r="I1819" i="2"/>
  <c r="J1842" i="2"/>
  <c r="I1845" i="2"/>
  <c r="N1850" i="2"/>
  <c r="J1845" i="2"/>
  <c r="H1842" i="2"/>
  <c r="I1843" i="2"/>
  <c r="H1841" i="2"/>
  <c r="I1841" i="2"/>
  <c r="H1846" i="2"/>
  <c r="H1822" i="2"/>
  <c r="I1822" i="2"/>
  <c r="H1820" i="2"/>
  <c r="I1823" i="2"/>
  <c r="H1821" i="2"/>
  <c r="N1829" i="2"/>
  <c r="I1821" i="2"/>
  <c r="H1823" i="2"/>
  <c r="I1824" i="2"/>
  <c r="J1825" i="2"/>
  <c r="H1819" i="2"/>
  <c r="I1820" i="2"/>
  <c r="H1825" i="2"/>
  <c r="H1799" i="2"/>
  <c r="J1800" i="2"/>
  <c r="H1802" i="2"/>
  <c r="J1801" i="2"/>
  <c r="I1799" i="2"/>
  <c r="H1798" i="2"/>
  <c r="J1804" i="2"/>
  <c r="I1800" i="2"/>
  <c r="I1803" i="2"/>
  <c r="H1801" i="2"/>
  <c r="I1802" i="2"/>
  <c r="J1803" i="2"/>
  <c r="I1798" i="2"/>
  <c r="H1804" i="2"/>
  <c r="J1782" i="2"/>
  <c r="H1779" i="2"/>
  <c r="I1779" i="2"/>
  <c r="H1778" i="2"/>
  <c r="H1780" i="2"/>
  <c r="J1780" i="2"/>
  <c r="I1781" i="2"/>
  <c r="N1787" i="2"/>
  <c r="H1782" i="2"/>
  <c r="H1781" i="2"/>
  <c r="J1783" i="2"/>
  <c r="H1777" i="2"/>
  <c r="I1778" i="2"/>
  <c r="I1777" i="2"/>
  <c r="H1783" i="2"/>
  <c r="J1761" i="2"/>
  <c r="I1756" i="2"/>
  <c r="J1756" i="2"/>
  <c r="N1766" i="2"/>
  <c r="I1759" i="2"/>
  <c r="I1760" i="2"/>
  <c r="J1760" i="2"/>
  <c r="H1759" i="2"/>
  <c r="H1758" i="2"/>
  <c r="I1761" i="2"/>
  <c r="J1762" i="2"/>
  <c r="H1757" i="2"/>
  <c r="I1758" i="2"/>
  <c r="I1757" i="2"/>
  <c r="H1762" i="2"/>
  <c r="C277" i="4"/>
  <c r="C276" i="4"/>
  <c r="C275" i="4"/>
  <c r="F56" i="1"/>
  <c r="F51" i="1"/>
  <c r="C35" i="4"/>
  <c r="C36" i="4"/>
  <c r="C50" i="4"/>
  <c r="C51" i="4"/>
  <c r="M265" i="2"/>
  <c r="L265" i="2"/>
  <c r="K261" i="2"/>
  <c r="I261" i="2" s="1"/>
  <c r="G261" i="2"/>
  <c r="E261" i="2"/>
  <c r="C261" i="2"/>
  <c r="K260" i="2"/>
  <c r="H260" i="2" s="1"/>
  <c r="G260" i="2"/>
  <c r="E260" i="2"/>
  <c r="C260" i="2"/>
  <c r="K259" i="2"/>
  <c r="I259" i="2" s="1"/>
  <c r="G259" i="2"/>
  <c r="E259" i="2"/>
  <c r="C259" i="2"/>
  <c r="K258" i="2"/>
  <c r="J258" i="2" s="1"/>
  <c r="G258" i="2"/>
  <c r="E258" i="2"/>
  <c r="C258" i="2"/>
  <c r="K257" i="2"/>
  <c r="I257" i="2" s="1"/>
  <c r="G257" i="2"/>
  <c r="E257" i="2"/>
  <c r="C257" i="2"/>
  <c r="K256" i="2"/>
  <c r="J256" i="2" s="1"/>
  <c r="G256" i="2"/>
  <c r="E256" i="2"/>
  <c r="C256" i="2"/>
  <c r="K255" i="2"/>
  <c r="I255" i="2" s="1"/>
  <c r="G255" i="2"/>
  <c r="E255" i="2"/>
  <c r="C255" i="2"/>
  <c r="K254" i="2"/>
  <c r="J254" i="2" s="1"/>
  <c r="G254" i="2"/>
  <c r="E254" i="2"/>
  <c r="C254" i="2"/>
  <c r="K253" i="2"/>
  <c r="J253" i="2" s="1"/>
  <c r="G253" i="2"/>
  <c r="E253" i="2"/>
  <c r="C253" i="2"/>
  <c r="J246" i="2"/>
  <c r="P265" i="2" s="1"/>
  <c r="D245" i="2"/>
  <c r="O265" i="2" s="1"/>
  <c r="C4338" i="3"/>
  <c r="M1725" i="2"/>
  <c r="L1725" i="2"/>
  <c r="K1721" i="2"/>
  <c r="I1721" i="2" s="1"/>
  <c r="G1721" i="2"/>
  <c r="E1721" i="2"/>
  <c r="C1721" i="2"/>
  <c r="K1720" i="2"/>
  <c r="H1720" i="2" s="1"/>
  <c r="G1720" i="2"/>
  <c r="E1720" i="2"/>
  <c r="C1720" i="2"/>
  <c r="K1719" i="2"/>
  <c r="J1719" i="2" s="1"/>
  <c r="G1719" i="2"/>
  <c r="E1719" i="2"/>
  <c r="C1719" i="2"/>
  <c r="K1718" i="2"/>
  <c r="H1718" i="2" s="1"/>
  <c r="G1718" i="2"/>
  <c r="E1718" i="2"/>
  <c r="C1718" i="2"/>
  <c r="K1717" i="2"/>
  <c r="J1717" i="2" s="1"/>
  <c r="G1717" i="2"/>
  <c r="E1717" i="2"/>
  <c r="C1717" i="2"/>
  <c r="K1716" i="2"/>
  <c r="J1716" i="2" s="1"/>
  <c r="G1716" i="2"/>
  <c r="E1716" i="2"/>
  <c r="C1716" i="2"/>
  <c r="K1715" i="2"/>
  <c r="J1715" i="2" s="1"/>
  <c r="G1715" i="2"/>
  <c r="E1715" i="2"/>
  <c r="C1715" i="2"/>
  <c r="K1714" i="2"/>
  <c r="J1714" i="2" s="1"/>
  <c r="G1714" i="2"/>
  <c r="E1714" i="2"/>
  <c r="C1714" i="2"/>
  <c r="K1713" i="2"/>
  <c r="I1713" i="2" s="1"/>
  <c r="G1713" i="2"/>
  <c r="E1713" i="2"/>
  <c r="C1713" i="2"/>
  <c r="K1712" i="2"/>
  <c r="H1712" i="2" s="1"/>
  <c r="G1712" i="2"/>
  <c r="E1712" i="2"/>
  <c r="C1712" i="2"/>
  <c r="J1707" i="2"/>
  <c r="P1725" i="2" s="1"/>
  <c r="D1706" i="2"/>
  <c r="O1725" i="2" s="1"/>
  <c r="M1705" i="2"/>
  <c r="L1705" i="2"/>
  <c r="K1701" i="2"/>
  <c r="I1701" i="2" s="1"/>
  <c r="G1701" i="2"/>
  <c r="E1701" i="2"/>
  <c r="C1701" i="2"/>
  <c r="K1700" i="2"/>
  <c r="H1700" i="2" s="1"/>
  <c r="G1700" i="2"/>
  <c r="E1700" i="2"/>
  <c r="C1700" i="2"/>
  <c r="K1699" i="2"/>
  <c r="I1699" i="2" s="1"/>
  <c r="G1699" i="2"/>
  <c r="E1699" i="2"/>
  <c r="C1699" i="2"/>
  <c r="K1698" i="2"/>
  <c r="J1698" i="2" s="1"/>
  <c r="G1698" i="2"/>
  <c r="E1698" i="2"/>
  <c r="C1698" i="2"/>
  <c r="K1697" i="2"/>
  <c r="I1697" i="2" s="1"/>
  <c r="G1697" i="2"/>
  <c r="E1697" i="2"/>
  <c r="C1697" i="2"/>
  <c r="K1696" i="2"/>
  <c r="H1696" i="2" s="1"/>
  <c r="G1696" i="2"/>
  <c r="E1696" i="2"/>
  <c r="C1696" i="2"/>
  <c r="K1695" i="2"/>
  <c r="J1695" i="2" s="1"/>
  <c r="G1695" i="2"/>
  <c r="E1695" i="2"/>
  <c r="C1695" i="2"/>
  <c r="J1687" i="2"/>
  <c r="P1705" i="2" s="1"/>
  <c r="D1686" i="2"/>
  <c r="O1705" i="2" s="1"/>
  <c r="M1685" i="2"/>
  <c r="L1685" i="2"/>
  <c r="K1681" i="2"/>
  <c r="I1681" i="2" s="1"/>
  <c r="G1681" i="2"/>
  <c r="E1681" i="2"/>
  <c r="C1681" i="2"/>
  <c r="K1680" i="2"/>
  <c r="H1680" i="2" s="1"/>
  <c r="G1680" i="2"/>
  <c r="E1680" i="2"/>
  <c r="C1680" i="2"/>
  <c r="K1679" i="2"/>
  <c r="J1679" i="2" s="1"/>
  <c r="G1679" i="2"/>
  <c r="E1679" i="2"/>
  <c r="C1679" i="2"/>
  <c r="K1678" i="2"/>
  <c r="I1678" i="2" s="1"/>
  <c r="G1678" i="2"/>
  <c r="E1678" i="2"/>
  <c r="C1678" i="2"/>
  <c r="K1677" i="2"/>
  <c r="J1677" i="2" s="1"/>
  <c r="G1677" i="2"/>
  <c r="E1677" i="2"/>
  <c r="C1677" i="2"/>
  <c r="K1676" i="2"/>
  <c r="J1676" i="2" s="1"/>
  <c r="G1676" i="2"/>
  <c r="E1676" i="2"/>
  <c r="C1676" i="2"/>
  <c r="K1675" i="2"/>
  <c r="J1675" i="2" s="1"/>
  <c r="G1675" i="2"/>
  <c r="E1675" i="2"/>
  <c r="C1675" i="2"/>
  <c r="K1674" i="2"/>
  <c r="J1674" i="2" s="1"/>
  <c r="G1674" i="2"/>
  <c r="E1674" i="2"/>
  <c r="C1674" i="2"/>
  <c r="K1673" i="2"/>
  <c r="I1673" i="2" s="1"/>
  <c r="G1673" i="2"/>
  <c r="E1673" i="2"/>
  <c r="C1673" i="2"/>
  <c r="K1672" i="2"/>
  <c r="H1672" i="2" s="1"/>
  <c r="G1672" i="2"/>
  <c r="E1672" i="2"/>
  <c r="C1672" i="2"/>
  <c r="K1671" i="2"/>
  <c r="J1671" i="2" s="1"/>
  <c r="G1671" i="2"/>
  <c r="E1671" i="2"/>
  <c r="C1671" i="2"/>
  <c r="J1667" i="2"/>
  <c r="P1685" i="2" s="1"/>
  <c r="D1666" i="2"/>
  <c r="O1685" i="2" s="1"/>
  <c r="M1665" i="2"/>
  <c r="L1665" i="2"/>
  <c r="K1661" i="2"/>
  <c r="I1661" i="2" s="1"/>
  <c r="G1661" i="2"/>
  <c r="E1661" i="2"/>
  <c r="C1661" i="2"/>
  <c r="K1660" i="2"/>
  <c r="H1660" i="2" s="1"/>
  <c r="G1660" i="2"/>
  <c r="E1660" i="2"/>
  <c r="C1660" i="2"/>
  <c r="K1659" i="2"/>
  <c r="J1659" i="2" s="1"/>
  <c r="G1659" i="2"/>
  <c r="E1659" i="2"/>
  <c r="C1659" i="2"/>
  <c r="K1658" i="2"/>
  <c r="J1658" i="2" s="1"/>
  <c r="G1658" i="2"/>
  <c r="E1658" i="2"/>
  <c r="C1658" i="2"/>
  <c r="K1657" i="2"/>
  <c r="I1657" i="2" s="1"/>
  <c r="G1657" i="2"/>
  <c r="E1657" i="2"/>
  <c r="C1657" i="2"/>
  <c r="K1656" i="2"/>
  <c r="J1656" i="2" s="1"/>
  <c r="G1656" i="2"/>
  <c r="E1656" i="2"/>
  <c r="C1656" i="2"/>
  <c r="K1655" i="2"/>
  <c r="J1655" i="2" s="1"/>
  <c r="G1655" i="2"/>
  <c r="E1655" i="2"/>
  <c r="C1655" i="2"/>
  <c r="J1647" i="2"/>
  <c r="P1665" i="2" s="1"/>
  <c r="D1646" i="2"/>
  <c r="O1665" i="2" s="1"/>
  <c r="M1645" i="2"/>
  <c r="L1645" i="2"/>
  <c r="K1641" i="2"/>
  <c r="I1641" i="2" s="1"/>
  <c r="G1641" i="2"/>
  <c r="E1641" i="2"/>
  <c r="C1641" i="2"/>
  <c r="K1640" i="2"/>
  <c r="H1640" i="2" s="1"/>
  <c r="G1640" i="2"/>
  <c r="E1640" i="2"/>
  <c r="C1640" i="2"/>
  <c r="K1639" i="2"/>
  <c r="J1639" i="2" s="1"/>
  <c r="G1639" i="2"/>
  <c r="E1639" i="2"/>
  <c r="C1639" i="2"/>
  <c r="K1638" i="2"/>
  <c r="I1638" i="2" s="1"/>
  <c r="G1638" i="2"/>
  <c r="E1638" i="2"/>
  <c r="C1638" i="2"/>
  <c r="K1637" i="2"/>
  <c r="J1637" i="2" s="1"/>
  <c r="G1637" i="2"/>
  <c r="E1637" i="2"/>
  <c r="C1637" i="2"/>
  <c r="K1636" i="2"/>
  <c r="J1636" i="2" s="1"/>
  <c r="G1636" i="2"/>
  <c r="E1636" i="2"/>
  <c r="C1636" i="2"/>
  <c r="K1635" i="2"/>
  <c r="H1635" i="2" s="1"/>
  <c r="G1635" i="2"/>
  <c r="E1635" i="2"/>
  <c r="C1635" i="2"/>
  <c r="J1627" i="2"/>
  <c r="P1645" i="2" s="1"/>
  <c r="D1626" i="2"/>
  <c r="O1645" i="2" s="1"/>
  <c r="M1625" i="2"/>
  <c r="L1625" i="2"/>
  <c r="K1621" i="2"/>
  <c r="I1621" i="2" s="1"/>
  <c r="G1621" i="2"/>
  <c r="E1621" i="2"/>
  <c r="C1621" i="2"/>
  <c r="K1620" i="2"/>
  <c r="H1620" i="2" s="1"/>
  <c r="G1620" i="2"/>
  <c r="E1620" i="2"/>
  <c r="C1620" i="2"/>
  <c r="K1619" i="2"/>
  <c r="H1619" i="2" s="1"/>
  <c r="G1619" i="2"/>
  <c r="E1619" i="2"/>
  <c r="C1619" i="2"/>
  <c r="K1618" i="2"/>
  <c r="J1618" i="2" s="1"/>
  <c r="G1618" i="2"/>
  <c r="E1618" i="2"/>
  <c r="C1618" i="2"/>
  <c r="K1617" i="2"/>
  <c r="J1617" i="2" s="1"/>
  <c r="G1617" i="2"/>
  <c r="E1617" i="2"/>
  <c r="C1617" i="2"/>
  <c r="K1616" i="2"/>
  <c r="J1616" i="2" s="1"/>
  <c r="G1616" i="2"/>
  <c r="E1616" i="2"/>
  <c r="C1616" i="2"/>
  <c r="K1615" i="2"/>
  <c r="H1615" i="2" s="1"/>
  <c r="G1615" i="2"/>
  <c r="E1615" i="2"/>
  <c r="C1615" i="2"/>
  <c r="J1607" i="2"/>
  <c r="P1625" i="2" s="1"/>
  <c r="D1606" i="2"/>
  <c r="O1625" i="2" s="1"/>
  <c r="M1605" i="2"/>
  <c r="L1605" i="2"/>
  <c r="K1601" i="2"/>
  <c r="I1601" i="2" s="1"/>
  <c r="G1601" i="2"/>
  <c r="E1601" i="2"/>
  <c r="C1601" i="2"/>
  <c r="K1600" i="2"/>
  <c r="H1600" i="2" s="1"/>
  <c r="G1600" i="2"/>
  <c r="E1600" i="2"/>
  <c r="C1600" i="2"/>
  <c r="J1587" i="2"/>
  <c r="P1605" i="2" s="1"/>
  <c r="D1586" i="2"/>
  <c r="O1605" i="2" s="1"/>
  <c r="M1585" i="2"/>
  <c r="L1585" i="2"/>
  <c r="K1581" i="2"/>
  <c r="I1581" i="2" s="1"/>
  <c r="G1581" i="2"/>
  <c r="E1581" i="2"/>
  <c r="C1581" i="2"/>
  <c r="K1580" i="2"/>
  <c r="H1580" i="2" s="1"/>
  <c r="G1580" i="2"/>
  <c r="E1580" i="2"/>
  <c r="C1580" i="2"/>
  <c r="K1579" i="2"/>
  <c r="J1579" i="2" s="1"/>
  <c r="G1579" i="2"/>
  <c r="E1579" i="2"/>
  <c r="C1579" i="2"/>
  <c r="J1567" i="2"/>
  <c r="P1585" i="2" s="1"/>
  <c r="D1566" i="2"/>
  <c r="O1585" i="2" s="1"/>
  <c r="M1565" i="2"/>
  <c r="L1565" i="2"/>
  <c r="K1561" i="2"/>
  <c r="I1561" i="2" s="1"/>
  <c r="G1561" i="2"/>
  <c r="E1561" i="2"/>
  <c r="C1561" i="2"/>
  <c r="K1560" i="2"/>
  <c r="H1560" i="2" s="1"/>
  <c r="G1560" i="2"/>
  <c r="E1560" i="2"/>
  <c r="C1560" i="2"/>
  <c r="J1547" i="2"/>
  <c r="P1565" i="2" s="1"/>
  <c r="D1546" i="2"/>
  <c r="O1565" i="2" s="1"/>
  <c r="M1545" i="2"/>
  <c r="L1545" i="2"/>
  <c r="K1541" i="2"/>
  <c r="I1541" i="2" s="1"/>
  <c r="G1541" i="2"/>
  <c r="E1541" i="2"/>
  <c r="C1541" i="2"/>
  <c r="K1540" i="2"/>
  <c r="H1540" i="2" s="1"/>
  <c r="G1540" i="2"/>
  <c r="E1540" i="2"/>
  <c r="C1540" i="2"/>
  <c r="K1539" i="2"/>
  <c r="J1539" i="2" s="1"/>
  <c r="G1539" i="2"/>
  <c r="E1539" i="2"/>
  <c r="C1539" i="2"/>
  <c r="K1538" i="2"/>
  <c r="J1538" i="2" s="1"/>
  <c r="G1538" i="2"/>
  <c r="E1538" i="2"/>
  <c r="C1538" i="2"/>
  <c r="K1537" i="2"/>
  <c r="J1537" i="2" s="1"/>
  <c r="G1537" i="2"/>
  <c r="E1537" i="2"/>
  <c r="C1537" i="2"/>
  <c r="K1536" i="2"/>
  <c r="H1536" i="2" s="1"/>
  <c r="G1536" i="2"/>
  <c r="E1536" i="2"/>
  <c r="C1536" i="2"/>
  <c r="K1535" i="2"/>
  <c r="J1535" i="2" s="1"/>
  <c r="G1535" i="2"/>
  <c r="E1535" i="2"/>
  <c r="C1535" i="2"/>
  <c r="K1534" i="2"/>
  <c r="J1534" i="2" s="1"/>
  <c r="G1534" i="2"/>
  <c r="E1534" i="2"/>
  <c r="C1534" i="2"/>
  <c r="J1527" i="2"/>
  <c r="P1545" i="2" s="1"/>
  <c r="D1526" i="2"/>
  <c r="O1545" i="2" s="1"/>
  <c r="M1525" i="2"/>
  <c r="L1525" i="2"/>
  <c r="K1521" i="2"/>
  <c r="I1521" i="2" s="1"/>
  <c r="G1521" i="2"/>
  <c r="E1521" i="2"/>
  <c r="C1521" i="2"/>
  <c r="K1520" i="2"/>
  <c r="H1520" i="2" s="1"/>
  <c r="G1520" i="2"/>
  <c r="E1520" i="2"/>
  <c r="C1520" i="2"/>
  <c r="K1519" i="2"/>
  <c r="J1519" i="2" s="1"/>
  <c r="G1519" i="2"/>
  <c r="E1519" i="2"/>
  <c r="C1519" i="2"/>
  <c r="J1507" i="2"/>
  <c r="P1525" i="2" s="1"/>
  <c r="D1506" i="2"/>
  <c r="O1525" i="2" s="1"/>
  <c r="C113" i="12"/>
  <c r="B113" i="12"/>
  <c r="C157" i="4"/>
  <c r="C158" i="4"/>
  <c r="C159" i="4"/>
  <c r="C117" i="4"/>
  <c r="C118" i="4"/>
  <c r="M244" i="2"/>
  <c r="L244" i="2"/>
  <c r="K240" i="2"/>
  <c r="I240" i="2" s="1"/>
  <c r="G240" i="2"/>
  <c r="E240" i="2"/>
  <c r="C240" i="2"/>
  <c r="K239" i="2"/>
  <c r="H239" i="2" s="1"/>
  <c r="G239" i="2"/>
  <c r="E239" i="2"/>
  <c r="C239" i="2"/>
  <c r="K238" i="2"/>
  <c r="I238" i="2" s="1"/>
  <c r="G238" i="2"/>
  <c r="E238" i="2"/>
  <c r="C238" i="2"/>
  <c r="K237" i="2"/>
  <c r="I237" i="2" s="1"/>
  <c r="G237" i="2"/>
  <c r="E237" i="2"/>
  <c r="C237" i="2"/>
  <c r="K236" i="2"/>
  <c r="J236" i="2" s="1"/>
  <c r="G236" i="2"/>
  <c r="E236" i="2"/>
  <c r="C236" i="2"/>
  <c r="J225" i="2"/>
  <c r="P244" i="2" s="1"/>
  <c r="D224" i="2"/>
  <c r="O244" i="2" s="1"/>
  <c r="C4337" i="3"/>
  <c r="C4434" i="3"/>
  <c r="C112" i="4"/>
  <c r="C113" i="4"/>
  <c r="C114" i="4"/>
  <c r="C115" i="4"/>
  <c r="C116" i="4"/>
  <c r="C156" i="4"/>
  <c r="C155" i="4"/>
  <c r="C154" i="4"/>
  <c r="C153" i="4"/>
  <c r="C152" i="4"/>
  <c r="C150" i="4"/>
  <c r="C151" i="4"/>
  <c r="C95" i="4"/>
  <c r="C96" i="4"/>
  <c r="C97" i="4"/>
  <c r="C98" i="4"/>
  <c r="C99" i="4"/>
  <c r="C100" i="4"/>
  <c r="C101" i="4"/>
  <c r="C102" i="4"/>
  <c r="C103" i="4"/>
  <c r="C104" i="4"/>
  <c r="C105" i="4"/>
  <c r="C106" i="4"/>
  <c r="C107" i="4"/>
  <c r="C108" i="4"/>
  <c r="C109" i="4"/>
  <c r="C110" i="4"/>
  <c r="C149" i="4"/>
  <c r="C111" i="4"/>
  <c r="M223" i="2"/>
  <c r="L223" i="2"/>
  <c r="J182" i="2"/>
  <c r="P223" i="2" s="1"/>
  <c r="D181" i="2"/>
  <c r="O223" i="2" s="1"/>
  <c r="M28" i="2"/>
  <c r="L28" i="2"/>
  <c r="K24" i="2"/>
  <c r="I24" i="2" s="1"/>
  <c r="G24" i="2"/>
  <c r="E24" i="2"/>
  <c r="C24" i="2"/>
  <c r="K23" i="2"/>
  <c r="H23" i="2" s="1"/>
  <c r="G23" i="2"/>
  <c r="E23" i="2"/>
  <c r="C23" i="2"/>
  <c r="K22" i="2"/>
  <c r="J22" i="2" s="1"/>
  <c r="G22" i="2"/>
  <c r="E22" i="2"/>
  <c r="C22" i="2"/>
  <c r="K21" i="2"/>
  <c r="J21" i="2" s="1"/>
  <c r="G21" i="2"/>
  <c r="E21" i="2"/>
  <c r="C21" i="2"/>
  <c r="K20" i="2"/>
  <c r="J20" i="2" s="1"/>
  <c r="G20" i="2"/>
  <c r="E20" i="2"/>
  <c r="C20" i="2"/>
  <c r="K19" i="2"/>
  <c r="I19" i="2" s="1"/>
  <c r="G19" i="2"/>
  <c r="E19" i="2"/>
  <c r="C19" i="2"/>
  <c r="K18" i="2"/>
  <c r="J18" i="2" s="1"/>
  <c r="G18" i="2"/>
  <c r="E18" i="2"/>
  <c r="C18" i="2"/>
  <c r="K17" i="2"/>
  <c r="J17" i="2" s="1"/>
  <c r="G17" i="2"/>
  <c r="E17" i="2"/>
  <c r="C17" i="2"/>
  <c r="K16" i="2"/>
  <c r="I16" i="2" s="1"/>
  <c r="G16" i="2"/>
  <c r="E16" i="2"/>
  <c r="C16" i="2"/>
  <c r="J9" i="2"/>
  <c r="P28" i="2" s="1"/>
  <c r="D8" i="2"/>
  <c r="O28" i="2" s="1"/>
  <c r="C4336" i="3"/>
  <c r="A253" i="1"/>
  <c r="C4428" i="3"/>
  <c r="C4429" i="3"/>
  <c r="C4430" i="3"/>
  <c r="C4431" i="3"/>
  <c r="C4432" i="3"/>
  <c r="C4433" i="3"/>
  <c r="C4427" i="3"/>
  <c r="C4426" i="3"/>
  <c r="C4425" i="3"/>
  <c r="C4424" i="3"/>
  <c r="C4423" i="3"/>
  <c r="C94" i="4"/>
  <c r="C4335" i="3"/>
  <c r="F1498" i="2"/>
  <c r="M1505" i="2"/>
  <c r="L1505" i="2"/>
  <c r="K1501" i="2"/>
  <c r="I1501" i="2" s="1"/>
  <c r="G1501" i="2"/>
  <c r="E1501" i="2"/>
  <c r="C1501" i="2"/>
  <c r="K1500" i="2"/>
  <c r="H1500" i="2" s="1"/>
  <c r="G1500" i="2"/>
  <c r="E1500" i="2"/>
  <c r="C1500" i="2"/>
  <c r="J1487" i="2"/>
  <c r="P1505" i="2" s="1"/>
  <c r="D1486" i="2"/>
  <c r="O1505" i="2" s="1"/>
  <c r="M1485" i="2"/>
  <c r="L1485" i="2"/>
  <c r="K1481" i="2"/>
  <c r="I1481" i="2" s="1"/>
  <c r="G1481" i="2"/>
  <c r="E1481" i="2"/>
  <c r="C1481" i="2"/>
  <c r="K1480" i="2"/>
  <c r="H1480" i="2" s="1"/>
  <c r="G1480" i="2"/>
  <c r="E1480" i="2"/>
  <c r="C1480" i="2"/>
  <c r="K1479" i="2"/>
  <c r="J1479" i="2" s="1"/>
  <c r="G1479" i="2"/>
  <c r="E1479" i="2"/>
  <c r="C1479" i="2"/>
  <c r="J1467" i="2"/>
  <c r="P1485" i="2" s="1"/>
  <c r="D1466" i="2"/>
  <c r="O1485" i="2" s="1"/>
  <c r="C148" i="4"/>
  <c r="C4422" i="3"/>
  <c r="C4421" i="3"/>
  <c r="C91" i="4"/>
  <c r="C92" i="4"/>
  <c r="C93" i="4"/>
  <c r="C90" i="4"/>
  <c r="M1465" i="2"/>
  <c r="L1465" i="2"/>
  <c r="K1461" i="2"/>
  <c r="I1461" i="2" s="1"/>
  <c r="G1461" i="2"/>
  <c r="E1461" i="2"/>
  <c r="C1461" i="2"/>
  <c r="K1460" i="2"/>
  <c r="H1460" i="2" s="1"/>
  <c r="G1460" i="2"/>
  <c r="E1460" i="2"/>
  <c r="C1460" i="2"/>
  <c r="K1459" i="2"/>
  <c r="I1459" i="2" s="1"/>
  <c r="G1459" i="2"/>
  <c r="E1459" i="2"/>
  <c r="C1459" i="2"/>
  <c r="K1458" i="2"/>
  <c r="J1458" i="2" s="1"/>
  <c r="G1458" i="2"/>
  <c r="E1458" i="2"/>
  <c r="C1458" i="2"/>
  <c r="K1457" i="2"/>
  <c r="J1457" i="2" s="1"/>
  <c r="G1457" i="2"/>
  <c r="E1457" i="2"/>
  <c r="C1457" i="2"/>
  <c r="K1456" i="2"/>
  <c r="I1456" i="2" s="1"/>
  <c r="G1456" i="2"/>
  <c r="E1456" i="2"/>
  <c r="C1456" i="2"/>
  <c r="K1455" i="2"/>
  <c r="J1455" i="2" s="1"/>
  <c r="G1455" i="2"/>
  <c r="E1455" i="2"/>
  <c r="C1455" i="2"/>
  <c r="K1454" i="2"/>
  <c r="J1454" i="2" s="1"/>
  <c r="G1454" i="2"/>
  <c r="E1454" i="2"/>
  <c r="C1454" i="2"/>
  <c r="K1453" i="2"/>
  <c r="I1453" i="2" s="1"/>
  <c r="G1453" i="2"/>
  <c r="E1453" i="2"/>
  <c r="C1453" i="2"/>
  <c r="K1452" i="2"/>
  <c r="H1452" i="2" s="1"/>
  <c r="G1452" i="2"/>
  <c r="E1452" i="2"/>
  <c r="C1452" i="2"/>
  <c r="K1451" i="2"/>
  <c r="I1451" i="2" s="1"/>
  <c r="G1451" i="2"/>
  <c r="E1451" i="2"/>
  <c r="C1451" i="2"/>
  <c r="K1450" i="2"/>
  <c r="J1450" i="2" s="1"/>
  <c r="G1450" i="2"/>
  <c r="E1450" i="2"/>
  <c r="C1450" i="2"/>
  <c r="J1446" i="2"/>
  <c r="P1465" i="2" s="1"/>
  <c r="D1445" i="2"/>
  <c r="O1465" i="2" s="1"/>
  <c r="M1444" i="2"/>
  <c r="L1444" i="2"/>
  <c r="K1440" i="2"/>
  <c r="I1440" i="2" s="1"/>
  <c r="G1440" i="2"/>
  <c r="E1440" i="2"/>
  <c r="C1440" i="2"/>
  <c r="K1439" i="2"/>
  <c r="H1439" i="2" s="1"/>
  <c r="G1439" i="2"/>
  <c r="E1439" i="2"/>
  <c r="C1439" i="2"/>
  <c r="K1438" i="2"/>
  <c r="J1438" i="2" s="1"/>
  <c r="G1438" i="2"/>
  <c r="E1438" i="2"/>
  <c r="C1438" i="2"/>
  <c r="K1437" i="2"/>
  <c r="J1437" i="2" s="1"/>
  <c r="G1437" i="2"/>
  <c r="E1437" i="2"/>
  <c r="C1437" i="2"/>
  <c r="K1436" i="2"/>
  <c r="J1436" i="2" s="1"/>
  <c r="G1436" i="2"/>
  <c r="E1436" i="2"/>
  <c r="C1436" i="2"/>
  <c r="K1435" i="2"/>
  <c r="J1435" i="2" s="1"/>
  <c r="G1435" i="2"/>
  <c r="E1435" i="2"/>
  <c r="C1435" i="2"/>
  <c r="K1434" i="2"/>
  <c r="I1434" i="2" s="1"/>
  <c r="G1434" i="2"/>
  <c r="E1434" i="2"/>
  <c r="C1434" i="2"/>
  <c r="K1433" i="2"/>
  <c r="J1433" i="2" s="1"/>
  <c r="G1433" i="2"/>
  <c r="E1433" i="2"/>
  <c r="C1433" i="2"/>
  <c r="K1432" i="2"/>
  <c r="I1432" i="2" s="1"/>
  <c r="G1432" i="2"/>
  <c r="E1432" i="2"/>
  <c r="C1432" i="2"/>
  <c r="J1425" i="2"/>
  <c r="P1444" i="2" s="1"/>
  <c r="D1424" i="2"/>
  <c r="O1444" i="2" s="1"/>
  <c r="M1423" i="2"/>
  <c r="L1423" i="2"/>
  <c r="K1419" i="2"/>
  <c r="I1419" i="2" s="1"/>
  <c r="G1419" i="2"/>
  <c r="E1419" i="2"/>
  <c r="C1419" i="2"/>
  <c r="K1418" i="2"/>
  <c r="H1418" i="2" s="1"/>
  <c r="G1418" i="2"/>
  <c r="E1418" i="2"/>
  <c r="C1418" i="2"/>
  <c r="K1417" i="2"/>
  <c r="J1417" i="2" s="1"/>
  <c r="G1417" i="2"/>
  <c r="E1417" i="2"/>
  <c r="C1417" i="2"/>
  <c r="K1416" i="2"/>
  <c r="J1416" i="2" s="1"/>
  <c r="G1416" i="2"/>
  <c r="E1416" i="2"/>
  <c r="C1416" i="2"/>
  <c r="K1415" i="2"/>
  <c r="J1415" i="2" s="1"/>
  <c r="G1415" i="2"/>
  <c r="E1415" i="2"/>
  <c r="C1415" i="2"/>
  <c r="K1414" i="2"/>
  <c r="I1414" i="2" s="1"/>
  <c r="G1414" i="2"/>
  <c r="E1414" i="2"/>
  <c r="C1414" i="2"/>
  <c r="K1413" i="2"/>
  <c r="J1413" i="2" s="1"/>
  <c r="G1413" i="2"/>
  <c r="E1413" i="2"/>
  <c r="C1413" i="2"/>
  <c r="K1412" i="2"/>
  <c r="J1412" i="2" s="1"/>
  <c r="G1412" i="2"/>
  <c r="E1412" i="2"/>
  <c r="C1412" i="2"/>
  <c r="K1411" i="2"/>
  <c r="I1411" i="2" s="1"/>
  <c r="G1411" i="2"/>
  <c r="E1411" i="2"/>
  <c r="C1411" i="2"/>
  <c r="J1404" i="2"/>
  <c r="P1423" i="2" s="1"/>
  <c r="D1403" i="2"/>
  <c r="O1423" i="2" s="1"/>
  <c r="M1402" i="2"/>
  <c r="L1402" i="2"/>
  <c r="K1398" i="2"/>
  <c r="I1398" i="2" s="1"/>
  <c r="G1398" i="2"/>
  <c r="E1398" i="2"/>
  <c r="C1398" i="2"/>
  <c r="K1397" i="2"/>
  <c r="J1397" i="2" s="1"/>
  <c r="G1397" i="2"/>
  <c r="E1397" i="2"/>
  <c r="C1397" i="2"/>
  <c r="K1396" i="2"/>
  <c r="J1396" i="2" s="1"/>
  <c r="G1396" i="2"/>
  <c r="E1396" i="2"/>
  <c r="C1396" i="2"/>
  <c r="K1395" i="2"/>
  <c r="I1395" i="2" s="1"/>
  <c r="G1395" i="2"/>
  <c r="E1395" i="2"/>
  <c r="C1395" i="2"/>
  <c r="K1394" i="2"/>
  <c r="J1394" i="2" s="1"/>
  <c r="G1394" i="2"/>
  <c r="E1394" i="2"/>
  <c r="C1394" i="2"/>
  <c r="K1393" i="2"/>
  <c r="J1393" i="2" s="1"/>
  <c r="G1393" i="2"/>
  <c r="E1393" i="2"/>
  <c r="C1393" i="2"/>
  <c r="K1392" i="2"/>
  <c r="I1392" i="2" s="1"/>
  <c r="G1392" i="2"/>
  <c r="E1392" i="2"/>
  <c r="C1392" i="2"/>
  <c r="K1391" i="2"/>
  <c r="J1391" i="2" s="1"/>
  <c r="G1391" i="2"/>
  <c r="E1391" i="2"/>
  <c r="C1391" i="2"/>
  <c r="K1390" i="2"/>
  <c r="I1390" i="2" s="1"/>
  <c r="G1390" i="2"/>
  <c r="E1390" i="2"/>
  <c r="C1390" i="2"/>
  <c r="J1383" i="2"/>
  <c r="P1402" i="2" s="1"/>
  <c r="D1382" i="2"/>
  <c r="O1402" i="2" s="1"/>
  <c r="M1381" i="2"/>
  <c r="L1381" i="2"/>
  <c r="K1377" i="2"/>
  <c r="I1377" i="2" s="1"/>
  <c r="G1377" i="2"/>
  <c r="E1377" i="2"/>
  <c r="C1377" i="2"/>
  <c r="K1376" i="2"/>
  <c r="J1376" i="2" s="1"/>
  <c r="G1376" i="2"/>
  <c r="E1376" i="2"/>
  <c r="C1376" i="2"/>
  <c r="K1375" i="2"/>
  <c r="J1375" i="2" s="1"/>
  <c r="G1375" i="2"/>
  <c r="E1375" i="2"/>
  <c r="C1375" i="2"/>
  <c r="K1374" i="2"/>
  <c r="J1374" i="2" s="1"/>
  <c r="G1374" i="2"/>
  <c r="E1374" i="2"/>
  <c r="C1374" i="2"/>
  <c r="K1373" i="2"/>
  <c r="J1373" i="2" s="1"/>
  <c r="G1373" i="2"/>
  <c r="E1373" i="2"/>
  <c r="C1373" i="2"/>
  <c r="K1372" i="2"/>
  <c r="I1372" i="2" s="1"/>
  <c r="G1372" i="2"/>
  <c r="E1372" i="2"/>
  <c r="C1372" i="2"/>
  <c r="K1371" i="2"/>
  <c r="J1371" i="2" s="1"/>
  <c r="G1371" i="2"/>
  <c r="E1371" i="2"/>
  <c r="C1371" i="2"/>
  <c r="K1370" i="2"/>
  <c r="J1370" i="2" s="1"/>
  <c r="G1370" i="2"/>
  <c r="E1370" i="2"/>
  <c r="C1370" i="2"/>
  <c r="K1369" i="2"/>
  <c r="H1369" i="2" s="1"/>
  <c r="G1369" i="2"/>
  <c r="E1369" i="2"/>
  <c r="C1369" i="2"/>
  <c r="J1362" i="2"/>
  <c r="P1381" i="2" s="1"/>
  <c r="D1361" i="2"/>
  <c r="O1381" i="2" s="1"/>
  <c r="M1360" i="2"/>
  <c r="L1360" i="2"/>
  <c r="K1356" i="2"/>
  <c r="I1356" i="2" s="1"/>
  <c r="G1356" i="2"/>
  <c r="E1356" i="2"/>
  <c r="C1356" i="2"/>
  <c r="K1355" i="2"/>
  <c r="H1355" i="2" s="1"/>
  <c r="G1355" i="2"/>
  <c r="E1355" i="2"/>
  <c r="C1355" i="2"/>
  <c r="K1354" i="2"/>
  <c r="J1354" i="2" s="1"/>
  <c r="G1354" i="2"/>
  <c r="E1354" i="2"/>
  <c r="C1354" i="2"/>
  <c r="K1353" i="2"/>
  <c r="I1353" i="2" s="1"/>
  <c r="G1353" i="2"/>
  <c r="E1353" i="2"/>
  <c r="C1353" i="2"/>
  <c r="K1352" i="2"/>
  <c r="H1352" i="2" s="1"/>
  <c r="G1352" i="2"/>
  <c r="E1352" i="2"/>
  <c r="C1352" i="2"/>
  <c r="K1351" i="2"/>
  <c r="J1351" i="2" s="1"/>
  <c r="G1351" i="2"/>
  <c r="E1351" i="2"/>
  <c r="C1351" i="2"/>
  <c r="K1350" i="2"/>
  <c r="I1350" i="2" s="1"/>
  <c r="G1350" i="2"/>
  <c r="E1350" i="2"/>
  <c r="C1350" i="2"/>
  <c r="K1349" i="2"/>
  <c r="J1349" i="2" s="1"/>
  <c r="G1349" i="2"/>
  <c r="E1349" i="2"/>
  <c r="C1349" i="2"/>
  <c r="K1348" i="2"/>
  <c r="I1348" i="2" s="1"/>
  <c r="G1348" i="2"/>
  <c r="E1348" i="2"/>
  <c r="C1348" i="2"/>
  <c r="J1341" i="2"/>
  <c r="P1360" i="2" s="1"/>
  <c r="D1340" i="2"/>
  <c r="O1360" i="2" s="1"/>
  <c r="M1339" i="2"/>
  <c r="L1339" i="2"/>
  <c r="K1335" i="2"/>
  <c r="I1335" i="2" s="1"/>
  <c r="G1335" i="2"/>
  <c r="E1335" i="2"/>
  <c r="C1335" i="2"/>
  <c r="K1334" i="2"/>
  <c r="H1334" i="2" s="1"/>
  <c r="G1334" i="2"/>
  <c r="E1334" i="2"/>
  <c r="C1334" i="2"/>
  <c r="K1333" i="2"/>
  <c r="J1333" i="2" s="1"/>
  <c r="G1333" i="2"/>
  <c r="E1333" i="2"/>
  <c r="C1333" i="2"/>
  <c r="K1332" i="2"/>
  <c r="J1332" i="2" s="1"/>
  <c r="G1332" i="2"/>
  <c r="E1332" i="2"/>
  <c r="C1332" i="2"/>
  <c r="K1331" i="2"/>
  <c r="I1331" i="2" s="1"/>
  <c r="G1331" i="2"/>
  <c r="E1331" i="2"/>
  <c r="C1331" i="2"/>
  <c r="K1330" i="2"/>
  <c r="H1330" i="2" s="1"/>
  <c r="G1330" i="2"/>
  <c r="E1330" i="2"/>
  <c r="C1330" i="2"/>
  <c r="K1329" i="2"/>
  <c r="I1329" i="2" s="1"/>
  <c r="G1329" i="2"/>
  <c r="E1329" i="2"/>
  <c r="C1329" i="2"/>
  <c r="K1328" i="2"/>
  <c r="J1328" i="2" s="1"/>
  <c r="G1328" i="2"/>
  <c r="E1328" i="2"/>
  <c r="C1328" i="2"/>
  <c r="K1327" i="2"/>
  <c r="I1327" i="2" s="1"/>
  <c r="G1327" i="2"/>
  <c r="E1327" i="2"/>
  <c r="C1327" i="2"/>
  <c r="J1320" i="2"/>
  <c r="P1339" i="2" s="1"/>
  <c r="D1319" i="2"/>
  <c r="O1339" i="2" s="1"/>
  <c r="M1318" i="2"/>
  <c r="L1318" i="2"/>
  <c r="K1314" i="2"/>
  <c r="I1314" i="2" s="1"/>
  <c r="G1314" i="2"/>
  <c r="E1314" i="2"/>
  <c r="C1314" i="2"/>
  <c r="K1313" i="2"/>
  <c r="H1313" i="2" s="1"/>
  <c r="G1313" i="2"/>
  <c r="E1313" i="2"/>
  <c r="C1313" i="2"/>
  <c r="K1312" i="2"/>
  <c r="J1312" i="2" s="1"/>
  <c r="G1312" i="2"/>
  <c r="E1312" i="2"/>
  <c r="C1312" i="2"/>
  <c r="K1311" i="2"/>
  <c r="I1311" i="2" s="1"/>
  <c r="G1311" i="2"/>
  <c r="E1311" i="2"/>
  <c r="C1311" i="2"/>
  <c r="K1310" i="2"/>
  <c r="J1310" i="2" s="1"/>
  <c r="G1310" i="2"/>
  <c r="E1310" i="2"/>
  <c r="C1310" i="2"/>
  <c r="K1309" i="2"/>
  <c r="I1309" i="2" s="1"/>
  <c r="G1309" i="2"/>
  <c r="E1309" i="2"/>
  <c r="C1309" i="2"/>
  <c r="K1308" i="2"/>
  <c r="H1308" i="2" s="1"/>
  <c r="G1308" i="2"/>
  <c r="E1308" i="2"/>
  <c r="C1308" i="2"/>
  <c r="K1307" i="2"/>
  <c r="J1307" i="2" s="1"/>
  <c r="G1307" i="2"/>
  <c r="E1307" i="2"/>
  <c r="C1307" i="2"/>
  <c r="K1306" i="2"/>
  <c r="I1306" i="2" s="1"/>
  <c r="G1306" i="2"/>
  <c r="E1306" i="2"/>
  <c r="C1306" i="2"/>
  <c r="J1299" i="2"/>
  <c r="P1318" i="2" s="1"/>
  <c r="D1298" i="2"/>
  <c r="O1318" i="2" s="1"/>
  <c r="M1297" i="2"/>
  <c r="L1297" i="2"/>
  <c r="K1293" i="2"/>
  <c r="H1293" i="2" s="1"/>
  <c r="G1293" i="2"/>
  <c r="E1293" i="2"/>
  <c r="C1293" i="2"/>
  <c r="K1292" i="2"/>
  <c r="J1292" i="2" s="1"/>
  <c r="G1292" i="2"/>
  <c r="E1292" i="2"/>
  <c r="C1292" i="2"/>
  <c r="K1291" i="2"/>
  <c r="J1291" i="2" s="1"/>
  <c r="G1291" i="2"/>
  <c r="E1291" i="2"/>
  <c r="C1291" i="2"/>
  <c r="K1290" i="2"/>
  <c r="J1290" i="2" s="1"/>
  <c r="G1290" i="2"/>
  <c r="E1290" i="2"/>
  <c r="C1290" i="2"/>
  <c r="K1289" i="2"/>
  <c r="H1289" i="2" s="1"/>
  <c r="G1289" i="2"/>
  <c r="E1289" i="2"/>
  <c r="C1289" i="2"/>
  <c r="K1288" i="2"/>
  <c r="J1288" i="2" s="1"/>
  <c r="G1288" i="2"/>
  <c r="E1288" i="2"/>
  <c r="C1288" i="2"/>
  <c r="K1287" i="2"/>
  <c r="J1287" i="2" s="1"/>
  <c r="G1287" i="2"/>
  <c r="E1287" i="2"/>
  <c r="C1287" i="2"/>
  <c r="K1286" i="2"/>
  <c r="J1286" i="2" s="1"/>
  <c r="G1286" i="2"/>
  <c r="E1286" i="2"/>
  <c r="C1286" i="2"/>
  <c r="K1285" i="2"/>
  <c r="H1285" i="2" s="1"/>
  <c r="G1285" i="2"/>
  <c r="E1285" i="2"/>
  <c r="C1285" i="2"/>
  <c r="J1278" i="2"/>
  <c r="P1297" i="2" s="1"/>
  <c r="D1277" i="2"/>
  <c r="O1297" i="2" s="1"/>
  <c r="M1276" i="2"/>
  <c r="L1276" i="2"/>
  <c r="K1272" i="2"/>
  <c r="I1272" i="2" s="1"/>
  <c r="G1272" i="2"/>
  <c r="E1272" i="2"/>
  <c r="C1272" i="2"/>
  <c r="K1271" i="2"/>
  <c r="I1271" i="2" s="1"/>
  <c r="G1271" i="2"/>
  <c r="E1271" i="2"/>
  <c r="C1271" i="2"/>
  <c r="K1270" i="2"/>
  <c r="J1270" i="2" s="1"/>
  <c r="G1270" i="2"/>
  <c r="E1270" i="2"/>
  <c r="C1270" i="2"/>
  <c r="K1269" i="2"/>
  <c r="I1269" i="2" s="1"/>
  <c r="G1269" i="2"/>
  <c r="E1269" i="2"/>
  <c r="C1269" i="2"/>
  <c r="K1268" i="2"/>
  <c r="J1268" i="2" s="1"/>
  <c r="G1268" i="2"/>
  <c r="E1268" i="2"/>
  <c r="C1268" i="2"/>
  <c r="K1267" i="2"/>
  <c r="J1267" i="2" s="1"/>
  <c r="G1267" i="2"/>
  <c r="E1267" i="2"/>
  <c r="C1267" i="2"/>
  <c r="K1266" i="2"/>
  <c r="J1266" i="2" s="1"/>
  <c r="G1266" i="2"/>
  <c r="E1266" i="2"/>
  <c r="C1266" i="2"/>
  <c r="K1265" i="2"/>
  <c r="H1265" i="2" s="1"/>
  <c r="G1265" i="2"/>
  <c r="E1265" i="2"/>
  <c r="C1265" i="2"/>
  <c r="K1264" i="2"/>
  <c r="I1264" i="2" s="1"/>
  <c r="G1264" i="2"/>
  <c r="E1264" i="2"/>
  <c r="C1264" i="2"/>
  <c r="J1257" i="2"/>
  <c r="P1276" i="2" s="1"/>
  <c r="D1256" i="2"/>
  <c r="O1276" i="2" s="1"/>
  <c r="M1255" i="2"/>
  <c r="L1255" i="2"/>
  <c r="K1251" i="2"/>
  <c r="I1251" i="2" s="1"/>
  <c r="G1251" i="2"/>
  <c r="E1251" i="2"/>
  <c r="C1251" i="2"/>
  <c r="K1250" i="2"/>
  <c r="H1250" i="2" s="1"/>
  <c r="G1250" i="2"/>
  <c r="E1250" i="2"/>
  <c r="C1250" i="2"/>
  <c r="K1249" i="2"/>
  <c r="H1249" i="2" s="1"/>
  <c r="G1249" i="2"/>
  <c r="E1249" i="2"/>
  <c r="C1249" i="2"/>
  <c r="K1248" i="2"/>
  <c r="J1248" i="2" s="1"/>
  <c r="G1248" i="2"/>
  <c r="E1248" i="2"/>
  <c r="C1248" i="2"/>
  <c r="K1247" i="2"/>
  <c r="J1247" i="2" s="1"/>
  <c r="G1247" i="2"/>
  <c r="E1247" i="2"/>
  <c r="C1247" i="2"/>
  <c r="K1246" i="2"/>
  <c r="J1246" i="2" s="1"/>
  <c r="G1246" i="2"/>
  <c r="E1246" i="2"/>
  <c r="C1246" i="2"/>
  <c r="K1245" i="2"/>
  <c r="J1245" i="2" s="1"/>
  <c r="G1245" i="2"/>
  <c r="E1245" i="2"/>
  <c r="C1245" i="2"/>
  <c r="K1244" i="2"/>
  <c r="I1244" i="2" s="1"/>
  <c r="G1244" i="2"/>
  <c r="E1244" i="2"/>
  <c r="C1244" i="2"/>
  <c r="K1243" i="2"/>
  <c r="I1243" i="2" s="1"/>
  <c r="G1243" i="2"/>
  <c r="E1243" i="2"/>
  <c r="C1243" i="2"/>
  <c r="J1236" i="2"/>
  <c r="P1255" i="2" s="1"/>
  <c r="D1235" i="2"/>
  <c r="O1255" i="2" s="1"/>
  <c r="M1234" i="2"/>
  <c r="L1234" i="2"/>
  <c r="K1230" i="2"/>
  <c r="I1230" i="2" s="1"/>
  <c r="G1230" i="2"/>
  <c r="E1230" i="2"/>
  <c r="C1230" i="2"/>
  <c r="K1229" i="2"/>
  <c r="H1229" i="2" s="1"/>
  <c r="G1229" i="2"/>
  <c r="E1229" i="2"/>
  <c r="C1229" i="2"/>
  <c r="K1228" i="2"/>
  <c r="J1228" i="2" s="1"/>
  <c r="G1228" i="2"/>
  <c r="E1228" i="2"/>
  <c r="C1228" i="2"/>
  <c r="K1227" i="2"/>
  <c r="J1227" i="2" s="1"/>
  <c r="G1227" i="2"/>
  <c r="E1227" i="2"/>
  <c r="C1227" i="2"/>
  <c r="K1226" i="2"/>
  <c r="H1226" i="2" s="1"/>
  <c r="G1226" i="2"/>
  <c r="E1226" i="2"/>
  <c r="C1226" i="2"/>
  <c r="K1225" i="2"/>
  <c r="H1225" i="2" s="1"/>
  <c r="G1225" i="2"/>
  <c r="E1225" i="2"/>
  <c r="C1225" i="2"/>
  <c r="K1224" i="2"/>
  <c r="J1224" i="2" s="1"/>
  <c r="G1224" i="2"/>
  <c r="E1224" i="2"/>
  <c r="C1224" i="2"/>
  <c r="K1223" i="2"/>
  <c r="J1223" i="2" s="1"/>
  <c r="G1223" i="2"/>
  <c r="E1223" i="2"/>
  <c r="C1223" i="2"/>
  <c r="K1222" i="2"/>
  <c r="I1222" i="2" s="1"/>
  <c r="G1222" i="2"/>
  <c r="E1222" i="2"/>
  <c r="C1222" i="2"/>
  <c r="J1215" i="2"/>
  <c r="P1234" i="2" s="1"/>
  <c r="D1214" i="2"/>
  <c r="O1234" i="2" s="1"/>
  <c r="M1213" i="2"/>
  <c r="L1213" i="2"/>
  <c r="K1209" i="2"/>
  <c r="I1209" i="2" s="1"/>
  <c r="G1209" i="2"/>
  <c r="E1209" i="2"/>
  <c r="C1209" i="2"/>
  <c r="K1208" i="2"/>
  <c r="H1208" i="2" s="1"/>
  <c r="G1208" i="2"/>
  <c r="E1208" i="2"/>
  <c r="C1208" i="2"/>
  <c r="K1207" i="2"/>
  <c r="J1207" i="2" s="1"/>
  <c r="G1207" i="2"/>
  <c r="E1207" i="2"/>
  <c r="C1207" i="2"/>
  <c r="K1206" i="2"/>
  <c r="J1206" i="2" s="1"/>
  <c r="G1206" i="2"/>
  <c r="E1206" i="2"/>
  <c r="C1206" i="2"/>
  <c r="K1205" i="2"/>
  <c r="I1205" i="2" s="1"/>
  <c r="G1205" i="2"/>
  <c r="E1205" i="2"/>
  <c r="C1205" i="2"/>
  <c r="K1204" i="2"/>
  <c r="H1204" i="2" s="1"/>
  <c r="G1204" i="2"/>
  <c r="E1204" i="2"/>
  <c r="C1204" i="2"/>
  <c r="K1203" i="2"/>
  <c r="I1203" i="2" s="1"/>
  <c r="G1203" i="2"/>
  <c r="E1203" i="2"/>
  <c r="C1203" i="2"/>
  <c r="K1202" i="2"/>
  <c r="J1202" i="2" s="1"/>
  <c r="G1202" i="2"/>
  <c r="E1202" i="2"/>
  <c r="C1202" i="2"/>
  <c r="K1201" i="2"/>
  <c r="I1201" i="2" s="1"/>
  <c r="G1201" i="2"/>
  <c r="E1201" i="2"/>
  <c r="C1201" i="2"/>
  <c r="J1194" i="2"/>
  <c r="P1213" i="2" s="1"/>
  <c r="D1193" i="2"/>
  <c r="O1213" i="2" s="1"/>
  <c r="M1192" i="2"/>
  <c r="L1192" i="2"/>
  <c r="K1188" i="2"/>
  <c r="I1188" i="2" s="1"/>
  <c r="G1188" i="2"/>
  <c r="E1188" i="2"/>
  <c r="C1188" i="2"/>
  <c r="K1187" i="2"/>
  <c r="H1187" i="2" s="1"/>
  <c r="G1187" i="2"/>
  <c r="E1187" i="2"/>
  <c r="C1187" i="2"/>
  <c r="K1186" i="2"/>
  <c r="H1186" i="2" s="1"/>
  <c r="G1186" i="2"/>
  <c r="E1186" i="2"/>
  <c r="C1186" i="2"/>
  <c r="K1185" i="2"/>
  <c r="J1185" i="2" s="1"/>
  <c r="G1185" i="2"/>
  <c r="E1185" i="2"/>
  <c r="C1185" i="2"/>
  <c r="K1184" i="2"/>
  <c r="I1184" i="2" s="1"/>
  <c r="G1184" i="2"/>
  <c r="E1184" i="2"/>
  <c r="C1184" i="2"/>
  <c r="K1183" i="2"/>
  <c r="J1183" i="2" s="1"/>
  <c r="G1183" i="2"/>
  <c r="E1183" i="2"/>
  <c r="C1183" i="2"/>
  <c r="K1182" i="2"/>
  <c r="J1182" i="2" s="1"/>
  <c r="G1182" i="2"/>
  <c r="E1182" i="2"/>
  <c r="C1182" i="2"/>
  <c r="K1181" i="2"/>
  <c r="J1181" i="2" s="1"/>
  <c r="G1181" i="2"/>
  <c r="E1181" i="2"/>
  <c r="C1181" i="2"/>
  <c r="K1180" i="2"/>
  <c r="I1180" i="2" s="1"/>
  <c r="G1180" i="2"/>
  <c r="E1180" i="2"/>
  <c r="C1180" i="2"/>
  <c r="J1173" i="2"/>
  <c r="P1192" i="2" s="1"/>
  <c r="D1172" i="2"/>
  <c r="O1192" i="2" s="1"/>
  <c r="M1171" i="2"/>
  <c r="L1171" i="2"/>
  <c r="K1167" i="2"/>
  <c r="I1167" i="2" s="1"/>
  <c r="G1167" i="2"/>
  <c r="E1167" i="2"/>
  <c r="C1167" i="2"/>
  <c r="K1166" i="2"/>
  <c r="H1166" i="2" s="1"/>
  <c r="G1166" i="2"/>
  <c r="E1166" i="2"/>
  <c r="C1166" i="2"/>
  <c r="K1165" i="2"/>
  <c r="I1165" i="2" s="1"/>
  <c r="G1165" i="2"/>
  <c r="E1165" i="2"/>
  <c r="C1165" i="2"/>
  <c r="K1164" i="2"/>
  <c r="H1164" i="2" s="1"/>
  <c r="G1164" i="2"/>
  <c r="E1164" i="2"/>
  <c r="C1164" i="2"/>
  <c r="K1163" i="2"/>
  <c r="J1163" i="2" s="1"/>
  <c r="G1163" i="2"/>
  <c r="E1163" i="2"/>
  <c r="C1163" i="2"/>
  <c r="K1162" i="2"/>
  <c r="I1162" i="2" s="1"/>
  <c r="G1162" i="2"/>
  <c r="E1162" i="2"/>
  <c r="C1162" i="2"/>
  <c r="K1161" i="2"/>
  <c r="J1161" i="2" s="1"/>
  <c r="G1161" i="2"/>
  <c r="E1161" i="2"/>
  <c r="C1161" i="2"/>
  <c r="K1160" i="2"/>
  <c r="J1160" i="2" s="1"/>
  <c r="G1160" i="2"/>
  <c r="E1160" i="2"/>
  <c r="C1160" i="2"/>
  <c r="K1159" i="2"/>
  <c r="I1159" i="2" s="1"/>
  <c r="G1159" i="2"/>
  <c r="E1159" i="2"/>
  <c r="C1159" i="2"/>
  <c r="J1152" i="2"/>
  <c r="P1171" i="2" s="1"/>
  <c r="D1151" i="2"/>
  <c r="O1171" i="2" s="1"/>
  <c r="M1150" i="2"/>
  <c r="L1150" i="2"/>
  <c r="K1146" i="2"/>
  <c r="I1146" i="2" s="1"/>
  <c r="G1146" i="2"/>
  <c r="E1146" i="2"/>
  <c r="C1146" i="2"/>
  <c r="K1145" i="2"/>
  <c r="H1145" i="2" s="1"/>
  <c r="G1145" i="2"/>
  <c r="E1145" i="2"/>
  <c r="C1145" i="2"/>
  <c r="K1144" i="2"/>
  <c r="J1144" i="2" s="1"/>
  <c r="G1144" i="2"/>
  <c r="E1144" i="2"/>
  <c r="C1144" i="2"/>
  <c r="K1143" i="2"/>
  <c r="J1143" i="2" s="1"/>
  <c r="G1143" i="2"/>
  <c r="E1143" i="2"/>
  <c r="C1143" i="2"/>
  <c r="K1142" i="2"/>
  <c r="J1142" i="2" s="1"/>
  <c r="G1142" i="2"/>
  <c r="E1142" i="2"/>
  <c r="C1142" i="2"/>
  <c r="K1141" i="2"/>
  <c r="J1141" i="2" s="1"/>
  <c r="G1141" i="2"/>
  <c r="E1141" i="2"/>
  <c r="C1141" i="2"/>
  <c r="K1140" i="2"/>
  <c r="H1140" i="2" s="1"/>
  <c r="G1140" i="2"/>
  <c r="E1140" i="2"/>
  <c r="C1140" i="2"/>
  <c r="K1139" i="2"/>
  <c r="J1139" i="2" s="1"/>
  <c r="G1139" i="2"/>
  <c r="E1139" i="2"/>
  <c r="C1139" i="2"/>
  <c r="K1138" i="2"/>
  <c r="I1138" i="2" s="1"/>
  <c r="G1138" i="2"/>
  <c r="E1138" i="2"/>
  <c r="C1138" i="2"/>
  <c r="J1131" i="2"/>
  <c r="P1150" i="2" s="1"/>
  <c r="D1130" i="2"/>
  <c r="O1150" i="2" s="1"/>
  <c r="M1129" i="2"/>
  <c r="L1129" i="2"/>
  <c r="K1125" i="2"/>
  <c r="J1125" i="2" s="1"/>
  <c r="G1125" i="2"/>
  <c r="E1125" i="2"/>
  <c r="C1125" i="2"/>
  <c r="K1124" i="2"/>
  <c r="H1124" i="2" s="1"/>
  <c r="G1124" i="2"/>
  <c r="E1124" i="2"/>
  <c r="C1124" i="2"/>
  <c r="K1123" i="2"/>
  <c r="I1123" i="2" s="1"/>
  <c r="G1123" i="2"/>
  <c r="E1123" i="2"/>
  <c r="C1123" i="2"/>
  <c r="K1122" i="2"/>
  <c r="J1122" i="2" s="1"/>
  <c r="G1122" i="2"/>
  <c r="E1122" i="2"/>
  <c r="C1122" i="2"/>
  <c r="K1121" i="2"/>
  <c r="J1121" i="2" s="1"/>
  <c r="G1121" i="2"/>
  <c r="E1121" i="2"/>
  <c r="C1121" i="2"/>
  <c r="K1120" i="2"/>
  <c r="J1120" i="2" s="1"/>
  <c r="G1120" i="2"/>
  <c r="E1120" i="2"/>
  <c r="C1120" i="2"/>
  <c r="K1119" i="2"/>
  <c r="J1119" i="2" s="1"/>
  <c r="G1119" i="2"/>
  <c r="E1119" i="2"/>
  <c r="C1119" i="2"/>
  <c r="K1118" i="2"/>
  <c r="J1118" i="2" s="1"/>
  <c r="G1118" i="2"/>
  <c r="E1118" i="2"/>
  <c r="C1118" i="2"/>
  <c r="K1117" i="2"/>
  <c r="H1117" i="2" s="1"/>
  <c r="G1117" i="2"/>
  <c r="E1117" i="2"/>
  <c r="C1117" i="2"/>
  <c r="J1110" i="2"/>
  <c r="P1129" i="2" s="1"/>
  <c r="D1109" i="2"/>
  <c r="O1129" i="2" s="1"/>
  <c r="M1108" i="2"/>
  <c r="L1108" i="2"/>
  <c r="K1104" i="2"/>
  <c r="I1104" i="2" s="1"/>
  <c r="G1104" i="2"/>
  <c r="E1104" i="2"/>
  <c r="C1104" i="2"/>
  <c r="K1103" i="2"/>
  <c r="H1103" i="2" s="1"/>
  <c r="G1103" i="2"/>
  <c r="E1103" i="2"/>
  <c r="C1103" i="2"/>
  <c r="K1102" i="2"/>
  <c r="J1102" i="2" s="1"/>
  <c r="G1102" i="2"/>
  <c r="E1102" i="2"/>
  <c r="C1102" i="2"/>
  <c r="K1101" i="2"/>
  <c r="I1101" i="2" s="1"/>
  <c r="G1101" i="2"/>
  <c r="E1101" i="2"/>
  <c r="C1101" i="2"/>
  <c r="K1100" i="2"/>
  <c r="H1100" i="2" s="1"/>
  <c r="G1100" i="2"/>
  <c r="E1100" i="2"/>
  <c r="C1100" i="2"/>
  <c r="K1099" i="2"/>
  <c r="J1099" i="2" s="1"/>
  <c r="G1099" i="2"/>
  <c r="E1099" i="2"/>
  <c r="C1099" i="2"/>
  <c r="K1098" i="2"/>
  <c r="I1098" i="2" s="1"/>
  <c r="G1098" i="2"/>
  <c r="E1098" i="2"/>
  <c r="C1098" i="2"/>
  <c r="K1097" i="2"/>
  <c r="J1097" i="2" s="1"/>
  <c r="G1097" i="2"/>
  <c r="E1097" i="2"/>
  <c r="C1097" i="2"/>
  <c r="K1096" i="2"/>
  <c r="I1096" i="2" s="1"/>
  <c r="G1096" i="2"/>
  <c r="E1096" i="2"/>
  <c r="C1096" i="2"/>
  <c r="J1089" i="2"/>
  <c r="P1108" i="2" s="1"/>
  <c r="D1088" i="2"/>
  <c r="O1108" i="2" s="1"/>
  <c r="M1087" i="2"/>
  <c r="L1087" i="2"/>
  <c r="K1083" i="2"/>
  <c r="I1083" i="2" s="1"/>
  <c r="G1083" i="2"/>
  <c r="E1083" i="2"/>
  <c r="C1083" i="2"/>
  <c r="K1082" i="2"/>
  <c r="H1082" i="2" s="1"/>
  <c r="G1082" i="2"/>
  <c r="E1082" i="2"/>
  <c r="C1082" i="2"/>
  <c r="K1081" i="2"/>
  <c r="H1081" i="2" s="1"/>
  <c r="G1081" i="2"/>
  <c r="E1081" i="2"/>
  <c r="C1081" i="2"/>
  <c r="K1080" i="2"/>
  <c r="J1080" i="2" s="1"/>
  <c r="G1080" i="2"/>
  <c r="E1080" i="2"/>
  <c r="C1080" i="2"/>
  <c r="K1079" i="2"/>
  <c r="J1079" i="2" s="1"/>
  <c r="G1079" i="2"/>
  <c r="E1079" i="2"/>
  <c r="C1079" i="2"/>
  <c r="K1078" i="2"/>
  <c r="J1078" i="2" s="1"/>
  <c r="G1078" i="2"/>
  <c r="E1078" i="2"/>
  <c r="C1078" i="2"/>
  <c r="K1077" i="2"/>
  <c r="H1077" i="2" s="1"/>
  <c r="G1077" i="2"/>
  <c r="E1077" i="2"/>
  <c r="C1077" i="2"/>
  <c r="K1076" i="2"/>
  <c r="J1076" i="2" s="1"/>
  <c r="G1076" i="2"/>
  <c r="E1076" i="2"/>
  <c r="C1076" i="2"/>
  <c r="K1075" i="2"/>
  <c r="I1075" i="2" s="1"/>
  <c r="G1075" i="2"/>
  <c r="E1075" i="2"/>
  <c r="C1075" i="2"/>
  <c r="J1068" i="2"/>
  <c r="P1087" i="2" s="1"/>
  <c r="D1067" i="2"/>
  <c r="O1087" i="2" s="1"/>
  <c r="M1066" i="2"/>
  <c r="L1066" i="2"/>
  <c r="K1062" i="2"/>
  <c r="I1062" i="2" s="1"/>
  <c r="G1062" i="2"/>
  <c r="E1062" i="2"/>
  <c r="C1062" i="2"/>
  <c r="K1061" i="2"/>
  <c r="H1061" i="2" s="1"/>
  <c r="G1061" i="2"/>
  <c r="E1061" i="2"/>
  <c r="C1061" i="2"/>
  <c r="K1060" i="2"/>
  <c r="J1060" i="2" s="1"/>
  <c r="G1060" i="2"/>
  <c r="E1060" i="2"/>
  <c r="C1060" i="2"/>
  <c r="K1059" i="2"/>
  <c r="J1059" i="2" s="1"/>
  <c r="G1059" i="2"/>
  <c r="E1059" i="2"/>
  <c r="C1059" i="2"/>
  <c r="K1058" i="2"/>
  <c r="I1058" i="2" s="1"/>
  <c r="G1058" i="2"/>
  <c r="E1058" i="2"/>
  <c r="C1058" i="2"/>
  <c r="K1057" i="2"/>
  <c r="J1057" i="2" s="1"/>
  <c r="G1057" i="2"/>
  <c r="E1057" i="2"/>
  <c r="C1057" i="2"/>
  <c r="K1056" i="2"/>
  <c r="I1056" i="2" s="1"/>
  <c r="G1056" i="2"/>
  <c r="E1056" i="2"/>
  <c r="C1056" i="2"/>
  <c r="K1055" i="2"/>
  <c r="J1055" i="2" s="1"/>
  <c r="G1055" i="2"/>
  <c r="E1055" i="2"/>
  <c r="C1055" i="2"/>
  <c r="K1054" i="2"/>
  <c r="I1054" i="2" s="1"/>
  <c r="G1054" i="2"/>
  <c r="E1054" i="2"/>
  <c r="C1054" i="2"/>
  <c r="J1047" i="2"/>
  <c r="P1066" i="2" s="1"/>
  <c r="D1046" i="2"/>
  <c r="O1066" i="2" s="1"/>
  <c r="M1045" i="2"/>
  <c r="L1045" i="2"/>
  <c r="K1041" i="2"/>
  <c r="I1041" i="2" s="1"/>
  <c r="G1041" i="2"/>
  <c r="E1041" i="2"/>
  <c r="C1041" i="2"/>
  <c r="K1040" i="2"/>
  <c r="H1040" i="2" s="1"/>
  <c r="G1040" i="2"/>
  <c r="E1040" i="2"/>
  <c r="C1040" i="2"/>
  <c r="K1039" i="2"/>
  <c r="H1039" i="2" s="1"/>
  <c r="G1039" i="2"/>
  <c r="E1039" i="2"/>
  <c r="C1039" i="2"/>
  <c r="K1038" i="2"/>
  <c r="H1038" i="2" s="1"/>
  <c r="G1038" i="2"/>
  <c r="E1038" i="2"/>
  <c r="C1038" i="2"/>
  <c r="K1037" i="2"/>
  <c r="J1037" i="2" s="1"/>
  <c r="G1037" i="2"/>
  <c r="E1037" i="2"/>
  <c r="C1037" i="2"/>
  <c r="K1036" i="2"/>
  <c r="J1036" i="2" s="1"/>
  <c r="G1036" i="2"/>
  <c r="E1036" i="2"/>
  <c r="C1036" i="2"/>
  <c r="K1035" i="2"/>
  <c r="J1035" i="2" s="1"/>
  <c r="G1035" i="2"/>
  <c r="E1035" i="2"/>
  <c r="C1035" i="2"/>
  <c r="K1034" i="2"/>
  <c r="J1034" i="2" s="1"/>
  <c r="G1034" i="2"/>
  <c r="E1034" i="2"/>
  <c r="C1034" i="2"/>
  <c r="K1033" i="2"/>
  <c r="I1033" i="2" s="1"/>
  <c r="G1033" i="2"/>
  <c r="E1033" i="2"/>
  <c r="C1033" i="2"/>
  <c r="J1026" i="2"/>
  <c r="P1045" i="2" s="1"/>
  <c r="D1025" i="2"/>
  <c r="O1045" i="2" s="1"/>
  <c r="M1024" i="2"/>
  <c r="L1024" i="2"/>
  <c r="K1020" i="2"/>
  <c r="I1020" i="2" s="1"/>
  <c r="G1020" i="2"/>
  <c r="E1020" i="2"/>
  <c r="C1020" i="2"/>
  <c r="K1019" i="2"/>
  <c r="H1019" i="2" s="1"/>
  <c r="G1019" i="2"/>
  <c r="E1019" i="2"/>
  <c r="C1019" i="2"/>
  <c r="K1018" i="2"/>
  <c r="J1018" i="2" s="1"/>
  <c r="G1018" i="2"/>
  <c r="E1018" i="2"/>
  <c r="C1018" i="2"/>
  <c r="K1017" i="2"/>
  <c r="I1017" i="2" s="1"/>
  <c r="G1017" i="2"/>
  <c r="E1017" i="2"/>
  <c r="C1017" i="2"/>
  <c r="K1016" i="2"/>
  <c r="J1016" i="2" s="1"/>
  <c r="G1016" i="2"/>
  <c r="E1016" i="2"/>
  <c r="C1016" i="2"/>
  <c r="K1015" i="2"/>
  <c r="I1015" i="2" s="1"/>
  <c r="G1015" i="2"/>
  <c r="E1015" i="2"/>
  <c r="C1015" i="2"/>
  <c r="K1014" i="2"/>
  <c r="J1014" i="2" s="1"/>
  <c r="G1014" i="2"/>
  <c r="E1014" i="2"/>
  <c r="C1014" i="2"/>
  <c r="K1013" i="2"/>
  <c r="J1013" i="2" s="1"/>
  <c r="G1013" i="2"/>
  <c r="E1013" i="2"/>
  <c r="C1013" i="2"/>
  <c r="K1012" i="2"/>
  <c r="I1012" i="2" s="1"/>
  <c r="G1012" i="2"/>
  <c r="E1012" i="2"/>
  <c r="C1012" i="2"/>
  <c r="J1005" i="2"/>
  <c r="P1024" i="2" s="1"/>
  <c r="D1004" i="2"/>
  <c r="O1024" i="2" s="1"/>
  <c r="M1003" i="2"/>
  <c r="L1003" i="2"/>
  <c r="K999" i="2"/>
  <c r="I999" i="2" s="1"/>
  <c r="G999" i="2"/>
  <c r="E999" i="2"/>
  <c r="C999" i="2"/>
  <c r="K998" i="2"/>
  <c r="H998" i="2" s="1"/>
  <c r="G998" i="2"/>
  <c r="E998" i="2"/>
  <c r="C998" i="2"/>
  <c r="K997" i="2"/>
  <c r="J997" i="2" s="1"/>
  <c r="G997" i="2"/>
  <c r="E997" i="2"/>
  <c r="C997" i="2"/>
  <c r="K996" i="2"/>
  <c r="J996" i="2" s="1"/>
  <c r="G996" i="2"/>
  <c r="E996" i="2"/>
  <c r="C996" i="2"/>
  <c r="K995" i="2"/>
  <c r="I995" i="2" s="1"/>
  <c r="G995" i="2"/>
  <c r="E995" i="2"/>
  <c r="C995" i="2"/>
  <c r="K994" i="2"/>
  <c r="J994" i="2" s="1"/>
  <c r="G994" i="2"/>
  <c r="E994" i="2"/>
  <c r="C994" i="2"/>
  <c r="K993" i="2"/>
  <c r="J993" i="2" s="1"/>
  <c r="G993" i="2"/>
  <c r="E993" i="2"/>
  <c r="C993" i="2"/>
  <c r="K992" i="2"/>
  <c r="J992" i="2" s="1"/>
  <c r="G992" i="2"/>
  <c r="E992" i="2"/>
  <c r="C992" i="2"/>
  <c r="K991" i="2"/>
  <c r="I991" i="2" s="1"/>
  <c r="G991" i="2"/>
  <c r="E991" i="2"/>
  <c r="C991" i="2"/>
  <c r="J984" i="2"/>
  <c r="P1003" i="2" s="1"/>
  <c r="D983" i="2"/>
  <c r="O1003" i="2" s="1"/>
  <c r="M982" i="2"/>
  <c r="L982" i="2"/>
  <c r="K978" i="2"/>
  <c r="I978" i="2" s="1"/>
  <c r="G978" i="2"/>
  <c r="E978" i="2"/>
  <c r="C978" i="2"/>
  <c r="K977" i="2"/>
  <c r="H977" i="2" s="1"/>
  <c r="G977" i="2"/>
  <c r="E977" i="2"/>
  <c r="C977" i="2"/>
  <c r="K976" i="2"/>
  <c r="J976" i="2" s="1"/>
  <c r="G976" i="2"/>
  <c r="E976" i="2"/>
  <c r="C976" i="2"/>
  <c r="K975" i="2"/>
  <c r="I975" i="2" s="1"/>
  <c r="G975" i="2"/>
  <c r="E975" i="2"/>
  <c r="C975" i="2"/>
  <c r="K974" i="2"/>
  <c r="H974" i="2" s="1"/>
  <c r="G974" i="2"/>
  <c r="E974" i="2"/>
  <c r="C974" i="2"/>
  <c r="K973" i="2"/>
  <c r="J973" i="2" s="1"/>
  <c r="G973" i="2"/>
  <c r="E973" i="2"/>
  <c r="C973" i="2"/>
  <c r="K972" i="2"/>
  <c r="J972" i="2" s="1"/>
  <c r="G972" i="2"/>
  <c r="E972" i="2"/>
  <c r="C972" i="2"/>
  <c r="K971" i="2"/>
  <c r="J971" i="2" s="1"/>
  <c r="G971" i="2"/>
  <c r="E971" i="2"/>
  <c r="C971" i="2"/>
  <c r="K970" i="2"/>
  <c r="I970" i="2" s="1"/>
  <c r="G970" i="2"/>
  <c r="E970" i="2"/>
  <c r="C970" i="2"/>
  <c r="J963" i="2"/>
  <c r="P982" i="2" s="1"/>
  <c r="D962" i="2"/>
  <c r="O982" i="2" s="1"/>
  <c r="M961" i="2"/>
  <c r="L961" i="2"/>
  <c r="K957" i="2"/>
  <c r="I957" i="2" s="1"/>
  <c r="G957" i="2"/>
  <c r="E957" i="2"/>
  <c r="C957" i="2"/>
  <c r="K956" i="2"/>
  <c r="H956" i="2" s="1"/>
  <c r="G956" i="2"/>
  <c r="E956" i="2"/>
  <c r="C956" i="2"/>
  <c r="K955" i="2"/>
  <c r="J955" i="2" s="1"/>
  <c r="G955" i="2"/>
  <c r="E955" i="2"/>
  <c r="C955" i="2"/>
  <c r="K954" i="2"/>
  <c r="I954" i="2" s="1"/>
  <c r="G954" i="2"/>
  <c r="E954" i="2"/>
  <c r="C954" i="2"/>
  <c r="K953" i="2"/>
  <c r="J953" i="2" s="1"/>
  <c r="G953" i="2"/>
  <c r="E953" i="2"/>
  <c r="C953" i="2"/>
  <c r="K952" i="2"/>
  <c r="I952" i="2" s="1"/>
  <c r="G952" i="2"/>
  <c r="E952" i="2"/>
  <c r="C952" i="2"/>
  <c r="K951" i="2"/>
  <c r="J951" i="2" s="1"/>
  <c r="G951" i="2"/>
  <c r="E951" i="2"/>
  <c r="C951" i="2"/>
  <c r="K950" i="2"/>
  <c r="J950" i="2" s="1"/>
  <c r="G950" i="2"/>
  <c r="E950" i="2"/>
  <c r="C950" i="2"/>
  <c r="K949" i="2"/>
  <c r="I949" i="2" s="1"/>
  <c r="G949" i="2"/>
  <c r="E949" i="2"/>
  <c r="C949" i="2"/>
  <c r="J942" i="2"/>
  <c r="P961" i="2" s="1"/>
  <c r="D941" i="2"/>
  <c r="O961" i="2" s="1"/>
  <c r="C89" i="4"/>
  <c r="M940" i="2"/>
  <c r="L940" i="2"/>
  <c r="K936" i="2"/>
  <c r="I936" i="2" s="1"/>
  <c r="G936" i="2"/>
  <c r="E936" i="2"/>
  <c r="C936" i="2"/>
  <c r="K935" i="2"/>
  <c r="H935" i="2" s="1"/>
  <c r="G935" i="2"/>
  <c r="E935" i="2"/>
  <c r="C935" i="2"/>
  <c r="K934" i="2"/>
  <c r="J934" i="2" s="1"/>
  <c r="G934" i="2"/>
  <c r="E934" i="2"/>
  <c r="C934" i="2"/>
  <c r="K933" i="2"/>
  <c r="J933" i="2" s="1"/>
  <c r="G933" i="2"/>
  <c r="E933" i="2"/>
  <c r="C933" i="2"/>
  <c r="K932" i="2"/>
  <c r="J932" i="2" s="1"/>
  <c r="G932" i="2"/>
  <c r="E932" i="2"/>
  <c r="C932" i="2"/>
  <c r="K931" i="2"/>
  <c r="I931" i="2" s="1"/>
  <c r="G931" i="2"/>
  <c r="E931" i="2"/>
  <c r="C931" i="2"/>
  <c r="K930" i="2"/>
  <c r="J930" i="2" s="1"/>
  <c r="G930" i="2"/>
  <c r="E930" i="2"/>
  <c r="C930" i="2"/>
  <c r="K929" i="2"/>
  <c r="J929" i="2" s="1"/>
  <c r="G929" i="2"/>
  <c r="E929" i="2"/>
  <c r="C929" i="2"/>
  <c r="K928" i="2"/>
  <c r="I928" i="2" s="1"/>
  <c r="G928" i="2"/>
  <c r="E928" i="2"/>
  <c r="C928" i="2"/>
  <c r="J921" i="2"/>
  <c r="P940" i="2" s="1"/>
  <c r="D920" i="2"/>
  <c r="O940" i="2" s="1"/>
  <c r="M919" i="2"/>
  <c r="L919" i="2"/>
  <c r="K915" i="2"/>
  <c r="I915" i="2" s="1"/>
  <c r="G915" i="2"/>
  <c r="E915" i="2"/>
  <c r="C915" i="2"/>
  <c r="K914" i="2"/>
  <c r="H914" i="2" s="1"/>
  <c r="G914" i="2"/>
  <c r="E914" i="2"/>
  <c r="C914" i="2"/>
  <c r="K913" i="2"/>
  <c r="J913" i="2" s="1"/>
  <c r="G913" i="2"/>
  <c r="E913" i="2"/>
  <c r="C913" i="2"/>
  <c r="K912" i="2"/>
  <c r="J912" i="2" s="1"/>
  <c r="G912" i="2"/>
  <c r="E912" i="2"/>
  <c r="C912" i="2"/>
  <c r="K911" i="2"/>
  <c r="I911" i="2" s="1"/>
  <c r="G911" i="2"/>
  <c r="E911" i="2"/>
  <c r="C911" i="2"/>
  <c r="K910" i="2"/>
  <c r="I910" i="2" s="1"/>
  <c r="G910" i="2"/>
  <c r="E910" i="2"/>
  <c r="C910" i="2"/>
  <c r="K909" i="2"/>
  <c r="J909" i="2" s="1"/>
  <c r="G909" i="2"/>
  <c r="E909" i="2"/>
  <c r="C909" i="2"/>
  <c r="K908" i="2"/>
  <c r="I908" i="2" s="1"/>
  <c r="G908" i="2"/>
  <c r="E908" i="2"/>
  <c r="C908" i="2"/>
  <c r="K907" i="2"/>
  <c r="I907" i="2" s="1"/>
  <c r="G907" i="2"/>
  <c r="E907" i="2"/>
  <c r="C907" i="2"/>
  <c r="J900" i="2"/>
  <c r="P919" i="2" s="1"/>
  <c r="D899" i="2"/>
  <c r="O919" i="2" s="1"/>
  <c r="C49" i="12"/>
  <c r="B49" i="12"/>
  <c r="C48" i="12"/>
  <c r="B48" i="12"/>
  <c r="C47" i="12"/>
  <c r="B47" i="12"/>
  <c r="C46" i="12"/>
  <c r="B46" i="12"/>
  <c r="C45" i="12"/>
  <c r="B45" i="12"/>
  <c r="C44" i="12"/>
  <c r="B44" i="12"/>
  <c r="C43" i="12"/>
  <c r="B43" i="12"/>
  <c r="C36" i="12"/>
  <c r="B36" i="12"/>
  <c r="C35" i="12"/>
  <c r="B35" i="12"/>
  <c r="C34" i="12"/>
  <c r="B34" i="12"/>
  <c r="C33" i="12"/>
  <c r="B33" i="12"/>
  <c r="C32" i="12"/>
  <c r="B32" i="12"/>
  <c r="C31" i="12"/>
  <c r="B31" i="12"/>
  <c r="C30" i="12"/>
  <c r="B30" i="12"/>
  <c r="C40" i="12"/>
  <c r="B40" i="12"/>
  <c r="C39" i="12"/>
  <c r="B39" i="12"/>
  <c r="C38" i="12"/>
  <c r="B38" i="12"/>
  <c r="C37" i="12"/>
  <c r="B37" i="12"/>
  <c r="C42" i="12"/>
  <c r="B42" i="12"/>
  <c r="C41" i="12"/>
  <c r="B41" i="12"/>
  <c r="D106" i="12"/>
  <c r="C106" i="12"/>
  <c r="B106" i="12"/>
  <c r="C4420" i="3"/>
  <c r="C4409" i="3"/>
  <c r="C4410" i="3"/>
  <c r="C4411" i="3"/>
  <c r="C4412" i="3"/>
  <c r="C4413" i="3"/>
  <c r="C4414" i="3"/>
  <c r="C4415" i="3"/>
  <c r="C4416" i="3"/>
  <c r="C4417" i="3"/>
  <c r="C4418" i="3"/>
  <c r="C4419" i="3"/>
  <c r="C4406" i="3"/>
  <c r="C4407" i="3"/>
  <c r="C4408" i="3"/>
  <c r="N1605" i="2" l="1"/>
  <c r="N265" i="2"/>
  <c r="N244" i="2"/>
  <c r="N1665" i="2"/>
  <c r="H261" i="2"/>
  <c r="J259" i="2"/>
  <c r="J261" i="2"/>
  <c r="I253" i="2"/>
  <c r="J255" i="2"/>
  <c r="H257" i="2"/>
  <c r="I260" i="2"/>
  <c r="J257" i="2"/>
  <c r="H259" i="2"/>
  <c r="H258" i="2"/>
  <c r="J260" i="2"/>
  <c r="I258" i="2"/>
  <c r="H256" i="2"/>
  <c r="H255" i="2"/>
  <c r="I256" i="2"/>
  <c r="H254" i="2"/>
  <c r="H253" i="2"/>
  <c r="I254" i="2"/>
  <c r="I1718" i="2"/>
  <c r="I1717" i="2"/>
  <c r="J1720" i="2"/>
  <c r="H1719" i="2"/>
  <c r="J1718" i="2"/>
  <c r="I1715" i="2"/>
  <c r="H1717" i="2"/>
  <c r="I1712" i="2"/>
  <c r="J1712" i="2"/>
  <c r="I1719" i="2"/>
  <c r="H1716" i="2"/>
  <c r="I1716" i="2"/>
  <c r="N1725" i="2"/>
  <c r="H1715" i="2"/>
  <c r="I1720" i="2"/>
  <c r="J1713" i="2"/>
  <c r="J1721" i="2"/>
  <c r="I1696" i="2"/>
  <c r="H1714" i="2"/>
  <c r="H1695" i="2"/>
  <c r="H1713" i="2"/>
  <c r="I1714" i="2"/>
  <c r="H1721" i="2"/>
  <c r="I1695" i="2"/>
  <c r="H1659" i="2"/>
  <c r="H1679" i="2"/>
  <c r="J1696" i="2"/>
  <c r="H1699" i="2"/>
  <c r="H1676" i="2"/>
  <c r="J1699" i="2"/>
  <c r="I1676" i="2"/>
  <c r="I1698" i="2"/>
  <c r="J1701" i="2"/>
  <c r="H1697" i="2"/>
  <c r="N1705" i="2"/>
  <c r="J1697" i="2"/>
  <c r="I1700" i="2"/>
  <c r="H1698" i="2"/>
  <c r="J1700" i="2"/>
  <c r="J1673" i="2"/>
  <c r="J1678" i="2"/>
  <c r="I1672" i="2"/>
  <c r="H1701" i="2"/>
  <c r="H1671" i="2"/>
  <c r="I1677" i="2"/>
  <c r="H1675" i="2"/>
  <c r="I1637" i="2"/>
  <c r="I1675" i="2"/>
  <c r="J1681" i="2"/>
  <c r="N1685" i="2"/>
  <c r="J1615" i="2"/>
  <c r="I1680" i="2"/>
  <c r="I1671" i="2"/>
  <c r="J1672" i="2"/>
  <c r="H1678" i="2"/>
  <c r="I1679" i="2"/>
  <c r="J1680" i="2"/>
  <c r="H1677" i="2"/>
  <c r="H1674" i="2"/>
  <c r="H1655" i="2"/>
  <c r="H1673" i="2"/>
  <c r="I1674" i="2"/>
  <c r="H1681" i="2"/>
  <c r="I1655" i="2"/>
  <c r="I1656" i="2"/>
  <c r="H1661" i="2"/>
  <c r="J1661" i="2"/>
  <c r="I1660" i="2"/>
  <c r="J1657" i="2"/>
  <c r="H1658" i="2"/>
  <c r="I1659" i="2"/>
  <c r="J1660" i="2"/>
  <c r="H1638" i="2"/>
  <c r="H1657" i="2"/>
  <c r="I1658" i="2"/>
  <c r="J1638" i="2"/>
  <c r="H1656" i="2"/>
  <c r="J1640" i="2"/>
  <c r="H1636" i="2"/>
  <c r="I1639" i="2"/>
  <c r="I1635" i="2"/>
  <c r="J1635" i="2"/>
  <c r="N1645" i="2"/>
  <c r="I1615" i="2"/>
  <c r="H1639" i="2"/>
  <c r="I1640" i="2"/>
  <c r="J1641" i="2"/>
  <c r="H1618" i="2"/>
  <c r="H1637" i="2"/>
  <c r="I1618" i="2"/>
  <c r="J1620" i="2"/>
  <c r="I1636" i="2"/>
  <c r="H1641" i="2"/>
  <c r="I1619" i="2"/>
  <c r="J1619" i="2"/>
  <c r="N1625" i="2"/>
  <c r="H1617" i="2"/>
  <c r="I1620" i="2"/>
  <c r="J1621" i="2"/>
  <c r="H1616" i="2"/>
  <c r="I1617" i="2"/>
  <c r="I1616" i="2"/>
  <c r="H1621" i="2"/>
  <c r="I1600" i="2"/>
  <c r="J1600" i="2"/>
  <c r="J1601" i="2"/>
  <c r="H1601" i="2"/>
  <c r="H1579" i="2"/>
  <c r="J1581" i="2"/>
  <c r="N1585" i="2"/>
  <c r="I1580" i="2"/>
  <c r="I1579" i="2"/>
  <c r="J1580" i="2"/>
  <c r="I1535" i="2"/>
  <c r="J1560" i="2"/>
  <c r="H1581" i="2"/>
  <c r="I1536" i="2"/>
  <c r="J1536" i="2"/>
  <c r="I1538" i="2"/>
  <c r="N1565" i="2"/>
  <c r="I1560" i="2"/>
  <c r="J1561" i="2"/>
  <c r="H1535" i="2"/>
  <c r="H1538" i="2"/>
  <c r="H1561" i="2"/>
  <c r="J1540" i="2"/>
  <c r="I1539" i="2"/>
  <c r="H1534" i="2"/>
  <c r="H1537" i="2"/>
  <c r="N1545" i="2"/>
  <c r="I1537" i="2"/>
  <c r="H1539" i="2"/>
  <c r="I1540" i="2"/>
  <c r="J1541" i="2"/>
  <c r="I1534" i="2"/>
  <c r="H1541" i="2"/>
  <c r="J1520" i="2"/>
  <c r="I1519" i="2"/>
  <c r="N1525" i="2"/>
  <c r="H1519" i="2"/>
  <c r="I1520" i="2"/>
  <c r="J1521" i="2"/>
  <c r="H1521" i="2"/>
  <c r="J237" i="2"/>
  <c r="H237" i="2"/>
  <c r="J238" i="2"/>
  <c r="H240" i="2"/>
  <c r="H236" i="2"/>
  <c r="I236" i="2"/>
  <c r="H238" i="2"/>
  <c r="I239" i="2"/>
  <c r="J240" i="2"/>
  <c r="J239" i="2"/>
  <c r="N223" i="2"/>
  <c r="N28" i="2"/>
  <c r="N1297" i="2"/>
  <c r="N1485" i="2"/>
  <c r="H20" i="2"/>
  <c r="I22" i="2"/>
  <c r="J19" i="2"/>
  <c r="H22" i="2"/>
  <c r="J23" i="2"/>
  <c r="H21" i="2"/>
  <c r="I18" i="2"/>
  <c r="I21" i="2"/>
  <c r="J16" i="2"/>
  <c r="I23" i="2"/>
  <c r="J24" i="2"/>
  <c r="H19" i="2"/>
  <c r="I20" i="2"/>
  <c r="H18" i="2"/>
  <c r="H17" i="2"/>
  <c r="H16" i="2"/>
  <c r="I17" i="2"/>
  <c r="H24" i="2"/>
  <c r="J1500" i="2"/>
  <c r="N1505" i="2"/>
  <c r="I1479" i="2"/>
  <c r="I1500" i="2"/>
  <c r="J1501" i="2"/>
  <c r="H1501" i="2"/>
  <c r="H1479" i="2"/>
  <c r="I1480" i="2"/>
  <c r="J1480" i="2"/>
  <c r="J1481" i="2"/>
  <c r="H1481" i="2"/>
  <c r="N1276" i="2"/>
  <c r="N1150" i="2"/>
  <c r="H1455" i="2"/>
  <c r="J1434" i="2"/>
  <c r="J1456" i="2"/>
  <c r="H1456" i="2"/>
  <c r="I1455" i="2"/>
  <c r="H1459" i="2"/>
  <c r="I1452" i="2"/>
  <c r="J1459" i="2"/>
  <c r="H1451" i="2"/>
  <c r="I1458" i="2"/>
  <c r="J1461" i="2"/>
  <c r="J1451" i="2"/>
  <c r="H1457" i="2"/>
  <c r="I1457" i="2"/>
  <c r="N1465" i="2"/>
  <c r="J1453" i="2"/>
  <c r="I1460" i="2"/>
  <c r="H1450" i="2"/>
  <c r="J1452" i="2"/>
  <c r="H1458" i="2"/>
  <c r="J1460" i="2"/>
  <c r="I1450" i="2"/>
  <c r="H1454" i="2"/>
  <c r="H1453" i="2"/>
  <c r="I1454" i="2"/>
  <c r="H1461" i="2"/>
  <c r="H1438" i="2"/>
  <c r="I1438" i="2"/>
  <c r="I1437" i="2"/>
  <c r="H1437" i="2"/>
  <c r="J1432" i="2"/>
  <c r="H1436" i="2"/>
  <c r="J1440" i="2"/>
  <c r="I1439" i="2"/>
  <c r="N1444" i="2"/>
  <c r="J1439" i="2"/>
  <c r="H1435" i="2"/>
  <c r="I1436" i="2"/>
  <c r="H1412" i="2"/>
  <c r="H1434" i="2"/>
  <c r="I1435" i="2"/>
  <c r="J1418" i="2"/>
  <c r="H1433" i="2"/>
  <c r="H1432" i="2"/>
  <c r="I1433" i="2"/>
  <c r="H1440" i="2"/>
  <c r="I1413" i="2"/>
  <c r="H1396" i="2"/>
  <c r="J1414" i="2"/>
  <c r="I1412" i="2"/>
  <c r="I1417" i="2"/>
  <c r="H1416" i="2"/>
  <c r="N1423" i="2"/>
  <c r="J1411" i="2"/>
  <c r="H1417" i="2"/>
  <c r="I1418" i="2"/>
  <c r="J1419" i="2"/>
  <c r="H1415" i="2"/>
  <c r="I1416" i="2"/>
  <c r="H1414" i="2"/>
  <c r="I1415" i="2"/>
  <c r="H1413" i="2"/>
  <c r="H1411" i="2"/>
  <c r="H1419" i="2"/>
  <c r="J1392" i="2"/>
  <c r="I1396" i="2"/>
  <c r="H1395" i="2"/>
  <c r="J1390" i="2"/>
  <c r="J1395" i="2"/>
  <c r="I1394" i="2"/>
  <c r="J1398" i="2"/>
  <c r="H1397" i="2"/>
  <c r="I1397" i="2"/>
  <c r="N1402" i="2"/>
  <c r="H1394" i="2"/>
  <c r="H1393" i="2"/>
  <c r="H1392" i="2"/>
  <c r="I1393" i="2"/>
  <c r="H1391" i="2"/>
  <c r="H1390" i="2"/>
  <c r="I1391" i="2"/>
  <c r="H1398" i="2"/>
  <c r="I1375" i="2"/>
  <c r="J1372" i="2"/>
  <c r="H1374" i="2"/>
  <c r="I1369" i="2"/>
  <c r="J1369" i="2"/>
  <c r="J1377" i="2"/>
  <c r="H1376" i="2"/>
  <c r="I1376" i="2"/>
  <c r="N1381" i="2"/>
  <c r="H1375" i="2"/>
  <c r="H1373" i="2"/>
  <c r="I1374" i="2"/>
  <c r="H1372" i="2"/>
  <c r="I1373" i="2"/>
  <c r="H1371" i="2"/>
  <c r="H1370" i="2"/>
  <c r="I1371" i="2"/>
  <c r="I1370" i="2"/>
  <c r="H1377" i="2"/>
  <c r="H1348" i="2"/>
  <c r="H1350" i="2"/>
  <c r="I1352" i="2"/>
  <c r="H1351" i="2"/>
  <c r="J1348" i="2"/>
  <c r="H1354" i="2"/>
  <c r="J1350" i="2"/>
  <c r="H1353" i="2"/>
  <c r="J1353" i="2"/>
  <c r="J1356" i="2"/>
  <c r="J1352" i="2"/>
  <c r="I1355" i="2"/>
  <c r="N1360" i="2"/>
  <c r="J1355" i="2"/>
  <c r="I1354" i="2"/>
  <c r="I1351" i="2"/>
  <c r="H1349" i="2"/>
  <c r="I1349" i="2"/>
  <c r="H1356" i="2"/>
  <c r="I1332" i="2"/>
  <c r="J1329" i="2"/>
  <c r="I1333" i="2"/>
  <c r="I1330" i="2"/>
  <c r="J1330" i="2"/>
  <c r="H1329" i="2"/>
  <c r="H1333" i="2"/>
  <c r="J1334" i="2"/>
  <c r="H1332" i="2"/>
  <c r="H1331" i="2"/>
  <c r="J1331" i="2"/>
  <c r="N1339" i="2"/>
  <c r="I1334" i="2"/>
  <c r="J1327" i="2"/>
  <c r="J1335" i="2"/>
  <c r="H1328" i="2"/>
  <c r="H1327" i="2"/>
  <c r="I1328" i="2"/>
  <c r="H1335" i="2"/>
  <c r="J1313" i="2"/>
  <c r="I1308" i="2"/>
  <c r="J1308" i="2"/>
  <c r="H1307" i="2"/>
  <c r="H1311" i="2"/>
  <c r="J1311" i="2"/>
  <c r="H1309" i="2"/>
  <c r="I1312" i="2"/>
  <c r="J1309" i="2"/>
  <c r="N1318" i="2"/>
  <c r="J1306" i="2"/>
  <c r="H1312" i="2"/>
  <c r="I1313" i="2"/>
  <c r="J1314" i="2"/>
  <c r="H1310" i="2"/>
  <c r="I1310" i="2"/>
  <c r="H1306" i="2"/>
  <c r="I1307" i="2"/>
  <c r="H1314" i="2"/>
  <c r="J1289" i="2"/>
  <c r="J1293" i="2"/>
  <c r="H1292" i="2"/>
  <c r="I1285" i="2"/>
  <c r="I1292" i="2"/>
  <c r="I1289" i="2"/>
  <c r="I1288" i="2"/>
  <c r="J1285" i="2"/>
  <c r="I1293" i="2"/>
  <c r="H1288" i="2"/>
  <c r="H1291" i="2"/>
  <c r="H1290" i="2"/>
  <c r="I1291" i="2"/>
  <c r="I1290" i="2"/>
  <c r="H1287" i="2"/>
  <c r="H1286" i="2"/>
  <c r="I1287" i="2"/>
  <c r="I1286" i="2"/>
  <c r="J1265" i="2"/>
  <c r="J1271" i="2"/>
  <c r="I1270" i="2"/>
  <c r="I1265" i="2"/>
  <c r="H1267" i="2"/>
  <c r="H1269" i="2"/>
  <c r="J1269" i="2"/>
  <c r="I1268" i="2"/>
  <c r="H1271" i="2"/>
  <c r="J1264" i="2"/>
  <c r="H1270" i="2"/>
  <c r="J1272" i="2"/>
  <c r="H1268" i="2"/>
  <c r="H1266" i="2"/>
  <c r="I1267" i="2"/>
  <c r="J1244" i="2"/>
  <c r="I1266" i="2"/>
  <c r="H1264" i="2"/>
  <c r="H1272" i="2"/>
  <c r="H1247" i="2"/>
  <c r="I1249" i="2"/>
  <c r="H1248" i="2"/>
  <c r="J1249" i="2"/>
  <c r="I1248" i="2"/>
  <c r="J1250" i="2"/>
  <c r="H1245" i="2"/>
  <c r="H1244" i="2"/>
  <c r="I1245" i="2"/>
  <c r="N1255" i="2"/>
  <c r="J1243" i="2"/>
  <c r="I1250" i="2"/>
  <c r="J1251" i="2"/>
  <c r="H1246" i="2"/>
  <c r="I1247" i="2"/>
  <c r="I1246" i="2"/>
  <c r="H1243" i="2"/>
  <c r="H1251" i="2"/>
  <c r="I1226" i="2"/>
  <c r="H1224" i="2"/>
  <c r="I1225" i="2"/>
  <c r="J1225" i="2"/>
  <c r="J1226" i="2"/>
  <c r="J1222" i="2"/>
  <c r="H1228" i="2"/>
  <c r="I1224" i="2"/>
  <c r="J1230" i="2"/>
  <c r="J1203" i="2"/>
  <c r="N1234" i="2"/>
  <c r="I1229" i="2"/>
  <c r="H1227" i="2"/>
  <c r="I1228" i="2"/>
  <c r="J1229" i="2"/>
  <c r="I1227" i="2"/>
  <c r="I1208" i="2"/>
  <c r="H1223" i="2"/>
  <c r="H1222" i="2"/>
  <c r="I1223" i="2"/>
  <c r="H1230" i="2"/>
  <c r="J1205" i="2"/>
  <c r="H1207" i="2"/>
  <c r="I1204" i="2"/>
  <c r="H1201" i="2"/>
  <c r="J1201" i="2"/>
  <c r="H1203" i="2"/>
  <c r="J1204" i="2"/>
  <c r="J1209" i="2"/>
  <c r="N1213" i="2"/>
  <c r="H1206" i="2"/>
  <c r="I1207" i="2"/>
  <c r="J1208" i="2"/>
  <c r="H1205" i="2"/>
  <c r="I1206" i="2"/>
  <c r="I1181" i="2"/>
  <c r="H1202" i="2"/>
  <c r="I1202" i="2"/>
  <c r="H1209" i="2"/>
  <c r="I1185" i="2"/>
  <c r="I1182" i="2"/>
  <c r="H1181" i="2"/>
  <c r="H1185" i="2"/>
  <c r="J1187" i="2"/>
  <c r="I1186" i="2"/>
  <c r="H1182" i="2"/>
  <c r="J1186" i="2"/>
  <c r="H1184" i="2"/>
  <c r="N1192" i="2"/>
  <c r="J1184" i="2"/>
  <c r="J1180" i="2"/>
  <c r="I1187" i="2"/>
  <c r="J1188" i="2"/>
  <c r="H1183" i="2"/>
  <c r="I1183" i="2"/>
  <c r="H1180" i="2"/>
  <c r="H1188" i="2"/>
  <c r="J1159" i="2"/>
  <c r="J1162" i="2"/>
  <c r="H1163" i="2"/>
  <c r="H1165" i="2"/>
  <c r="I1161" i="2"/>
  <c r="J1165" i="2"/>
  <c r="I1164" i="2"/>
  <c r="J1164" i="2"/>
  <c r="J1167" i="2"/>
  <c r="I1163" i="2"/>
  <c r="N1171" i="2"/>
  <c r="H1162" i="2"/>
  <c r="I1166" i="2"/>
  <c r="J1166" i="2"/>
  <c r="H1161" i="2"/>
  <c r="H1160" i="2"/>
  <c r="H1159" i="2"/>
  <c r="I1160" i="2"/>
  <c r="H1167" i="2"/>
  <c r="I1140" i="2"/>
  <c r="J1140" i="2"/>
  <c r="J1146" i="2"/>
  <c r="I1142" i="2"/>
  <c r="H1144" i="2"/>
  <c r="I1144" i="2"/>
  <c r="J1117" i="2"/>
  <c r="J1138" i="2"/>
  <c r="H1143" i="2"/>
  <c r="I1143" i="2"/>
  <c r="H1142" i="2"/>
  <c r="I1145" i="2"/>
  <c r="J1145" i="2"/>
  <c r="H1141" i="2"/>
  <c r="I1141" i="2"/>
  <c r="I1120" i="2"/>
  <c r="H1139" i="2"/>
  <c r="H1138" i="2"/>
  <c r="I1139" i="2"/>
  <c r="H1146" i="2"/>
  <c r="I1122" i="2"/>
  <c r="I1117" i="2"/>
  <c r="J1123" i="2"/>
  <c r="H1125" i="2"/>
  <c r="H1121" i="2"/>
  <c r="I1125" i="2"/>
  <c r="I1121" i="2"/>
  <c r="I1124" i="2"/>
  <c r="N1129" i="2"/>
  <c r="H1123" i="2"/>
  <c r="H1122" i="2"/>
  <c r="J1124" i="2"/>
  <c r="H1120" i="2"/>
  <c r="H1119" i="2"/>
  <c r="J1101" i="2"/>
  <c r="H1118" i="2"/>
  <c r="I1119" i="2"/>
  <c r="I1118" i="2"/>
  <c r="H1102" i="2"/>
  <c r="H1099" i="2"/>
  <c r="J1104" i="2"/>
  <c r="H1079" i="2"/>
  <c r="J1096" i="2"/>
  <c r="J1098" i="2"/>
  <c r="I1103" i="2"/>
  <c r="H1096" i="2"/>
  <c r="J1100" i="2"/>
  <c r="H1098" i="2"/>
  <c r="I1099" i="2"/>
  <c r="N1108" i="2"/>
  <c r="I1100" i="2"/>
  <c r="H1101" i="2"/>
  <c r="I1102" i="2"/>
  <c r="J1103" i="2"/>
  <c r="H1097" i="2"/>
  <c r="I1097" i="2"/>
  <c r="H1104" i="2"/>
  <c r="J1077" i="2"/>
  <c r="J1081" i="2"/>
  <c r="J1058" i="2"/>
  <c r="H1080" i="2"/>
  <c r="J1075" i="2"/>
  <c r="I1080" i="2"/>
  <c r="I1077" i="2"/>
  <c r="I1081" i="2"/>
  <c r="I1079" i="2"/>
  <c r="J1083" i="2"/>
  <c r="I1082" i="2"/>
  <c r="N1087" i="2"/>
  <c r="J1082" i="2"/>
  <c r="H1078" i="2"/>
  <c r="I1078" i="2"/>
  <c r="I1061" i="2"/>
  <c r="H1076" i="2"/>
  <c r="H1075" i="2"/>
  <c r="I1076" i="2"/>
  <c r="H1083" i="2"/>
  <c r="H1056" i="2"/>
  <c r="J1056" i="2"/>
  <c r="H1035" i="2"/>
  <c r="H1060" i="2"/>
  <c r="J1054" i="2"/>
  <c r="I1057" i="2"/>
  <c r="J1062" i="2"/>
  <c r="N1066" i="2"/>
  <c r="H1059" i="2"/>
  <c r="I1060" i="2"/>
  <c r="J1061" i="2"/>
  <c r="H1058" i="2"/>
  <c r="I1059" i="2"/>
  <c r="H1057" i="2"/>
  <c r="I1038" i="2"/>
  <c r="J1038" i="2"/>
  <c r="H1055" i="2"/>
  <c r="H1054" i="2"/>
  <c r="I1055" i="2"/>
  <c r="H1062" i="2"/>
  <c r="H1037" i="2"/>
  <c r="J1040" i="2"/>
  <c r="H1036" i="2"/>
  <c r="H1034" i="2"/>
  <c r="I1035" i="2"/>
  <c r="I1039" i="2"/>
  <c r="I1034" i="2"/>
  <c r="J1039" i="2"/>
  <c r="I1037" i="2"/>
  <c r="N1045" i="2"/>
  <c r="J1033" i="2"/>
  <c r="I1040" i="2"/>
  <c r="J1041" i="2"/>
  <c r="I1036" i="2"/>
  <c r="H1033" i="2"/>
  <c r="H1041" i="2"/>
  <c r="J1019" i="2"/>
  <c r="I1013" i="2"/>
  <c r="I1018" i="2"/>
  <c r="J1015" i="2"/>
  <c r="H1014" i="2"/>
  <c r="H1017" i="2"/>
  <c r="I1014" i="2"/>
  <c r="J1017" i="2"/>
  <c r="N1024" i="2"/>
  <c r="H1013" i="2"/>
  <c r="J1012" i="2"/>
  <c r="H1018" i="2"/>
  <c r="I1019" i="2"/>
  <c r="J1020" i="2"/>
  <c r="H1016" i="2"/>
  <c r="H1015" i="2"/>
  <c r="I1016" i="2"/>
  <c r="H1012" i="2"/>
  <c r="H1020" i="2"/>
  <c r="J998" i="2"/>
  <c r="I998" i="2"/>
  <c r="H997" i="2"/>
  <c r="I997" i="2"/>
  <c r="H996" i="2"/>
  <c r="N1003" i="2"/>
  <c r="J995" i="2"/>
  <c r="J991" i="2"/>
  <c r="J999" i="2"/>
  <c r="H995" i="2"/>
  <c r="I996" i="2"/>
  <c r="H973" i="2"/>
  <c r="H994" i="2"/>
  <c r="I973" i="2"/>
  <c r="H993" i="2"/>
  <c r="I994" i="2"/>
  <c r="H975" i="2"/>
  <c r="H992" i="2"/>
  <c r="I993" i="2"/>
  <c r="H991" i="2"/>
  <c r="I992" i="2"/>
  <c r="H999" i="2"/>
  <c r="J977" i="2"/>
  <c r="J974" i="2"/>
  <c r="H972" i="2"/>
  <c r="I972" i="2"/>
  <c r="I976" i="2"/>
  <c r="J975" i="2"/>
  <c r="N982" i="2"/>
  <c r="I974" i="2"/>
  <c r="J970" i="2"/>
  <c r="H976" i="2"/>
  <c r="I977" i="2"/>
  <c r="J978" i="2"/>
  <c r="H950" i="2"/>
  <c r="I950" i="2"/>
  <c r="H971" i="2"/>
  <c r="H970" i="2"/>
  <c r="I971" i="2"/>
  <c r="H978" i="2"/>
  <c r="H952" i="2"/>
  <c r="H951" i="2"/>
  <c r="I951" i="2"/>
  <c r="I953" i="2"/>
  <c r="J956" i="2"/>
  <c r="J952" i="2"/>
  <c r="I955" i="2"/>
  <c r="H954" i="2"/>
  <c r="J954" i="2"/>
  <c r="N961" i="2"/>
  <c r="J949" i="2"/>
  <c r="H955" i="2"/>
  <c r="I956" i="2"/>
  <c r="J957" i="2"/>
  <c r="H953" i="2"/>
  <c r="H949" i="2"/>
  <c r="H957" i="2"/>
  <c r="H934" i="2"/>
  <c r="H933" i="2"/>
  <c r="J935" i="2"/>
  <c r="I934" i="2"/>
  <c r="J931" i="2"/>
  <c r="I930" i="2"/>
  <c r="N940" i="2"/>
  <c r="I935" i="2"/>
  <c r="J928" i="2"/>
  <c r="J936" i="2"/>
  <c r="H932" i="2"/>
  <c r="I933" i="2"/>
  <c r="H931" i="2"/>
  <c r="I932" i="2"/>
  <c r="H930" i="2"/>
  <c r="H929" i="2"/>
  <c r="H928" i="2"/>
  <c r="I929" i="2"/>
  <c r="H936" i="2"/>
  <c r="J910" i="2"/>
  <c r="H910" i="2"/>
  <c r="J908" i="2"/>
  <c r="J914" i="2"/>
  <c r="J911" i="2"/>
  <c r="H909" i="2"/>
  <c r="H908" i="2"/>
  <c r="I909" i="2"/>
  <c r="N919" i="2"/>
  <c r="J907" i="2"/>
  <c r="H913" i="2"/>
  <c r="I914" i="2"/>
  <c r="J915" i="2"/>
  <c r="H912" i="2"/>
  <c r="I913" i="2"/>
  <c r="H911" i="2"/>
  <c r="I912" i="2"/>
  <c r="H907" i="2"/>
  <c r="H915" i="2"/>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4" i="4"/>
  <c r="C4364" i="3" l="1"/>
  <c r="C4362" i="3"/>
  <c r="C4358" i="3" l="1"/>
  <c r="C4359" i="3"/>
  <c r="C4360" i="3"/>
  <c r="M898" i="2"/>
  <c r="L898" i="2"/>
  <c r="K894" i="2"/>
  <c r="J894" i="2" s="1"/>
  <c r="G894" i="2"/>
  <c r="E894" i="2"/>
  <c r="C894" i="2"/>
  <c r="K893" i="2"/>
  <c r="H893" i="2" s="1"/>
  <c r="G893" i="2"/>
  <c r="E893" i="2"/>
  <c r="C893" i="2"/>
  <c r="K892" i="2"/>
  <c r="J892" i="2" s="1"/>
  <c r="G892" i="2"/>
  <c r="E892" i="2"/>
  <c r="C892" i="2"/>
  <c r="K891" i="2"/>
  <c r="I891" i="2" s="1"/>
  <c r="G891" i="2"/>
  <c r="E891" i="2"/>
  <c r="C891" i="2"/>
  <c r="K890" i="2"/>
  <c r="H890" i="2" s="1"/>
  <c r="G890" i="2"/>
  <c r="E890" i="2"/>
  <c r="C890" i="2"/>
  <c r="K889" i="2"/>
  <c r="I889" i="2" s="1"/>
  <c r="G889" i="2"/>
  <c r="E889" i="2"/>
  <c r="C889" i="2"/>
  <c r="K888" i="2"/>
  <c r="J888" i="2" s="1"/>
  <c r="G888" i="2"/>
  <c r="E888" i="2"/>
  <c r="C888" i="2"/>
  <c r="K887" i="2"/>
  <c r="J887" i="2" s="1"/>
  <c r="G887" i="2"/>
  <c r="E887" i="2"/>
  <c r="C887" i="2"/>
  <c r="K886" i="2"/>
  <c r="J886" i="2" s="1"/>
  <c r="G886" i="2"/>
  <c r="E886" i="2"/>
  <c r="C886" i="2"/>
  <c r="K885" i="2"/>
  <c r="H885" i="2" s="1"/>
  <c r="G885" i="2"/>
  <c r="E885" i="2"/>
  <c r="C885" i="2"/>
  <c r="J879" i="2"/>
  <c r="P898" i="2" s="1"/>
  <c r="D878" i="2"/>
  <c r="O898" i="2" s="1"/>
  <c r="M877" i="2"/>
  <c r="L877" i="2"/>
  <c r="K873" i="2"/>
  <c r="I873" i="2" s="1"/>
  <c r="G873" i="2"/>
  <c r="E873" i="2"/>
  <c r="C873" i="2"/>
  <c r="K872" i="2"/>
  <c r="I872" i="2" s="1"/>
  <c r="G872" i="2"/>
  <c r="E872" i="2"/>
  <c r="C872" i="2"/>
  <c r="K871" i="2"/>
  <c r="J871" i="2" s="1"/>
  <c r="G871" i="2"/>
  <c r="E871" i="2"/>
  <c r="C871" i="2"/>
  <c r="K870" i="2"/>
  <c r="J870" i="2" s="1"/>
  <c r="G870" i="2"/>
  <c r="E870" i="2"/>
  <c r="C870" i="2"/>
  <c r="K869" i="2"/>
  <c r="H869" i="2" s="1"/>
  <c r="G869" i="2"/>
  <c r="E869" i="2"/>
  <c r="C869" i="2"/>
  <c r="K868" i="2"/>
  <c r="J868" i="2" s="1"/>
  <c r="G868" i="2"/>
  <c r="E868" i="2"/>
  <c r="C868" i="2"/>
  <c r="K867" i="2"/>
  <c r="I867" i="2" s="1"/>
  <c r="G867" i="2"/>
  <c r="E867" i="2"/>
  <c r="C867" i="2"/>
  <c r="K866" i="2"/>
  <c r="H866" i="2" s="1"/>
  <c r="G866" i="2"/>
  <c r="E866" i="2"/>
  <c r="C866" i="2"/>
  <c r="K865" i="2"/>
  <c r="I865" i="2" s="1"/>
  <c r="G865" i="2"/>
  <c r="E865" i="2"/>
  <c r="C865" i="2"/>
  <c r="K864" i="2"/>
  <c r="J864" i="2" s="1"/>
  <c r="G864" i="2"/>
  <c r="E864" i="2"/>
  <c r="C864" i="2"/>
  <c r="J858" i="2"/>
  <c r="P877" i="2" s="1"/>
  <c r="D857" i="2"/>
  <c r="O877" i="2" s="1"/>
  <c r="M856" i="2"/>
  <c r="L856" i="2"/>
  <c r="K852" i="2"/>
  <c r="J852" i="2" s="1"/>
  <c r="G852" i="2"/>
  <c r="E852" i="2"/>
  <c r="C852" i="2"/>
  <c r="K851" i="2"/>
  <c r="J851" i="2" s="1"/>
  <c r="G851" i="2"/>
  <c r="E851" i="2"/>
  <c r="C851" i="2"/>
  <c r="K850" i="2"/>
  <c r="H850" i="2" s="1"/>
  <c r="G850" i="2"/>
  <c r="E850" i="2"/>
  <c r="C850" i="2"/>
  <c r="K849" i="2"/>
  <c r="I849" i="2" s="1"/>
  <c r="G849" i="2"/>
  <c r="E849" i="2"/>
  <c r="C849" i="2"/>
  <c r="K848" i="2"/>
  <c r="J848" i="2" s="1"/>
  <c r="G848" i="2"/>
  <c r="E848" i="2"/>
  <c r="C848" i="2"/>
  <c r="K847" i="2"/>
  <c r="J847" i="2" s="1"/>
  <c r="G847" i="2"/>
  <c r="E847" i="2"/>
  <c r="C847" i="2"/>
  <c r="K846" i="2"/>
  <c r="J846" i="2" s="1"/>
  <c r="G846" i="2"/>
  <c r="E846" i="2"/>
  <c r="C846" i="2"/>
  <c r="K845" i="2"/>
  <c r="H845" i="2" s="1"/>
  <c r="G845" i="2"/>
  <c r="E845" i="2"/>
  <c r="C845" i="2"/>
  <c r="K844" i="2"/>
  <c r="J844" i="2" s="1"/>
  <c r="G844" i="2"/>
  <c r="E844" i="2"/>
  <c r="C844" i="2"/>
  <c r="K843" i="2"/>
  <c r="J843" i="2" s="1"/>
  <c r="G843" i="2"/>
  <c r="E843" i="2"/>
  <c r="C843" i="2"/>
  <c r="K842" i="2"/>
  <c r="H842" i="2" s="1"/>
  <c r="G842" i="2"/>
  <c r="E842" i="2"/>
  <c r="C842" i="2"/>
  <c r="K841" i="2"/>
  <c r="I841" i="2" s="1"/>
  <c r="G841" i="2"/>
  <c r="E841" i="2"/>
  <c r="C841" i="2"/>
  <c r="J837" i="2"/>
  <c r="P856" i="2" s="1"/>
  <c r="D836" i="2"/>
  <c r="O856" i="2" s="1"/>
  <c r="M835" i="2"/>
  <c r="L835" i="2"/>
  <c r="K831" i="2"/>
  <c r="J831" i="2" s="1"/>
  <c r="G831" i="2"/>
  <c r="E831" i="2"/>
  <c r="C831" i="2"/>
  <c r="K830" i="2"/>
  <c r="I830" i="2" s="1"/>
  <c r="G830" i="2"/>
  <c r="E830" i="2"/>
  <c r="C830" i="2"/>
  <c r="K829" i="2"/>
  <c r="H829" i="2" s="1"/>
  <c r="G829" i="2"/>
  <c r="E829" i="2"/>
  <c r="C829" i="2"/>
  <c r="K828" i="2"/>
  <c r="J828" i="2" s="1"/>
  <c r="G828" i="2"/>
  <c r="E828" i="2"/>
  <c r="C828" i="2"/>
  <c r="K827" i="2"/>
  <c r="J827" i="2" s="1"/>
  <c r="G827" i="2"/>
  <c r="E827" i="2"/>
  <c r="C827" i="2"/>
  <c r="K826" i="2"/>
  <c r="H826" i="2" s="1"/>
  <c r="G826" i="2"/>
  <c r="E826" i="2"/>
  <c r="C826" i="2"/>
  <c r="K825" i="2"/>
  <c r="I825" i="2" s="1"/>
  <c r="G825" i="2"/>
  <c r="E825" i="2"/>
  <c r="C825" i="2"/>
  <c r="K824" i="2"/>
  <c r="H824" i="2" s="1"/>
  <c r="G824" i="2"/>
  <c r="E824" i="2"/>
  <c r="C824" i="2"/>
  <c r="K823" i="2"/>
  <c r="J823" i="2" s="1"/>
  <c r="G823" i="2"/>
  <c r="E823" i="2"/>
  <c r="C823" i="2"/>
  <c r="K822" i="2"/>
  <c r="I822" i="2" s="1"/>
  <c r="G822" i="2"/>
  <c r="E822" i="2"/>
  <c r="C822" i="2"/>
  <c r="J816" i="2"/>
  <c r="P835" i="2" s="1"/>
  <c r="D815" i="2"/>
  <c r="O835" i="2" s="1"/>
  <c r="M814" i="2"/>
  <c r="L814" i="2"/>
  <c r="K810" i="2"/>
  <c r="I810" i="2" s="1"/>
  <c r="G810" i="2"/>
  <c r="E810" i="2"/>
  <c r="C810" i="2"/>
  <c r="K809" i="2"/>
  <c r="H809" i="2" s="1"/>
  <c r="G809" i="2"/>
  <c r="E809" i="2"/>
  <c r="C809" i="2"/>
  <c r="K808" i="2"/>
  <c r="J808" i="2" s="1"/>
  <c r="G808" i="2"/>
  <c r="E808" i="2"/>
  <c r="C808" i="2"/>
  <c r="K807" i="2"/>
  <c r="J807" i="2" s="1"/>
  <c r="G807" i="2"/>
  <c r="E807" i="2"/>
  <c r="C807" i="2"/>
  <c r="K806" i="2"/>
  <c r="I806" i="2" s="1"/>
  <c r="G806" i="2"/>
  <c r="E806" i="2"/>
  <c r="C806" i="2"/>
  <c r="K805" i="2"/>
  <c r="H805" i="2" s="1"/>
  <c r="G805" i="2"/>
  <c r="E805" i="2"/>
  <c r="C805" i="2"/>
  <c r="K804" i="2"/>
  <c r="J804" i="2" s="1"/>
  <c r="G804" i="2"/>
  <c r="E804" i="2"/>
  <c r="C804" i="2"/>
  <c r="K803" i="2"/>
  <c r="J803" i="2" s="1"/>
  <c r="G803" i="2"/>
  <c r="E803" i="2"/>
  <c r="C803" i="2"/>
  <c r="K802" i="2"/>
  <c r="I802" i="2" s="1"/>
  <c r="G802" i="2"/>
  <c r="E802" i="2"/>
  <c r="C802" i="2"/>
  <c r="K801" i="2"/>
  <c r="H801" i="2" s="1"/>
  <c r="G801" i="2"/>
  <c r="E801" i="2"/>
  <c r="C801" i="2"/>
  <c r="K800" i="2"/>
  <c r="J800" i="2" s="1"/>
  <c r="G800" i="2"/>
  <c r="E800" i="2"/>
  <c r="C800" i="2"/>
  <c r="K799" i="2"/>
  <c r="J799" i="2" s="1"/>
  <c r="G799" i="2"/>
  <c r="E799" i="2"/>
  <c r="C799" i="2"/>
  <c r="J795" i="2"/>
  <c r="P814" i="2" s="1"/>
  <c r="D794" i="2"/>
  <c r="O814" i="2" s="1"/>
  <c r="M793" i="2"/>
  <c r="L793" i="2"/>
  <c r="K789" i="2"/>
  <c r="H789" i="2" s="1"/>
  <c r="G789" i="2"/>
  <c r="E789" i="2"/>
  <c r="C789" i="2"/>
  <c r="K788" i="2"/>
  <c r="J788" i="2" s="1"/>
  <c r="G788" i="2"/>
  <c r="E788" i="2"/>
  <c r="C788" i="2"/>
  <c r="K787" i="2"/>
  <c r="J787" i="2" s="1"/>
  <c r="G787" i="2"/>
  <c r="E787" i="2"/>
  <c r="C787" i="2"/>
  <c r="K786" i="2"/>
  <c r="J786" i="2" s="1"/>
  <c r="G786" i="2"/>
  <c r="E786" i="2"/>
  <c r="C786" i="2"/>
  <c r="K785" i="2"/>
  <c r="J785" i="2" s="1"/>
  <c r="G785" i="2"/>
  <c r="E785" i="2"/>
  <c r="C785" i="2"/>
  <c r="K784" i="2"/>
  <c r="I784" i="2" s="1"/>
  <c r="G784" i="2"/>
  <c r="E784" i="2"/>
  <c r="C784" i="2"/>
  <c r="K783" i="2"/>
  <c r="J783" i="2" s="1"/>
  <c r="G783" i="2"/>
  <c r="E783" i="2"/>
  <c r="C783" i="2"/>
  <c r="K782" i="2"/>
  <c r="J782" i="2" s="1"/>
  <c r="G782" i="2"/>
  <c r="E782" i="2"/>
  <c r="C782" i="2"/>
  <c r="K781" i="2"/>
  <c r="H781" i="2" s="1"/>
  <c r="G781" i="2"/>
  <c r="E781" i="2"/>
  <c r="C781" i="2"/>
  <c r="K780" i="2"/>
  <c r="J780" i="2" s="1"/>
  <c r="G780" i="2"/>
  <c r="E780" i="2"/>
  <c r="C780" i="2"/>
  <c r="K779" i="2"/>
  <c r="J779" i="2" s="1"/>
  <c r="G779" i="2"/>
  <c r="E779" i="2"/>
  <c r="C779" i="2"/>
  <c r="K778" i="2"/>
  <c r="I778" i="2" s="1"/>
  <c r="G778" i="2"/>
  <c r="E778" i="2"/>
  <c r="C778" i="2"/>
  <c r="J774" i="2"/>
  <c r="P793" i="2" s="1"/>
  <c r="D773" i="2"/>
  <c r="O793" i="2" s="1"/>
  <c r="M772" i="2"/>
  <c r="L772" i="2"/>
  <c r="K768" i="2"/>
  <c r="I768" i="2" s="1"/>
  <c r="G768" i="2"/>
  <c r="E768" i="2"/>
  <c r="C768" i="2"/>
  <c r="K767" i="2"/>
  <c r="H767" i="2" s="1"/>
  <c r="G767" i="2"/>
  <c r="E767" i="2"/>
  <c r="C767" i="2"/>
  <c r="K766" i="2"/>
  <c r="J766" i="2" s="1"/>
  <c r="G766" i="2"/>
  <c r="E766" i="2"/>
  <c r="C766" i="2"/>
  <c r="K765" i="2"/>
  <c r="J765" i="2" s="1"/>
  <c r="G765" i="2"/>
  <c r="E765" i="2"/>
  <c r="C765" i="2"/>
  <c r="K764" i="2"/>
  <c r="I764" i="2" s="1"/>
  <c r="G764" i="2"/>
  <c r="E764" i="2"/>
  <c r="C764" i="2"/>
  <c r="K763" i="2"/>
  <c r="H763" i="2" s="1"/>
  <c r="G763" i="2"/>
  <c r="E763" i="2"/>
  <c r="C763" i="2"/>
  <c r="K762" i="2"/>
  <c r="J762" i="2" s="1"/>
  <c r="G762" i="2"/>
  <c r="E762" i="2"/>
  <c r="C762" i="2"/>
  <c r="K761" i="2"/>
  <c r="J761" i="2" s="1"/>
  <c r="G761" i="2"/>
  <c r="E761" i="2"/>
  <c r="C761" i="2"/>
  <c r="K760" i="2"/>
  <c r="I760" i="2" s="1"/>
  <c r="G760" i="2"/>
  <c r="E760" i="2"/>
  <c r="C760" i="2"/>
  <c r="K759" i="2"/>
  <c r="H759" i="2" s="1"/>
  <c r="G759" i="2"/>
  <c r="E759" i="2"/>
  <c r="C759" i="2"/>
  <c r="K758" i="2"/>
  <c r="J758" i="2" s="1"/>
  <c r="G758" i="2"/>
  <c r="E758" i="2"/>
  <c r="C758" i="2"/>
  <c r="J753" i="2"/>
  <c r="P772" i="2" s="1"/>
  <c r="D752" i="2"/>
  <c r="O772" i="2" s="1"/>
  <c r="M751" i="2"/>
  <c r="L751" i="2"/>
  <c r="K747" i="2"/>
  <c r="I747" i="2" s="1"/>
  <c r="G747" i="2"/>
  <c r="E747" i="2"/>
  <c r="C747" i="2"/>
  <c r="K746" i="2"/>
  <c r="H746" i="2" s="1"/>
  <c r="G746" i="2"/>
  <c r="E746" i="2"/>
  <c r="C746" i="2"/>
  <c r="K745" i="2"/>
  <c r="H745" i="2" s="1"/>
  <c r="G745" i="2"/>
  <c r="E745" i="2"/>
  <c r="C745" i="2"/>
  <c r="K744" i="2"/>
  <c r="J744" i="2" s="1"/>
  <c r="G744" i="2"/>
  <c r="E744" i="2"/>
  <c r="C744" i="2"/>
  <c r="K743" i="2"/>
  <c r="J743" i="2" s="1"/>
  <c r="G743" i="2"/>
  <c r="E743" i="2"/>
  <c r="C743" i="2"/>
  <c r="K742" i="2"/>
  <c r="H742" i="2" s="1"/>
  <c r="G742" i="2"/>
  <c r="E742" i="2"/>
  <c r="C742" i="2"/>
  <c r="K741" i="2"/>
  <c r="H741" i="2" s="1"/>
  <c r="G741" i="2"/>
  <c r="E741" i="2"/>
  <c r="C741" i="2"/>
  <c r="K740" i="2"/>
  <c r="J740" i="2" s="1"/>
  <c r="G740" i="2"/>
  <c r="E740" i="2"/>
  <c r="C740" i="2"/>
  <c r="K739" i="2"/>
  <c r="I739" i="2" s="1"/>
  <c r="G739" i="2"/>
  <c r="E739" i="2"/>
  <c r="C739" i="2"/>
  <c r="K738" i="2"/>
  <c r="H738" i="2" s="1"/>
  <c r="G738" i="2"/>
  <c r="E738" i="2"/>
  <c r="C738" i="2"/>
  <c r="K737" i="2"/>
  <c r="H737" i="2" s="1"/>
  <c r="G737" i="2"/>
  <c r="E737" i="2"/>
  <c r="C737" i="2"/>
  <c r="J732" i="2"/>
  <c r="P751" i="2" s="1"/>
  <c r="D731" i="2"/>
  <c r="O751" i="2" s="1"/>
  <c r="M730" i="2"/>
  <c r="L730" i="2"/>
  <c r="K726" i="2"/>
  <c r="I726" i="2" s="1"/>
  <c r="G726" i="2"/>
  <c r="E726" i="2"/>
  <c r="C726" i="2"/>
  <c r="K725" i="2"/>
  <c r="H725" i="2" s="1"/>
  <c r="G725" i="2"/>
  <c r="E725" i="2"/>
  <c r="C725" i="2"/>
  <c r="K724" i="2"/>
  <c r="J724" i="2" s="1"/>
  <c r="G724" i="2"/>
  <c r="E724" i="2"/>
  <c r="C724" i="2"/>
  <c r="K723" i="2"/>
  <c r="J723" i="2" s="1"/>
  <c r="G723" i="2"/>
  <c r="E723" i="2"/>
  <c r="C723" i="2"/>
  <c r="K722" i="2"/>
  <c r="J722" i="2" s="1"/>
  <c r="G722" i="2"/>
  <c r="E722" i="2"/>
  <c r="C722" i="2"/>
  <c r="K721" i="2"/>
  <c r="J721" i="2" s="1"/>
  <c r="G721" i="2"/>
  <c r="E721" i="2"/>
  <c r="C721" i="2"/>
  <c r="K720" i="2"/>
  <c r="H720" i="2" s="1"/>
  <c r="G720" i="2"/>
  <c r="E720" i="2"/>
  <c r="C720" i="2"/>
  <c r="K719" i="2"/>
  <c r="J719" i="2" s="1"/>
  <c r="G719" i="2"/>
  <c r="E719" i="2"/>
  <c r="C719" i="2"/>
  <c r="K718" i="2"/>
  <c r="I718" i="2" s="1"/>
  <c r="G718" i="2"/>
  <c r="E718" i="2"/>
  <c r="C718" i="2"/>
  <c r="K717" i="2"/>
  <c r="H717" i="2" s="1"/>
  <c r="G717" i="2"/>
  <c r="E717" i="2"/>
  <c r="C717" i="2"/>
  <c r="K716" i="2"/>
  <c r="J716" i="2" s="1"/>
  <c r="G716" i="2"/>
  <c r="E716" i="2"/>
  <c r="C716" i="2"/>
  <c r="K715" i="2"/>
  <c r="J715" i="2" s="1"/>
  <c r="G715" i="2"/>
  <c r="E715" i="2"/>
  <c r="C715" i="2"/>
  <c r="J711" i="2"/>
  <c r="P730" i="2" s="1"/>
  <c r="D710" i="2"/>
  <c r="O730" i="2" s="1"/>
  <c r="M709" i="2"/>
  <c r="L709" i="2"/>
  <c r="K705" i="2"/>
  <c r="I705" i="2" s="1"/>
  <c r="G705" i="2"/>
  <c r="E705" i="2"/>
  <c r="C705" i="2"/>
  <c r="K704" i="2"/>
  <c r="H704" i="2" s="1"/>
  <c r="G704" i="2"/>
  <c r="E704" i="2"/>
  <c r="C704" i="2"/>
  <c r="K703" i="2"/>
  <c r="H703" i="2" s="1"/>
  <c r="G703" i="2"/>
  <c r="E703" i="2"/>
  <c r="C703" i="2"/>
  <c r="K702" i="2"/>
  <c r="J702" i="2" s="1"/>
  <c r="G702" i="2"/>
  <c r="E702" i="2"/>
  <c r="C702" i="2"/>
  <c r="K701" i="2"/>
  <c r="J701" i="2" s="1"/>
  <c r="G701" i="2"/>
  <c r="E701" i="2"/>
  <c r="C701" i="2"/>
  <c r="K700" i="2"/>
  <c r="I700" i="2" s="1"/>
  <c r="G700" i="2"/>
  <c r="E700" i="2"/>
  <c r="C700" i="2"/>
  <c r="K699" i="2"/>
  <c r="J699" i="2" s="1"/>
  <c r="G699" i="2"/>
  <c r="E699" i="2"/>
  <c r="C699" i="2"/>
  <c r="K698" i="2"/>
  <c r="J698" i="2" s="1"/>
  <c r="G698" i="2"/>
  <c r="E698" i="2"/>
  <c r="C698" i="2"/>
  <c r="K697" i="2"/>
  <c r="I697" i="2" s="1"/>
  <c r="G697" i="2"/>
  <c r="E697" i="2"/>
  <c r="C697" i="2"/>
  <c r="K696" i="2"/>
  <c r="H696" i="2" s="1"/>
  <c r="G696" i="2"/>
  <c r="E696" i="2"/>
  <c r="C696" i="2"/>
  <c r="K695" i="2"/>
  <c r="H695" i="2" s="1"/>
  <c r="G695" i="2"/>
  <c r="E695" i="2"/>
  <c r="C695" i="2"/>
  <c r="K694" i="2"/>
  <c r="J694" i="2" s="1"/>
  <c r="G694" i="2"/>
  <c r="E694" i="2"/>
  <c r="C694" i="2"/>
  <c r="J690" i="2"/>
  <c r="P709" i="2" s="1"/>
  <c r="D689" i="2"/>
  <c r="O709" i="2" s="1"/>
  <c r="M415" i="2"/>
  <c r="L415" i="2"/>
  <c r="K411" i="2"/>
  <c r="I411" i="2" s="1"/>
  <c r="G411" i="2"/>
  <c r="E411" i="2"/>
  <c r="C411" i="2"/>
  <c r="K410" i="2"/>
  <c r="H410" i="2" s="1"/>
  <c r="G410" i="2"/>
  <c r="E410" i="2"/>
  <c r="C410" i="2"/>
  <c r="K409" i="2"/>
  <c r="J409" i="2" s="1"/>
  <c r="G409" i="2"/>
  <c r="E409" i="2"/>
  <c r="C409" i="2"/>
  <c r="K408" i="2"/>
  <c r="J408" i="2" s="1"/>
  <c r="G408" i="2"/>
  <c r="E408" i="2"/>
  <c r="C408" i="2"/>
  <c r="K407" i="2"/>
  <c r="H407" i="2" s="1"/>
  <c r="G407" i="2"/>
  <c r="E407" i="2"/>
  <c r="C407" i="2"/>
  <c r="K406" i="2"/>
  <c r="I406" i="2" s="1"/>
  <c r="G406" i="2"/>
  <c r="E406" i="2"/>
  <c r="C406" i="2"/>
  <c r="K405" i="2"/>
  <c r="J405" i="2" s="1"/>
  <c r="G405" i="2"/>
  <c r="E405" i="2"/>
  <c r="C405" i="2"/>
  <c r="K404" i="2"/>
  <c r="J404" i="2" s="1"/>
  <c r="G404" i="2"/>
  <c r="E404" i="2"/>
  <c r="C404" i="2"/>
  <c r="K403" i="2"/>
  <c r="I403" i="2" s="1"/>
  <c r="G403" i="2"/>
  <c r="E403" i="2"/>
  <c r="C403" i="2"/>
  <c r="K402" i="2"/>
  <c r="H402" i="2" s="1"/>
  <c r="G402" i="2"/>
  <c r="E402" i="2"/>
  <c r="C402" i="2"/>
  <c r="K401" i="2"/>
  <c r="J401" i="2" s="1"/>
  <c r="G401" i="2"/>
  <c r="E401" i="2"/>
  <c r="C401" i="2"/>
  <c r="K400" i="2"/>
  <c r="J400" i="2" s="1"/>
  <c r="G400" i="2"/>
  <c r="E400" i="2"/>
  <c r="C400" i="2"/>
  <c r="J396" i="2"/>
  <c r="P415" i="2" s="1"/>
  <c r="D395" i="2"/>
  <c r="O415" i="2" s="1"/>
  <c r="M688" i="2"/>
  <c r="L688" i="2"/>
  <c r="K684" i="2"/>
  <c r="I684" i="2" s="1"/>
  <c r="G684" i="2"/>
  <c r="E684" i="2"/>
  <c r="C684" i="2"/>
  <c r="K683" i="2"/>
  <c r="H683" i="2" s="1"/>
  <c r="G683" i="2"/>
  <c r="E683" i="2"/>
  <c r="C683" i="2"/>
  <c r="K682" i="2"/>
  <c r="J682" i="2" s="1"/>
  <c r="G682" i="2"/>
  <c r="E682" i="2"/>
  <c r="C682" i="2"/>
  <c r="K681" i="2"/>
  <c r="J681" i="2" s="1"/>
  <c r="G681" i="2"/>
  <c r="E681" i="2"/>
  <c r="C681" i="2"/>
  <c r="K680" i="2"/>
  <c r="I680" i="2" s="1"/>
  <c r="G680" i="2"/>
  <c r="E680" i="2"/>
  <c r="C680" i="2"/>
  <c r="K679" i="2"/>
  <c r="J679" i="2" s="1"/>
  <c r="G679" i="2"/>
  <c r="E679" i="2"/>
  <c r="C679" i="2"/>
  <c r="K678" i="2"/>
  <c r="I678" i="2" s="1"/>
  <c r="G678" i="2"/>
  <c r="E678" i="2"/>
  <c r="C678" i="2"/>
  <c r="K677" i="2"/>
  <c r="I677" i="2" s="1"/>
  <c r="G677" i="2"/>
  <c r="E677" i="2"/>
  <c r="C677" i="2"/>
  <c r="K676" i="2"/>
  <c r="I676" i="2" s="1"/>
  <c r="G676" i="2"/>
  <c r="E676" i="2"/>
  <c r="C676" i="2"/>
  <c r="K675" i="2"/>
  <c r="I675" i="2" s="1"/>
  <c r="G675" i="2"/>
  <c r="E675" i="2"/>
  <c r="C675" i="2"/>
  <c r="K674" i="2"/>
  <c r="J674" i="2" s="1"/>
  <c r="G674" i="2"/>
  <c r="E674" i="2"/>
  <c r="C674" i="2"/>
  <c r="K673" i="2"/>
  <c r="J673" i="2" s="1"/>
  <c r="G673" i="2"/>
  <c r="E673" i="2"/>
  <c r="C673" i="2"/>
  <c r="J669" i="2"/>
  <c r="P688" i="2" s="1"/>
  <c r="D668" i="2"/>
  <c r="O688" i="2" s="1"/>
  <c r="M667" i="2"/>
  <c r="L667" i="2"/>
  <c r="K663" i="2"/>
  <c r="I663" i="2" s="1"/>
  <c r="G663" i="2"/>
  <c r="E663" i="2"/>
  <c r="C663" i="2"/>
  <c r="K662" i="2"/>
  <c r="H662" i="2" s="1"/>
  <c r="G662" i="2"/>
  <c r="E662" i="2"/>
  <c r="C662" i="2"/>
  <c r="K661" i="2"/>
  <c r="J661" i="2" s="1"/>
  <c r="G661" i="2"/>
  <c r="E661" i="2"/>
  <c r="C661" i="2"/>
  <c r="K660" i="2"/>
  <c r="J660" i="2" s="1"/>
  <c r="G660" i="2"/>
  <c r="E660" i="2"/>
  <c r="C660" i="2"/>
  <c r="K659" i="2"/>
  <c r="J659" i="2" s="1"/>
  <c r="G659" i="2"/>
  <c r="E659" i="2"/>
  <c r="C659" i="2"/>
  <c r="K658" i="2"/>
  <c r="J658" i="2" s="1"/>
  <c r="G658" i="2"/>
  <c r="E658" i="2"/>
  <c r="C658" i="2"/>
  <c r="K657" i="2"/>
  <c r="H657" i="2" s="1"/>
  <c r="G657" i="2"/>
  <c r="E657" i="2"/>
  <c r="C657" i="2"/>
  <c r="K656" i="2"/>
  <c r="J656" i="2" s="1"/>
  <c r="G656" i="2"/>
  <c r="E656" i="2"/>
  <c r="C656" i="2"/>
  <c r="K655" i="2"/>
  <c r="I655" i="2" s="1"/>
  <c r="G655" i="2"/>
  <c r="E655" i="2"/>
  <c r="C655" i="2"/>
  <c r="K654" i="2"/>
  <c r="H654" i="2" s="1"/>
  <c r="G654" i="2"/>
  <c r="E654" i="2"/>
  <c r="C654" i="2"/>
  <c r="J648" i="2"/>
  <c r="P667" i="2" s="1"/>
  <c r="D647" i="2"/>
  <c r="O667" i="2" s="1"/>
  <c r="M646" i="2"/>
  <c r="L646" i="2"/>
  <c r="K642" i="2"/>
  <c r="I642" i="2" s="1"/>
  <c r="G642" i="2"/>
  <c r="E642" i="2"/>
  <c r="C642" i="2"/>
  <c r="K641" i="2"/>
  <c r="H641" i="2" s="1"/>
  <c r="G641" i="2"/>
  <c r="E641" i="2"/>
  <c r="C641" i="2"/>
  <c r="K640" i="2"/>
  <c r="H640" i="2" s="1"/>
  <c r="G640" i="2"/>
  <c r="E640" i="2"/>
  <c r="C640" i="2"/>
  <c r="K639" i="2"/>
  <c r="J639" i="2" s="1"/>
  <c r="G639" i="2"/>
  <c r="E639" i="2"/>
  <c r="C639" i="2"/>
  <c r="K638" i="2"/>
  <c r="J638" i="2" s="1"/>
  <c r="G638" i="2"/>
  <c r="E638" i="2"/>
  <c r="C638" i="2"/>
  <c r="K637" i="2"/>
  <c r="H637" i="2" s="1"/>
  <c r="G637" i="2"/>
  <c r="E637" i="2"/>
  <c r="C637" i="2"/>
  <c r="K636" i="2"/>
  <c r="J636" i="2" s="1"/>
  <c r="G636" i="2"/>
  <c r="E636" i="2"/>
  <c r="C636" i="2"/>
  <c r="K635" i="2"/>
  <c r="I635" i="2" s="1"/>
  <c r="G635" i="2"/>
  <c r="E635" i="2"/>
  <c r="C635" i="2"/>
  <c r="K634" i="2"/>
  <c r="I634" i="2" s="1"/>
  <c r="G634" i="2"/>
  <c r="E634" i="2"/>
  <c r="C634" i="2"/>
  <c r="K633" i="2"/>
  <c r="H633" i="2" s="1"/>
  <c r="G633" i="2"/>
  <c r="E633" i="2"/>
  <c r="C633" i="2"/>
  <c r="J627" i="2"/>
  <c r="P646" i="2" s="1"/>
  <c r="D626" i="2"/>
  <c r="O646" i="2" s="1"/>
  <c r="M625" i="2"/>
  <c r="L625" i="2"/>
  <c r="K621" i="2"/>
  <c r="I621" i="2" s="1"/>
  <c r="G621" i="2"/>
  <c r="E621" i="2"/>
  <c r="C621" i="2"/>
  <c r="K620" i="2"/>
  <c r="H620" i="2" s="1"/>
  <c r="G620" i="2"/>
  <c r="E620" i="2"/>
  <c r="C620" i="2"/>
  <c r="K619" i="2"/>
  <c r="H619" i="2" s="1"/>
  <c r="G619" i="2"/>
  <c r="E619" i="2"/>
  <c r="C619" i="2"/>
  <c r="K618" i="2"/>
  <c r="H618" i="2" s="1"/>
  <c r="G618" i="2"/>
  <c r="E618" i="2"/>
  <c r="C618" i="2"/>
  <c r="K617" i="2"/>
  <c r="J617" i="2" s="1"/>
  <c r="G617" i="2"/>
  <c r="E617" i="2"/>
  <c r="C617" i="2"/>
  <c r="K616" i="2"/>
  <c r="I616" i="2" s="1"/>
  <c r="G616" i="2"/>
  <c r="E616" i="2"/>
  <c r="C616" i="2"/>
  <c r="K615" i="2"/>
  <c r="J615" i="2" s="1"/>
  <c r="G615" i="2"/>
  <c r="E615" i="2"/>
  <c r="C615" i="2"/>
  <c r="K614" i="2"/>
  <c r="J614" i="2" s="1"/>
  <c r="G614" i="2"/>
  <c r="E614" i="2"/>
  <c r="C614" i="2"/>
  <c r="K613" i="2"/>
  <c r="I613" i="2" s="1"/>
  <c r="G613" i="2"/>
  <c r="E613" i="2"/>
  <c r="C613" i="2"/>
  <c r="K612" i="2"/>
  <c r="H612" i="2" s="1"/>
  <c r="G612" i="2"/>
  <c r="E612" i="2"/>
  <c r="C612" i="2"/>
  <c r="J606" i="2"/>
  <c r="P625" i="2" s="1"/>
  <c r="D605" i="2"/>
  <c r="O625" i="2" s="1"/>
  <c r="M604" i="2"/>
  <c r="L604" i="2"/>
  <c r="K600" i="2"/>
  <c r="J600" i="2" s="1"/>
  <c r="G600" i="2"/>
  <c r="E600" i="2"/>
  <c r="C600" i="2"/>
  <c r="K599" i="2"/>
  <c r="H599" i="2" s="1"/>
  <c r="G599" i="2"/>
  <c r="E599" i="2"/>
  <c r="C599" i="2"/>
  <c r="K598" i="2"/>
  <c r="I598" i="2" s="1"/>
  <c r="G598" i="2"/>
  <c r="E598" i="2"/>
  <c r="C598" i="2"/>
  <c r="K597" i="2"/>
  <c r="J597" i="2" s="1"/>
  <c r="G597" i="2"/>
  <c r="E597" i="2"/>
  <c r="C597" i="2"/>
  <c r="K596" i="2"/>
  <c r="J596" i="2" s="1"/>
  <c r="G596" i="2"/>
  <c r="E596" i="2"/>
  <c r="C596" i="2"/>
  <c r="K595" i="2"/>
  <c r="J595" i="2" s="1"/>
  <c r="G595" i="2"/>
  <c r="E595" i="2"/>
  <c r="C595" i="2"/>
  <c r="K594" i="2"/>
  <c r="H594" i="2" s="1"/>
  <c r="G594" i="2"/>
  <c r="E594" i="2"/>
  <c r="C594" i="2"/>
  <c r="K593" i="2"/>
  <c r="J593" i="2" s="1"/>
  <c r="G593" i="2"/>
  <c r="E593" i="2"/>
  <c r="C593" i="2"/>
  <c r="K592" i="2"/>
  <c r="J592" i="2" s="1"/>
  <c r="G592" i="2"/>
  <c r="E592" i="2"/>
  <c r="C592" i="2"/>
  <c r="K591" i="2"/>
  <c r="H591" i="2" s="1"/>
  <c r="G591" i="2"/>
  <c r="E591" i="2"/>
  <c r="C591" i="2"/>
  <c r="J585" i="2"/>
  <c r="P604" i="2" s="1"/>
  <c r="D584" i="2"/>
  <c r="O604" i="2" s="1"/>
  <c r="M583" i="2"/>
  <c r="L583" i="2"/>
  <c r="K579" i="2"/>
  <c r="I579" i="2" s="1"/>
  <c r="G579" i="2"/>
  <c r="E579" i="2"/>
  <c r="C579" i="2"/>
  <c r="K578" i="2"/>
  <c r="H578" i="2" s="1"/>
  <c r="G578" i="2"/>
  <c r="E578" i="2"/>
  <c r="C578" i="2"/>
  <c r="K577" i="2"/>
  <c r="H577" i="2" s="1"/>
  <c r="G577" i="2"/>
  <c r="E577" i="2"/>
  <c r="C577" i="2"/>
  <c r="K576" i="2"/>
  <c r="J576" i="2" s="1"/>
  <c r="G576" i="2"/>
  <c r="E576" i="2"/>
  <c r="C576" i="2"/>
  <c r="K575" i="2"/>
  <c r="J575" i="2" s="1"/>
  <c r="G575" i="2"/>
  <c r="E575" i="2"/>
  <c r="C575" i="2"/>
  <c r="K574" i="2"/>
  <c r="J574" i="2" s="1"/>
  <c r="G574" i="2"/>
  <c r="E574" i="2"/>
  <c r="C574" i="2"/>
  <c r="K573" i="2"/>
  <c r="J573" i="2" s="1"/>
  <c r="G573" i="2"/>
  <c r="E573" i="2"/>
  <c r="C573" i="2"/>
  <c r="K572" i="2"/>
  <c r="J572" i="2" s="1"/>
  <c r="G572" i="2"/>
  <c r="E572" i="2"/>
  <c r="C572" i="2"/>
  <c r="K571" i="2"/>
  <c r="I571" i="2" s="1"/>
  <c r="G571" i="2"/>
  <c r="E571" i="2"/>
  <c r="C571" i="2"/>
  <c r="K570" i="2"/>
  <c r="H570" i="2" s="1"/>
  <c r="G570" i="2"/>
  <c r="E570" i="2"/>
  <c r="C570" i="2"/>
  <c r="J564" i="2"/>
  <c r="P583" i="2" s="1"/>
  <c r="D563" i="2"/>
  <c r="O583" i="2" s="1"/>
  <c r="M562" i="2"/>
  <c r="L562" i="2"/>
  <c r="K558" i="2"/>
  <c r="I558" i="2" s="1"/>
  <c r="G558" i="2"/>
  <c r="E558" i="2"/>
  <c r="C558" i="2"/>
  <c r="K557" i="2"/>
  <c r="H557" i="2" s="1"/>
  <c r="G557" i="2"/>
  <c r="E557" i="2"/>
  <c r="C557" i="2"/>
  <c r="K556" i="2"/>
  <c r="H556" i="2" s="1"/>
  <c r="G556" i="2"/>
  <c r="E556" i="2"/>
  <c r="C556" i="2"/>
  <c r="K555" i="2"/>
  <c r="J555" i="2" s="1"/>
  <c r="G555" i="2"/>
  <c r="E555" i="2"/>
  <c r="C555" i="2"/>
  <c r="K554" i="2"/>
  <c r="H554" i="2" s="1"/>
  <c r="G554" i="2"/>
  <c r="E554" i="2"/>
  <c r="C554" i="2"/>
  <c r="K553" i="2"/>
  <c r="J553" i="2" s="1"/>
  <c r="G553" i="2"/>
  <c r="E553" i="2"/>
  <c r="C553" i="2"/>
  <c r="K552" i="2"/>
  <c r="I552" i="2" s="1"/>
  <c r="G552" i="2"/>
  <c r="E552" i="2"/>
  <c r="C552" i="2"/>
  <c r="K551" i="2"/>
  <c r="J551" i="2" s="1"/>
  <c r="G551" i="2"/>
  <c r="E551" i="2"/>
  <c r="C551" i="2"/>
  <c r="K550" i="2"/>
  <c r="I550" i="2" s="1"/>
  <c r="G550" i="2"/>
  <c r="E550" i="2"/>
  <c r="C550" i="2"/>
  <c r="K549" i="2"/>
  <c r="H549" i="2" s="1"/>
  <c r="G549" i="2"/>
  <c r="E549" i="2"/>
  <c r="C549" i="2"/>
  <c r="J543" i="2"/>
  <c r="P562" i="2" s="1"/>
  <c r="D542" i="2"/>
  <c r="O562" i="2" s="1"/>
  <c r="M541" i="2"/>
  <c r="L541" i="2"/>
  <c r="K537" i="2"/>
  <c r="I537" i="2" s="1"/>
  <c r="G537" i="2"/>
  <c r="E537" i="2"/>
  <c r="C537" i="2"/>
  <c r="K536" i="2"/>
  <c r="H536" i="2" s="1"/>
  <c r="G536" i="2"/>
  <c r="E536" i="2"/>
  <c r="C536" i="2"/>
  <c r="K535" i="2"/>
  <c r="J535" i="2" s="1"/>
  <c r="G535" i="2"/>
  <c r="E535" i="2"/>
  <c r="C535" i="2"/>
  <c r="K534" i="2"/>
  <c r="H534" i="2" s="1"/>
  <c r="G534" i="2"/>
  <c r="E534" i="2"/>
  <c r="C534" i="2"/>
  <c r="K533" i="2"/>
  <c r="J533" i="2" s="1"/>
  <c r="G533" i="2"/>
  <c r="E533" i="2"/>
  <c r="C533" i="2"/>
  <c r="K532" i="2"/>
  <c r="J532" i="2" s="1"/>
  <c r="G532" i="2"/>
  <c r="E532" i="2"/>
  <c r="C532" i="2"/>
  <c r="K531" i="2"/>
  <c r="J531" i="2" s="1"/>
  <c r="G531" i="2"/>
  <c r="E531" i="2"/>
  <c r="C531" i="2"/>
  <c r="K530" i="2"/>
  <c r="J530" i="2" s="1"/>
  <c r="G530" i="2"/>
  <c r="E530" i="2"/>
  <c r="C530" i="2"/>
  <c r="K529" i="2"/>
  <c r="I529" i="2" s="1"/>
  <c r="G529" i="2"/>
  <c r="E529" i="2"/>
  <c r="C529" i="2"/>
  <c r="K528" i="2"/>
  <c r="H528" i="2" s="1"/>
  <c r="G528" i="2"/>
  <c r="E528" i="2"/>
  <c r="C528" i="2"/>
  <c r="J522" i="2"/>
  <c r="P541" i="2" s="1"/>
  <c r="D521" i="2"/>
  <c r="O541" i="2" s="1"/>
  <c r="M520" i="2"/>
  <c r="L520" i="2"/>
  <c r="K516" i="2"/>
  <c r="I516" i="2" s="1"/>
  <c r="G516" i="2"/>
  <c r="E516" i="2"/>
  <c r="C516" i="2"/>
  <c r="K515" i="2"/>
  <c r="H515" i="2" s="1"/>
  <c r="G515" i="2"/>
  <c r="E515" i="2"/>
  <c r="C515" i="2"/>
  <c r="K514" i="2"/>
  <c r="J514" i="2" s="1"/>
  <c r="G514" i="2"/>
  <c r="E514" i="2"/>
  <c r="C514" i="2"/>
  <c r="K513" i="2"/>
  <c r="J513" i="2" s="1"/>
  <c r="G513" i="2"/>
  <c r="E513" i="2"/>
  <c r="C513" i="2"/>
  <c r="K512" i="2"/>
  <c r="I512" i="2" s="1"/>
  <c r="G512" i="2"/>
  <c r="E512" i="2"/>
  <c r="C512" i="2"/>
  <c r="K511" i="2"/>
  <c r="J511" i="2" s="1"/>
  <c r="G511" i="2"/>
  <c r="E511" i="2"/>
  <c r="C511" i="2"/>
  <c r="K510" i="2"/>
  <c r="J510" i="2" s="1"/>
  <c r="G510" i="2"/>
  <c r="E510" i="2"/>
  <c r="C510" i="2"/>
  <c r="K509" i="2"/>
  <c r="J509" i="2" s="1"/>
  <c r="G509" i="2"/>
  <c r="E509" i="2"/>
  <c r="C509" i="2"/>
  <c r="K508" i="2"/>
  <c r="I508" i="2" s="1"/>
  <c r="G508" i="2"/>
  <c r="E508" i="2"/>
  <c r="C508" i="2"/>
  <c r="K507" i="2"/>
  <c r="H507" i="2" s="1"/>
  <c r="G507" i="2"/>
  <c r="E507" i="2"/>
  <c r="C507" i="2"/>
  <c r="J501" i="2"/>
  <c r="P520" i="2" s="1"/>
  <c r="D500" i="2"/>
  <c r="O520" i="2" s="1"/>
  <c r="M499" i="2"/>
  <c r="L499" i="2"/>
  <c r="K495" i="2"/>
  <c r="I495" i="2" s="1"/>
  <c r="G495" i="2"/>
  <c r="E495" i="2"/>
  <c r="C495" i="2"/>
  <c r="K494" i="2"/>
  <c r="H494" i="2" s="1"/>
  <c r="G494" i="2"/>
  <c r="E494" i="2"/>
  <c r="C494" i="2"/>
  <c r="K493" i="2"/>
  <c r="J493" i="2" s="1"/>
  <c r="G493" i="2"/>
  <c r="E493" i="2"/>
  <c r="C493" i="2"/>
  <c r="K492" i="2"/>
  <c r="J492" i="2" s="1"/>
  <c r="G492" i="2"/>
  <c r="E492" i="2"/>
  <c r="C492" i="2"/>
  <c r="K491" i="2"/>
  <c r="J491" i="2" s="1"/>
  <c r="G491" i="2"/>
  <c r="E491" i="2"/>
  <c r="C491" i="2"/>
  <c r="K490" i="2"/>
  <c r="I490" i="2" s="1"/>
  <c r="G490" i="2"/>
  <c r="E490" i="2"/>
  <c r="C490" i="2"/>
  <c r="K489" i="2"/>
  <c r="J489" i="2" s="1"/>
  <c r="G489" i="2"/>
  <c r="E489" i="2"/>
  <c r="C489" i="2"/>
  <c r="K488" i="2"/>
  <c r="J488" i="2" s="1"/>
  <c r="G488" i="2"/>
  <c r="E488" i="2"/>
  <c r="C488" i="2"/>
  <c r="K487" i="2"/>
  <c r="I487" i="2" s="1"/>
  <c r="G487" i="2"/>
  <c r="E487" i="2"/>
  <c r="C487" i="2"/>
  <c r="K486" i="2"/>
  <c r="H486" i="2" s="1"/>
  <c r="G486" i="2"/>
  <c r="E486" i="2"/>
  <c r="C486" i="2"/>
  <c r="J480" i="2"/>
  <c r="P499" i="2" s="1"/>
  <c r="D479" i="2"/>
  <c r="O499" i="2" s="1"/>
  <c r="M478" i="2"/>
  <c r="L478" i="2"/>
  <c r="K474" i="2"/>
  <c r="I474" i="2" s="1"/>
  <c r="G474" i="2"/>
  <c r="E474" i="2"/>
  <c r="C474" i="2"/>
  <c r="K473" i="2"/>
  <c r="H473" i="2" s="1"/>
  <c r="G473" i="2"/>
  <c r="E473" i="2"/>
  <c r="C473" i="2"/>
  <c r="K472" i="2"/>
  <c r="J472" i="2" s="1"/>
  <c r="G472" i="2"/>
  <c r="E472" i="2"/>
  <c r="C472" i="2"/>
  <c r="K471" i="2"/>
  <c r="J471" i="2" s="1"/>
  <c r="G471" i="2"/>
  <c r="E471" i="2"/>
  <c r="C471" i="2"/>
  <c r="K470" i="2"/>
  <c r="J470" i="2" s="1"/>
  <c r="G470" i="2"/>
  <c r="E470" i="2"/>
  <c r="C470" i="2"/>
  <c r="K469" i="2"/>
  <c r="J469" i="2" s="1"/>
  <c r="G469" i="2"/>
  <c r="E469" i="2"/>
  <c r="C469" i="2"/>
  <c r="K468" i="2"/>
  <c r="J468" i="2" s="1"/>
  <c r="G468" i="2"/>
  <c r="E468" i="2"/>
  <c r="C468" i="2"/>
  <c r="K467" i="2"/>
  <c r="J467" i="2" s="1"/>
  <c r="G467" i="2"/>
  <c r="E467" i="2"/>
  <c r="C467" i="2"/>
  <c r="K466" i="2"/>
  <c r="I466" i="2" s="1"/>
  <c r="G466" i="2"/>
  <c r="E466" i="2"/>
  <c r="C466" i="2"/>
  <c r="K465" i="2"/>
  <c r="H465" i="2" s="1"/>
  <c r="G465" i="2"/>
  <c r="E465" i="2"/>
  <c r="C465" i="2"/>
  <c r="J459" i="2"/>
  <c r="P478" i="2" s="1"/>
  <c r="D458" i="2"/>
  <c r="O478" i="2" s="1"/>
  <c r="M457" i="2"/>
  <c r="L457" i="2"/>
  <c r="K453" i="2"/>
  <c r="I453" i="2" s="1"/>
  <c r="G453" i="2"/>
  <c r="E453" i="2"/>
  <c r="C453" i="2"/>
  <c r="K452" i="2"/>
  <c r="H452" i="2" s="1"/>
  <c r="G452" i="2"/>
  <c r="E452" i="2"/>
  <c r="C452" i="2"/>
  <c r="K451" i="2"/>
  <c r="I451" i="2" s="1"/>
  <c r="G451" i="2"/>
  <c r="E451" i="2"/>
  <c r="C451" i="2"/>
  <c r="K450" i="2"/>
  <c r="J450" i="2" s="1"/>
  <c r="G450" i="2"/>
  <c r="E450" i="2"/>
  <c r="C450" i="2"/>
  <c r="K449" i="2"/>
  <c r="J449" i="2" s="1"/>
  <c r="G449" i="2"/>
  <c r="E449" i="2"/>
  <c r="C449" i="2"/>
  <c r="K448" i="2"/>
  <c r="J448" i="2" s="1"/>
  <c r="G448" i="2"/>
  <c r="E448" i="2"/>
  <c r="C448" i="2"/>
  <c r="K447" i="2"/>
  <c r="H447" i="2" s="1"/>
  <c r="G447" i="2"/>
  <c r="E447" i="2"/>
  <c r="C447" i="2"/>
  <c r="K446" i="2"/>
  <c r="J446" i="2" s="1"/>
  <c r="G446" i="2"/>
  <c r="E446" i="2"/>
  <c r="C446" i="2"/>
  <c r="K445" i="2"/>
  <c r="I445" i="2" s="1"/>
  <c r="G445" i="2"/>
  <c r="E445" i="2"/>
  <c r="C445" i="2"/>
  <c r="K444" i="2"/>
  <c r="H444" i="2" s="1"/>
  <c r="G444" i="2"/>
  <c r="E444" i="2"/>
  <c r="C444" i="2"/>
  <c r="J438" i="2"/>
  <c r="P457" i="2" s="1"/>
  <c r="D437" i="2"/>
  <c r="O457" i="2" s="1"/>
  <c r="M436" i="2"/>
  <c r="L436" i="2"/>
  <c r="K432" i="2"/>
  <c r="I432" i="2" s="1"/>
  <c r="G432" i="2"/>
  <c r="E432" i="2"/>
  <c r="C432" i="2"/>
  <c r="K431" i="2"/>
  <c r="H431" i="2" s="1"/>
  <c r="G431" i="2"/>
  <c r="E431" i="2"/>
  <c r="C431" i="2"/>
  <c r="K430" i="2"/>
  <c r="H430" i="2" s="1"/>
  <c r="G430" i="2"/>
  <c r="E430" i="2"/>
  <c r="C430" i="2"/>
  <c r="K429" i="2"/>
  <c r="J429" i="2" s="1"/>
  <c r="G429" i="2"/>
  <c r="E429" i="2"/>
  <c r="C429" i="2"/>
  <c r="K428" i="2"/>
  <c r="J428" i="2" s="1"/>
  <c r="G428" i="2"/>
  <c r="E428" i="2"/>
  <c r="C428" i="2"/>
  <c r="K427" i="2"/>
  <c r="J427" i="2" s="1"/>
  <c r="G427" i="2"/>
  <c r="E427" i="2"/>
  <c r="C427" i="2"/>
  <c r="K426" i="2"/>
  <c r="I426" i="2" s="1"/>
  <c r="G426" i="2"/>
  <c r="E426" i="2"/>
  <c r="C426" i="2"/>
  <c r="K425" i="2"/>
  <c r="J425" i="2" s="1"/>
  <c r="G425" i="2"/>
  <c r="E425" i="2"/>
  <c r="C425" i="2"/>
  <c r="K424" i="2"/>
  <c r="I424" i="2" s="1"/>
  <c r="G424" i="2"/>
  <c r="E424" i="2"/>
  <c r="C424" i="2"/>
  <c r="K423" i="2"/>
  <c r="H423" i="2" s="1"/>
  <c r="G423" i="2"/>
  <c r="E423" i="2"/>
  <c r="C423" i="2"/>
  <c r="K422" i="2"/>
  <c r="J422" i="2" s="1"/>
  <c r="G422" i="2"/>
  <c r="E422" i="2"/>
  <c r="C422" i="2"/>
  <c r="K421" i="2"/>
  <c r="J421" i="2" s="1"/>
  <c r="G421" i="2"/>
  <c r="E421" i="2"/>
  <c r="C421" i="2"/>
  <c r="J417" i="2"/>
  <c r="P436" i="2" s="1"/>
  <c r="D416" i="2"/>
  <c r="O436" i="2" s="1"/>
  <c r="M394" i="2"/>
  <c r="L394" i="2"/>
  <c r="K390" i="2"/>
  <c r="I390" i="2" s="1"/>
  <c r="G390" i="2"/>
  <c r="E390" i="2"/>
  <c r="C390" i="2"/>
  <c r="K389" i="2"/>
  <c r="H389" i="2" s="1"/>
  <c r="G389" i="2"/>
  <c r="E389" i="2"/>
  <c r="C389" i="2"/>
  <c r="K388" i="2"/>
  <c r="J388" i="2" s="1"/>
  <c r="G388" i="2"/>
  <c r="E388" i="2"/>
  <c r="C388" i="2"/>
  <c r="K387" i="2"/>
  <c r="J387" i="2" s="1"/>
  <c r="G387" i="2"/>
  <c r="E387" i="2"/>
  <c r="C387" i="2"/>
  <c r="K386" i="2"/>
  <c r="J386" i="2" s="1"/>
  <c r="G386" i="2"/>
  <c r="E386" i="2"/>
  <c r="C386" i="2"/>
  <c r="K385" i="2"/>
  <c r="I385" i="2" s="1"/>
  <c r="G385" i="2"/>
  <c r="E385" i="2"/>
  <c r="C385" i="2"/>
  <c r="K384" i="2"/>
  <c r="J384" i="2" s="1"/>
  <c r="G384" i="2"/>
  <c r="E384" i="2"/>
  <c r="C384" i="2"/>
  <c r="K383" i="2"/>
  <c r="J383" i="2" s="1"/>
  <c r="G383" i="2"/>
  <c r="E383" i="2"/>
  <c r="C383" i="2"/>
  <c r="K382" i="2"/>
  <c r="I382" i="2" s="1"/>
  <c r="G382" i="2"/>
  <c r="E382" i="2"/>
  <c r="C382" i="2"/>
  <c r="K381" i="2"/>
  <c r="H381" i="2" s="1"/>
  <c r="G381" i="2"/>
  <c r="E381" i="2"/>
  <c r="C381" i="2"/>
  <c r="K380" i="2"/>
  <c r="J380" i="2" s="1"/>
  <c r="G380" i="2"/>
  <c r="E380" i="2"/>
  <c r="C380" i="2"/>
  <c r="K379" i="2"/>
  <c r="I379" i="2" s="1"/>
  <c r="G379" i="2"/>
  <c r="E379" i="2"/>
  <c r="C379" i="2"/>
  <c r="J375" i="2"/>
  <c r="P394" i="2" s="1"/>
  <c r="D374" i="2"/>
  <c r="O394" i="2" s="1"/>
  <c r="C4368" i="3"/>
  <c r="C4369" i="3"/>
  <c r="C4370" i="3"/>
  <c r="C4371" i="3"/>
  <c r="C4372" i="3"/>
  <c r="C4373" i="3"/>
  <c r="C4374" i="3"/>
  <c r="C4375" i="3"/>
  <c r="C4376" i="3"/>
  <c r="C4377" i="3"/>
  <c r="C4378" i="3"/>
  <c r="C4379" i="3"/>
  <c r="C4380" i="3"/>
  <c r="C4381" i="3"/>
  <c r="C4382" i="3"/>
  <c r="C4383" i="3"/>
  <c r="C4384" i="3"/>
  <c r="C4385" i="3"/>
  <c r="C4386" i="3"/>
  <c r="C4387" i="3"/>
  <c r="C4388" i="3"/>
  <c r="C4389" i="3"/>
  <c r="C4390" i="3"/>
  <c r="C4391" i="3"/>
  <c r="C4392" i="3"/>
  <c r="C4393" i="3"/>
  <c r="C4394" i="3"/>
  <c r="C4395" i="3"/>
  <c r="C4396" i="3"/>
  <c r="C4397" i="3"/>
  <c r="C4398" i="3"/>
  <c r="C4399" i="3"/>
  <c r="C4400" i="3"/>
  <c r="C4401" i="3"/>
  <c r="C4402" i="3"/>
  <c r="C4403" i="3"/>
  <c r="C4404" i="3"/>
  <c r="C4405" i="3"/>
  <c r="M373" i="2"/>
  <c r="L373" i="2"/>
  <c r="K369" i="2"/>
  <c r="I369" i="2" s="1"/>
  <c r="G369" i="2"/>
  <c r="E369" i="2"/>
  <c r="C369" i="2"/>
  <c r="K368" i="2"/>
  <c r="H368" i="2" s="1"/>
  <c r="G368" i="2"/>
  <c r="E368" i="2"/>
  <c r="C368" i="2"/>
  <c r="K367" i="2"/>
  <c r="J367" i="2" s="1"/>
  <c r="G367" i="2"/>
  <c r="E367" i="2"/>
  <c r="C367" i="2"/>
  <c r="K366" i="2"/>
  <c r="J366" i="2" s="1"/>
  <c r="G366" i="2"/>
  <c r="E366" i="2"/>
  <c r="C366" i="2"/>
  <c r="K365" i="2"/>
  <c r="J365" i="2" s="1"/>
  <c r="G365" i="2"/>
  <c r="E365" i="2"/>
  <c r="C365" i="2"/>
  <c r="K364" i="2"/>
  <c r="H364" i="2" s="1"/>
  <c r="G364" i="2"/>
  <c r="E364" i="2"/>
  <c r="C364" i="2"/>
  <c r="K363" i="2"/>
  <c r="J363" i="2" s="1"/>
  <c r="G363" i="2"/>
  <c r="E363" i="2"/>
  <c r="C363" i="2"/>
  <c r="K362" i="2"/>
  <c r="J362" i="2" s="1"/>
  <c r="G362" i="2"/>
  <c r="E362" i="2"/>
  <c r="C362" i="2"/>
  <c r="K361" i="2"/>
  <c r="I361" i="2" s="1"/>
  <c r="G361" i="2"/>
  <c r="E361" i="2"/>
  <c r="C361" i="2"/>
  <c r="K360" i="2"/>
  <c r="H360" i="2" s="1"/>
  <c r="G360" i="2"/>
  <c r="E360" i="2"/>
  <c r="C360" i="2"/>
  <c r="K359" i="2"/>
  <c r="H359" i="2" s="1"/>
  <c r="G359" i="2"/>
  <c r="E359" i="2"/>
  <c r="C359" i="2"/>
  <c r="K358" i="2"/>
  <c r="J358" i="2" s="1"/>
  <c r="G358" i="2"/>
  <c r="E358" i="2"/>
  <c r="C358" i="2"/>
  <c r="J354" i="2"/>
  <c r="P373" i="2" s="1"/>
  <c r="D353" i="2"/>
  <c r="O373" i="2" s="1"/>
  <c r="C168" i="4"/>
  <c r="C169" i="4"/>
  <c r="C170" i="4"/>
  <c r="C171" i="4"/>
  <c r="C23" i="12"/>
  <c r="B23" i="12"/>
  <c r="C22" i="12"/>
  <c r="B22" i="12"/>
  <c r="C21" i="12"/>
  <c r="B21" i="12"/>
  <c r="C20" i="12"/>
  <c r="B20" i="12"/>
  <c r="N856" i="2" l="1"/>
  <c r="N667" i="2"/>
  <c r="N415" i="2"/>
  <c r="N877" i="2"/>
  <c r="N520" i="2"/>
  <c r="N835" i="2"/>
  <c r="J873" i="2"/>
  <c r="N814" i="2"/>
  <c r="J872" i="2"/>
  <c r="N898" i="2"/>
  <c r="H872" i="2"/>
  <c r="I851" i="2"/>
  <c r="I864" i="2"/>
  <c r="I800" i="2"/>
  <c r="I828" i="2"/>
  <c r="J849" i="2"/>
  <c r="J889" i="2"/>
  <c r="J824" i="2"/>
  <c r="J865" i="2"/>
  <c r="I885" i="2"/>
  <c r="H828" i="2"/>
  <c r="I869" i="2"/>
  <c r="J885" i="2"/>
  <c r="I801" i="2"/>
  <c r="H823" i="2"/>
  <c r="H831" i="2"/>
  <c r="H864" i="2"/>
  <c r="J869" i="2"/>
  <c r="I848" i="2"/>
  <c r="H889" i="2"/>
  <c r="H827" i="2"/>
  <c r="I827" i="2"/>
  <c r="I845" i="2"/>
  <c r="H852" i="2"/>
  <c r="J741" i="2"/>
  <c r="H804" i="2"/>
  <c r="I824" i="2"/>
  <c r="J830" i="2"/>
  <c r="H848" i="2"/>
  <c r="H851" i="2"/>
  <c r="I852" i="2"/>
  <c r="H887" i="2"/>
  <c r="I893" i="2"/>
  <c r="I808" i="2"/>
  <c r="I829" i="2"/>
  <c r="J845" i="2"/>
  <c r="J893" i="2"/>
  <c r="J829" i="2"/>
  <c r="J841" i="2"/>
  <c r="H844" i="2"/>
  <c r="H847" i="2"/>
  <c r="H868" i="2"/>
  <c r="H871" i="2"/>
  <c r="H892" i="2"/>
  <c r="J822" i="2"/>
  <c r="J825" i="2"/>
  <c r="H843" i="2"/>
  <c r="I844" i="2"/>
  <c r="I868" i="2"/>
  <c r="I892" i="2"/>
  <c r="I843" i="2"/>
  <c r="H888" i="2"/>
  <c r="H867" i="2"/>
  <c r="I888" i="2"/>
  <c r="H891" i="2"/>
  <c r="H825" i="2"/>
  <c r="I826" i="2"/>
  <c r="H841" i="2"/>
  <c r="I842" i="2"/>
  <c r="H849" i="2"/>
  <c r="I850" i="2"/>
  <c r="H865" i="2"/>
  <c r="I866" i="2"/>
  <c r="J867" i="2"/>
  <c r="H873" i="2"/>
  <c r="I890" i="2"/>
  <c r="J891" i="2"/>
  <c r="I741" i="2"/>
  <c r="J826" i="2"/>
  <c r="J842" i="2"/>
  <c r="J850" i="2"/>
  <c r="J866" i="2"/>
  <c r="J890" i="2"/>
  <c r="I804" i="2"/>
  <c r="H822" i="2"/>
  <c r="I823" i="2"/>
  <c r="H830" i="2"/>
  <c r="I831" i="2"/>
  <c r="H846" i="2"/>
  <c r="I847" i="2"/>
  <c r="H870" i="2"/>
  <c r="I871" i="2"/>
  <c r="H886" i="2"/>
  <c r="I887" i="2"/>
  <c r="H894" i="2"/>
  <c r="I846" i="2"/>
  <c r="I870" i="2"/>
  <c r="I886" i="2"/>
  <c r="I894" i="2"/>
  <c r="J801" i="2"/>
  <c r="H808" i="2"/>
  <c r="I805" i="2"/>
  <c r="H779" i="2"/>
  <c r="J805" i="2"/>
  <c r="H800" i="2"/>
  <c r="H803" i="2"/>
  <c r="H807" i="2"/>
  <c r="H799" i="2"/>
  <c r="J806" i="2"/>
  <c r="I809" i="2"/>
  <c r="J809" i="2"/>
  <c r="J802" i="2"/>
  <c r="J810" i="2"/>
  <c r="I799" i="2"/>
  <c r="H806" i="2"/>
  <c r="I807" i="2"/>
  <c r="H780" i="2"/>
  <c r="J784" i="2"/>
  <c r="H786" i="2"/>
  <c r="H802" i="2"/>
  <c r="I803" i="2"/>
  <c r="H810" i="2"/>
  <c r="J781" i="2"/>
  <c r="H788" i="2"/>
  <c r="I786" i="2"/>
  <c r="J778" i="2"/>
  <c r="I781" i="2"/>
  <c r="H787" i="2"/>
  <c r="I780" i="2"/>
  <c r="I789" i="2"/>
  <c r="I785" i="2"/>
  <c r="J789" i="2"/>
  <c r="H778" i="2"/>
  <c r="H784" i="2"/>
  <c r="I788" i="2"/>
  <c r="N793" i="2"/>
  <c r="I779" i="2"/>
  <c r="I787" i="2"/>
  <c r="H785" i="2"/>
  <c r="H783" i="2"/>
  <c r="H782" i="2"/>
  <c r="I783" i="2"/>
  <c r="I782" i="2"/>
  <c r="I767" i="2"/>
  <c r="I762" i="2"/>
  <c r="J764" i="2"/>
  <c r="I759" i="2"/>
  <c r="H758" i="2"/>
  <c r="H766" i="2"/>
  <c r="I763" i="2"/>
  <c r="J760" i="2"/>
  <c r="J763" i="2"/>
  <c r="J768" i="2"/>
  <c r="H762" i="2"/>
  <c r="N772" i="2"/>
  <c r="I758" i="2"/>
  <c r="J759" i="2"/>
  <c r="H765" i="2"/>
  <c r="I766" i="2"/>
  <c r="J767" i="2"/>
  <c r="H764" i="2"/>
  <c r="I765" i="2"/>
  <c r="H744" i="2"/>
  <c r="I744" i="2"/>
  <c r="J746" i="2"/>
  <c r="H761" i="2"/>
  <c r="H760" i="2"/>
  <c r="I761" i="2"/>
  <c r="H768" i="2"/>
  <c r="I745" i="2"/>
  <c r="J742" i="2"/>
  <c r="J745" i="2"/>
  <c r="I742" i="2"/>
  <c r="J738" i="2"/>
  <c r="H740" i="2"/>
  <c r="I737" i="2"/>
  <c r="I740" i="2"/>
  <c r="N751" i="2"/>
  <c r="J737" i="2"/>
  <c r="I738" i="2"/>
  <c r="J739" i="2"/>
  <c r="I746" i="2"/>
  <c r="J747" i="2"/>
  <c r="H743" i="2"/>
  <c r="I743" i="2"/>
  <c r="H719" i="2"/>
  <c r="H739" i="2"/>
  <c r="H747" i="2"/>
  <c r="I716" i="2"/>
  <c r="H715" i="2"/>
  <c r="J720" i="2"/>
  <c r="I724" i="2"/>
  <c r="I719" i="2"/>
  <c r="J717" i="2"/>
  <c r="I720" i="2"/>
  <c r="J725" i="2"/>
  <c r="H723" i="2"/>
  <c r="N730" i="2"/>
  <c r="H716" i="2"/>
  <c r="I717" i="2"/>
  <c r="J718" i="2"/>
  <c r="H724" i="2"/>
  <c r="I725" i="2"/>
  <c r="J726" i="2"/>
  <c r="I715" i="2"/>
  <c r="H722" i="2"/>
  <c r="I723" i="2"/>
  <c r="H721" i="2"/>
  <c r="I722" i="2"/>
  <c r="I721" i="2"/>
  <c r="H694" i="2"/>
  <c r="H718" i="2"/>
  <c r="H726" i="2"/>
  <c r="I702" i="2"/>
  <c r="I694" i="2"/>
  <c r="H698" i="2"/>
  <c r="H702" i="2"/>
  <c r="J696" i="2"/>
  <c r="J704" i="2"/>
  <c r="H400" i="2"/>
  <c r="I695" i="2"/>
  <c r="I703" i="2"/>
  <c r="J695" i="2"/>
  <c r="J700" i="2"/>
  <c r="J703" i="2"/>
  <c r="I699" i="2"/>
  <c r="N709" i="2"/>
  <c r="I409" i="2"/>
  <c r="I696" i="2"/>
  <c r="J697" i="2"/>
  <c r="I704" i="2"/>
  <c r="J705" i="2"/>
  <c r="H701" i="2"/>
  <c r="H700" i="2"/>
  <c r="I701" i="2"/>
  <c r="H699" i="2"/>
  <c r="H697" i="2"/>
  <c r="I698" i="2"/>
  <c r="H705" i="2"/>
  <c r="H409" i="2"/>
  <c r="I405" i="2"/>
  <c r="H401" i="2"/>
  <c r="I401" i="2"/>
  <c r="J410" i="2"/>
  <c r="H405" i="2"/>
  <c r="J406" i="2"/>
  <c r="I402" i="2"/>
  <c r="J402" i="2"/>
  <c r="H408" i="2"/>
  <c r="I407" i="2"/>
  <c r="H406" i="2"/>
  <c r="J407" i="2"/>
  <c r="I410" i="2"/>
  <c r="J403" i="2"/>
  <c r="J411" i="2"/>
  <c r="J677" i="2"/>
  <c r="I400" i="2"/>
  <c r="I408" i="2"/>
  <c r="H404" i="2"/>
  <c r="H403" i="2"/>
  <c r="I404" i="2"/>
  <c r="H411" i="2"/>
  <c r="H677" i="2"/>
  <c r="J678" i="2"/>
  <c r="H658" i="2"/>
  <c r="J680" i="2"/>
  <c r="I679" i="2"/>
  <c r="I674" i="2"/>
  <c r="J683" i="2"/>
  <c r="H673" i="2"/>
  <c r="I682" i="2"/>
  <c r="H675" i="2"/>
  <c r="H659" i="2"/>
  <c r="J675" i="2"/>
  <c r="H678" i="2"/>
  <c r="H681" i="2"/>
  <c r="N688" i="2"/>
  <c r="H674" i="2"/>
  <c r="J676" i="2"/>
  <c r="H682" i="2"/>
  <c r="I683" i="2"/>
  <c r="J684" i="2"/>
  <c r="I673" i="2"/>
  <c r="H680" i="2"/>
  <c r="I681" i="2"/>
  <c r="H660" i="2"/>
  <c r="H679" i="2"/>
  <c r="I657" i="2"/>
  <c r="I660" i="2"/>
  <c r="H676" i="2"/>
  <c r="H684" i="2"/>
  <c r="J662" i="2"/>
  <c r="H661" i="2"/>
  <c r="J657" i="2"/>
  <c r="I654" i="2"/>
  <c r="J654" i="2"/>
  <c r="I662" i="2"/>
  <c r="H663" i="2"/>
  <c r="I659" i="2"/>
  <c r="J663" i="2"/>
  <c r="H655" i="2"/>
  <c r="J655" i="2"/>
  <c r="I661" i="2"/>
  <c r="I637" i="2"/>
  <c r="I658" i="2"/>
  <c r="J637" i="2"/>
  <c r="H656" i="2"/>
  <c r="I656" i="2"/>
  <c r="J641" i="2"/>
  <c r="J635" i="2"/>
  <c r="I640" i="2"/>
  <c r="J633" i="2"/>
  <c r="H636" i="2"/>
  <c r="J640" i="2"/>
  <c r="H635" i="2"/>
  <c r="I636" i="2"/>
  <c r="H639" i="2"/>
  <c r="N646" i="2"/>
  <c r="I633" i="2"/>
  <c r="J634" i="2"/>
  <c r="I641" i="2"/>
  <c r="J642" i="2"/>
  <c r="H638" i="2"/>
  <c r="I639" i="2"/>
  <c r="I638" i="2"/>
  <c r="J616" i="2"/>
  <c r="H634" i="2"/>
  <c r="H642" i="2"/>
  <c r="J618" i="2"/>
  <c r="J612" i="2"/>
  <c r="H617" i="2"/>
  <c r="H616" i="2"/>
  <c r="H615" i="2"/>
  <c r="I618" i="2"/>
  <c r="J620" i="2"/>
  <c r="I615" i="2"/>
  <c r="I619" i="2"/>
  <c r="H614" i="2"/>
  <c r="J619" i="2"/>
  <c r="I614" i="2"/>
  <c r="N625" i="2"/>
  <c r="I612" i="2"/>
  <c r="J613" i="2"/>
  <c r="I620" i="2"/>
  <c r="J621" i="2"/>
  <c r="I617" i="2"/>
  <c r="I599" i="2"/>
  <c r="H613" i="2"/>
  <c r="H621" i="2"/>
  <c r="I592" i="2"/>
  <c r="I591" i="2"/>
  <c r="H592" i="2"/>
  <c r="J598" i="2"/>
  <c r="I597" i="2"/>
  <c r="H600" i="2"/>
  <c r="I600" i="2"/>
  <c r="I594" i="2"/>
  <c r="J594" i="2"/>
  <c r="N604" i="2"/>
  <c r="I593" i="2"/>
  <c r="H598" i="2"/>
  <c r="J591" i="2"/>
  <c r="H597" i="2"/>
  <c r="J599" i="2"/>
  <c r="H596" i="2"/>
  <c r="H595" i="2"/>
  <c r="I596" i="2"/>
  <c r="I595" i="2"/>
  <c r="J570" i="2"/>
  <c r="H593" i="2"/>
  <c r="I574" i="2"/>
  <c r="I573" i="2"/>
  <c r="H572" i="2"/>
  <c r="I577" i="2"/>
  <c r="J577" i="2"/>
  <c r="I576" i="2"/>
  <c r="H574" i="2"/>
  <c r="J578" i="2"/>
  <c r="J556" i="2"/>
  <c r="H576" i="2"/>
  <c r="N583" i="2"/>
  <c r="H551" i="2"/>
  <c r="H575" i="2"/>
  <c r="J554" i="2"/>
  <c r="I570" i="2"/>
  <c r="J571" i="2"/>
  <c r="I578" i="2"/>
  <c r="J579" i="2"/>
  <c r="I575" i="2"/>
  <c r="H573" i="2"/>
  <c r="H571" i="2"/>
  <c r="I572" i="2"/>
  <c r="H579" i="2"/>
  <c r="I554" i="2"/>
  <c r="H555" i="2"/>
  <c r="I555" i="2"/>
  <c r="I507" i="2"/>
  <c r="J549" i="2"/>
  <c r="J552" i="2"/>
  <c r="J557" i="2"/>
  <c r="I556" i="2"/>
  <c r="H553" i="2"/>
  <c r="H529" i="2"/>
  <c r="H552" i="2"/>
  <c r="I553" i="2"/>
  <c r="N562" i="2"/>
  <c r="H535" i="2"/>
  <c r="H531" i="2"/>
  <c r="I549" i="2"/>
  <c r="J550" i="2"/>
  <c r="I557" i="2"/>
  <c r="J558" i="2"/>
  <c r="H510" i="2"/>
  <c r="I510" i="2"/>
  <c r="H550" i="2"/>
  <c r="I551" i="2"/>
  <c r="H558" i="2"/>
  <c r="J529" i="2"/>
  <c r="J508" i="2"/>
  <c r="I528" i="2"/>
  <c r="H532" i="2"/>
  <c r="J534" i="2"/>
  <c r="I531" i="2"/>
  <c r="I534" i="2"/>
  <c r="J537" i="2"/>
  <c r="H533" i="2"/>
  <c r="N541" i="2"/>
  <c r="I533" i="2"/>
  <c r="I536" i="2"/>
  <c r="J528" i="2"/>
  <c r="I535" i="2"/>
  <c r="J536" i="2"/>
  <c r="I532" i="2"/>
  <c r="I511" i="2"/>
  <c r="H530" i="2"/>
  <c r="I530" i="2"/>
  <c r="H537" i="2"/>
  <c r="H508" i="2"/>
  <c r="H514" i="2"/>
  <c r="H516" i="2"/>
  <c r="J516" i="2"/>
  <c r="I515" i="2"/>
  <c r="J512" i="2"/>
  <c r="J507" i="2"/>
  <c r="H513" i="2"/>
  <c r="I514" i="2"/>
  <c r="J515" i="2"/>
  <c r="H512" i="2"/>
  <c r="I513" i="2"/>
  <c r="H511" i="2"/>
  <c r="H509" i="2"/>
  <c r="I509" i="2"/>
  <c r="H493" i="2"/>
  <c r="H492" i="2"/>
  <c r="I492" i="2"/>
  <c r="J490" i="2"/>
  <c r="I493" i="2"/>
  <c r="J487" i="2"/>
  <c r="J495" i="2"/>
  <c r="N499" i="2"/>
  <c r="J445" i="2"/>
  <c r="I486" i="2"/>
  <c r="I494" i="2"/>
  <c r="J486" i="2"/>
  <c r="J494" i="2"/>
  <c r="H491" i="2"/>
  <c r="H490" i="2"/>
  <c r="I491" i="2"/>
  <c r="H489" i="2"/>
  <c r="J473" i="2"/>
  <c r="H488" i="2"/>
  <c r="I489" i="2"/>
  <c r="H487" i="2"/>
  <c r="I488" i="2"/>
  <c r="H495" i="2"/>
  <c r="I473" i="2"/>
  <c r="H451" i="2"/>
  <c r="H472" i="2"/>
  <c r="J453" i="2"/>
  <c r="H471" i="2"/>
  <c r="I472" i="2"/>
  <c r="I471" i="2"/>
  <c r="I450" i="2"/>
  <c r="H470" i="2"/>
  <c r="H445" i="2"/>
  <c r="I465" i="2"/>
  <c r="I470" i="2"/>
  <c r="J465" i="2"/>
  <c r="N478" i="2"/>
  <c r="I447" i="2"/>
  <c r="H469" i="2"/>
  <c r="J466" i="2"/>
  <c r="J474" i="2"/>
  <c r="I444" i="2"/>
  <c r="J447" i="2"/>
  <c r="H449" i="2"/>
  <c r="I452" i="2"/>
  <c r="H468" i="2"/>
  <c r="I469" i="2"/>
  <c r="H467" i="2"/>
  <c r="I468" i="2"/>
  <c r="H466" i="2"/>
  <c r="I467" i="2"/>
  <c r="H474" i="2"/>
  <c r="J451" i="2"/>
  <c r="N457" i="2"/>
  <c r="J444" i="2"/>
  <c r="H450" i="2"/>
  <c r="J452" i="2"/>
  <c r="H448" i="2"/>
  <c r="I449" i="2"/>
  <c r="I448" i="2"/>
  <c r="H446" i="2"/>
  <c r="I446" i="2"/>
  <c r="H453" i="2"/>
  <c r="J431" i="2"/>
  <c r="I423" i="2"/>
  <c r="J426" i="2"/>
  <c r="I421" i="2"/>
  <c r="H429" i="2"/>
  <c r="I429" i="2"/>
  <c r="H426" i="2"/>
  <c r="J379" i="2"/>
  <c r="H421" i="2"/>
  <c r="I431" i="2"/>
  <c r="J424" i="2"/>
  <c r="I430" i="2"/>
  <c r="J430" i="2"/>
  <c r="H422" i="2"/>
  <c r="H428" i="2"/>
  <c r="J432" i="2"/>
  <c r="I422" i="2"/>
  <c r="N436" i="2"/>
  <c r="J423" i="2"/>
  <c r="H427" i="2"/>
  <c r="I428" i="2"/>
  <c r="H385" i="2"/>
  <c r="I427" i="2"/>
  <c r="J385" i="2"/>
  <c r="H425" i="2"/>
  <c r="H424" i="2"/>
  <c r="I425" i="2"/>
  <c r="H432" i="2"/>
  <c r="I380" i="2"/>
  <c r="J389" i="2"/>
  <c r="H379" i="2"/>
  <c r="I384" i="2"/>
  <c r="I388" i="2"/>
  <c r="H387" i="2"/>
  <c r="I387" i="2"/>
  <c r="J381" i="2"/>
  <c r="H386" i="2"/>
  <c r="N394" i="2"/>
  <c r="I386" i="2"/>
  <c r="H380" i="2"/>
  <c r="I381" i="2"/>
  <c r="J382" i="2"/>
  <c r="H388" i="2"/>
  <c r="I389" i="2"/>
  <c r="J390" i="2"/>
  <c r="H384" i="2"/>
  <c r="H383" i="2"/>
  <c r="H382" i="2"/>
  <c r="I383" i="2"/>
  <c r="H390" i="2"/>
  <c r="I359" i="2"/>
  <c r="H367" i="2"/>
  <c r="J368" i="2"/>
  <c r="J359" i="2"/>
  <c r="I364" i="2"/>
  <c r="I367" i="2"/>
  <c r="J364" i="2"/>
  <c r="H358" i="2"/>
  <c r="H363" i="2"/>
  <c r="H366" i="2"/>
  <c r="I363" i="2"/>
  <c r="N373" i="2"/>
  <c r="J360" i="2"/>
  <c r="I368" i="2"/>
  <c r="I360" i="2"/>
  <c r="J361" i="2"/>
  <c r="J369" i="2"/>
  <c r="I358" i="2"/>
  <c r="H365" i="2"/>
  <c r="I366" i="2"/>
  <c r="I365" i="2"/>
  <c r="H362" i="2"/>
  <c r="H361" i="2"/>
  <c r="I362" i="2"/>
  <c r="H369" i="2"/>
  <c r="C4363" i="3"/>
  <c r="C343" i="4"/>
  <c r="C342" i="4"/>
  <c r="C84" i="4"/>
  <c r="C85" i="4"/>
  <c r="C86" i="4"/>
  <c r="C87" i="4"/>
  <c r="C88" i="4"/>
  <c r="C269" i="4"/>
  <c r="C270" i="4"/>
  <c r="C271" i="4"/>
  <c r="C272" i="4"/>
  <c r="C273" i="4"/>
  <c r="C274" i="4"/>
  <c r="C80" i="4"/>
  <c r="C81" i="4"/>
  <c r="C82" i="4"/>
  <c r="C83" i="4"/>
  <c r="C68" i="4"/>
  <c r="C4361" i="3"/>
  <c r="C346" i="4"/>
  <c r="C345" i="4"/>
  <c r="C268" i="4"/>
  <c r="C267" i="4"/>
  <c r="F341" i="4"/>
  <c r="F340" i="4"/>
  <c r="C341" i="4"/>
  <c r="C340" i="4"/>
  <c r="C266" i="4"/>
  <c r="C265" i="4"/>
  <c r="C264" i="4"/>
  <c r="C263" i="4"/>
  <c r="C262" i="4"/>
  <c r="C261" i="4"/>
  <c r="C260" i="4"/>
  <c r="C259" i="4"/>
  <c r="C65" i="4"/>
  <c r="C66" i="4"/>
  <c r="C67" i="4"/>
  <c r="C69" i="4"/>
  <c r="C70" i="4"/>
  <c r="C71" i="4"/>
  <c r="C72" i="4"/>
  <c r="C73" i="4"/>
  <c r="C74" i="4"/>
  <c r="C75" i="4"/>
  <c r="C76" i="4"/>
  <c r="C77" i="4"/>
  <c r="C78" i="4"/>
  <c r="C79" i="4"/>
  <c r="C64" i="4"/>
  <c r="C58" i="4"/>
  <c r="C62" i="4"/>
  <c r="C63" i="4"/>
  <c r="C61" i="4"/>
  <c r="C60" i="4"/>
  <c r="C59" i="4"/>
  <c r="F346" i="4" l="1"/>
  <c r="F345" i="4"/>
  <c r="C4357" i="3" l="1"/>
  <c r="C53" i="4"/>
  <c r="C52" i="4"/>
  <c r="C38" i="4"/>
  <c r="C39" i="4"/>
  <c r="C40" i="4"/>
  <c r="C41" i="4"/>
  <c r="C42" i="4"/>
  <c r="C43" i="4"/>
  <c r="C44" i="4"/>
  <c r="C45" i="4"/>
  <c r="C46" i="4"/>
  <c r="C47" i="4"/>
  <c r="C48" i="4"/>
  <c r="C49" i="4"/>
  <c r="C37" i="4"/>
  <c r="H2" i="16"/>
  <c r="I5" i="16"/>
  <c r="I3" i="16"/>
  <c r="H5" i="16"/>
  <c r="H4" i="16"/>
  <c r="G41" i="16"/>
  <c r="G40" i="16"/>
  <c r="E42" i="16" l="1"/>
  <c r="G42" i="16" s="1"/>
  <c r="C4355" i="3" l="1"/>
  <c r="M352" i="2" l="1"/>
  <c r="L352" i="2"/>
  <c r="K348" i="2"/>
  <c r="H348" i="2" s="1"/>
  <c r="G348" i="2"/>
  <c r="E348" i="2"/>
  <c r="C348" i="2"/>
  <c r="K347" i="2"/>
  <c r="H347" i="2" s="1"/>
  <c r="G347" i="2"/>
  <c r="E347" i="2"/>
  <c r="C347" i="2"/>
  <c r="K346" i="2"/>
  <c r="J346" i="2" s="1"/>
  <c r="G346" i="2"/>
  <c r="E346" i="2"/>
  <c r="C346" i="2"/>
  <c r="J334" i="2"/>
  <c r="P352" i="2" s="1"/>
  <c r="D333" i="2"/>
  <c r="O352" i="2" s="1"/>
  <c r="C4367" i="3"/>
  <c r="C57" i="4"/>
  <c r="C56" i="4"/>
  <c r="C4366" i="3"/>
  <c r="C55" i="4"/>
  <c r="E3" i="15"/>
  <c r="G48" i="15" l="1"/>
  <c r="G49" i="15"/>
  <c r="N352" i="2"/>
  <c r="J347" i="2"/>
  <c r="I346" i="2"/>
  <c r="H346" i="2"/>
  <c r="J348" i="2"/>
  <c r="I347" i="2"/>
  <c r="I348" i="2"/>
  <c r="G25" i="15"/>
  <c r="G9" i="15"/>
  <c r="G20" i="15"/>
  <c r="G35" i="15"/>
  <c r="G41" i="15"/>
  <c r="G10" i="15"/>
  <c r="G34" i="15"/>
  <c r="G3" i="15"/>
  <c r="G27" i="15"/>
  <c r="G12" i="15"/>
  <c r="G44" i="15"/>
  <c r="G21" i="15"/>
  <c r="G45" i="15"/>
  <c r="G6" i="15"/>
  <c r="G14" i="15"/>
  <c r="G22" i="15"/>
  <c r="G30" i="15"/>
  <c r="G38" i="15"/>
  <c r="G46" i="15"/>
  <c r="G17" i="15"/>
  <c r="G33" i="15"/>
  <c r="G18" i="15"/>
  <c r="G42" i="15"/>
  <c r="G19" i="15"/>
  <c r="G4" i="15"/>
  <c r="G36" i="15"/>
  <c r="G13" i="15"/>
  <c r="G37" i="15"/>
  <c r="G7" i="15"/>
  <c r="G15" i="15"/>
  <c r="G23" i="15"/>
  <c r="G31" i="15"/>
  <c r="G39" i="15"/>
  <c r="G47" i="15"/>
  <c r="G26" i="15"/>
  <c r="G11" i="15"/>
  <c r="G43" i="15"/>
  <c r="G28" i="15"/>
  <c r="G5" i="15"/>
  <c r="G29" i="15"/>
  <c r="G8" i="15"/>
  <c r="G16" i="15"/>
  <c r="G24" i="15"/>
  <c r="G32" i="15"/>
  <c r="G40" i="15"/>
  <c r="I61" i="12" l="1"/>
  <c r="G61" i="12"/>
  <c r="E61" i="12"/>
  <c r="I93" i="12"/>
  <c r="G93" i="12"/>
  <c r="E93" i="12"/>
  <c r="E112" i="12"/>
  <c r="I105" i="12"/>
  <c r="I106" i="12" s="1"/>
  <c r="E105" i="12"/>
  <c r="E106" i="12" s="1"/>
  <c r="E29" i="12"/>
  <c r="I112" i="12"/>
  <c r="I29" i="12"/>
  <c r="G105" i="12"/>
  <c r="G106" i="12" s="1"/>
  <c r="G112" i="12"/>
  <c r="G29" i="12"/>
  <c r="G181" i="12"/>
  <c r="I181" i="12"/>
  <c r="E181" i="12"/>
  <c r="G172" i="12"/>
  <c r="I172" i="12"/>
  <c r="E172" i="12"/>
  <c r="G167" i="12"/>
  <c r="G168" i="12" s="1"/>
  <c r="G159" i="12"/>
  <c r="E167" i="12"/>
  <c r="E168" i="12" s="1"/>
  <c r="E159" i="12"/>
  <c r="I167" i="12"/>
  <c r="I168" i="12" s="1"/>
  <c r="I159" i="12"/>
  <c r="E131" i="12"/>
  <c r="G131" i="12"/>
  <c r="I131" i="12"/>
  <c r="I147" i="12"/>
  <c r="G147" i="12"/>
  <c r="E147" i="12"/>
  <c r="E120" i="12"/>
  <c r="I140" i="12"/>
  <c r="I141" i="12" s="1"/>
  <c r="G140" i="12"/>
  <c r="G141" i="12" s="1"/>
  <c r="I120" i="12"/>
  <c r="E140" i="12"/>
  <c r="E141" i="12" s="1"/>
  <c r="G120" i="12"/>
  <c r="I19" i="12"/>
  <c r="G19" i="12"/>
  <c r="E19" i="12"/>
  <c r="I12" i="12"/>
  <c r="I13" i="12" s="1"/>
  <c r="G12" i="12"/>
  <c r="G13" i="12" s="1"/>
  <c r="J13" i="12" s="1"/>
  <c r="E12" i="12"/>
  <c r="E13" i="12" s="1"/>
  <c r="C13" i="12"/>
  <c r="B13" i="12"/>
  <c r="I2" i="12"/>
  <c r="I5" i="12"/>
  <c r="I4" i="12"/>
  <c r="J6" i="12"/>
  <c r="J5" i="12"/>
  <c r="J4" i="12"/>
  <c r="J3" i="12"/>
  <c r="J106" i="12" l="1"/>
  <c r="F220" i="4" s="1"/>
  <c r="I21" i="12"/>
  <c r="I20" i="12"/>
  <c r="I23" i="12"/>
  <c r="I22" i="12"/>
  <c r="G125" i="12"/>
  <c r="G124" i="12"/>
  <c r="G123" i="12"/>
  <c r="G122" i="12"/>
  <c r="I153" i="12"/>
  <c r="I148" i="12"/>
  <c r="I152" i="12"/>
  <c r="I150" i="12"/>
  <c r="I151" i="12"/>
  <c r="I149" i="12"/>
  <c r="I161" i="12"/>
  <c r="I160" i="12"/>
  <c r="G161" i="12"/>
  <c r="G160" i="12"/>
  <c r="G173" i="12"/>
  <c r="G176" i="12"/>
  <c r="G174" i="12"/>
  <c r="G175" i="12"/>
  <c r="G48" i="12"/>
  <c r="G52" i="12"/>
  <c r="G40" i="12"/>
  <c r="G43" i="12"/>
  <c r="G34" i="12"/>
  <c r="G46" i="12"/>
  <c r="G37" i="12"/>
  <c r="G55" i="12"/>
  <c r="G50" i="12"/>
  <c r="G35" i="12"/>
  <c r="G31" i="12"/>
  <c r="G38" i="12"/>
  <c r="G36" i="12"/>
  <c r="G54" i="12"/>
  <c r="G49" i="12"/>
  <c r="G32" i="12"/>
  <c r="G41" i="12"/>
  <c r="G30" i="12"/>
  <c r="G47" i="12"/>
  <c r="G53" i="12"/>
  <c r="G51" i="12"/>
  <c r="G44" i="12"/>
  <c r="G42" i="12"/>
  <c r="G33" i="12"/>
  <c r="G45" i="12"/>
  <c r="G39" i="12"/>
  <c r="E113" i="12"/>
  <c r="E114" i="12"/>
  <c r="E63" i="12"/>
  <c r="E67" i="12"/>
  <c r="E78" i="12"/>
  <c r="E69" i="12"/>
  <c r="E68" i="12"/>
  <c r="E73" i="12"/>
  <c r="E70" i="12"/>
  <c r="E62" i="12"/>
  <c r="E83" i="12"/>
  <c r="E74" i="12"/>
  <c r="E65" i="12"/>
  <c r="E87" i="12"/>
  <c r="E82" i="12"/>
  <c r="E64" i="12"/>
  <c r="E85" i="12"/>
  <c r="E84" i="12"/>
  <c r="E75" i="12"/>
  <c r="E66" i="12"/>
  <c r="E80" i="12"/>
  <c r="E79" i="12"/>
  <c r="E86" i="12"/>
  <c r="E77" i="12"/>
  <c r="E76" i="12"/>
  <c r="E81" i="12"/>
  <c r="E72" i="12"/>
  <c r="E71" i="12"/>
  <c r="E132" i="12"/>
  <c r="E134" i="12"/>
  <c r="E133" i="12"/>
  <c r="E23" i="12"/>
  <c r="E21" i="12"/>
  <c r="E20" i="12"/>
  <c r="E22" i="12"/>
  <c r="J141" i="12"/>
  <c r="F230" i="4" s="1"/>
  <c r="E121" i="12"/>
  <c r="J121" i="12" s="1"/>
  <c r="F222" i="4" s="1"/>
  <c r="E123" i="12"/>
  <c r="E122" i="12"/>
  <c r="E125" i="12"/>
  <c r="E124" i="12"/>
  <c r="I133" i="12"/>
  <c r="I132" i="12"/>
  <c r="I134" i="12"/>
  <c r="J168" i="12"/>
  <c r="F241" i="4" s="1"/>
  <c r="E183" i="12"/>
  <c r="E182" i="12"/>
  <c r="I114" i="12"/>
  <c r="J114" i="12" s="1"/>
  <c r="F253" i="4" s="1"/>
  <c r="I113" i="12"/>
  <c r="G114" i="12"/>
  <c r="G113" i="12"/>
  <c r="E54" i="12"/>
  <c r="E46" i="12"/>
  <c r="E31" i="12"/>
  <c r="E30" i="12"/>
  <c r="E38" i="12"/>
  <c r="E39" i="12"/>
  <c r="E53" i="12"/>
  <c r="E55" i="12"/>
  <c r="E48" i="12"/>
  <c r="E33" i="12"/>
  <c r="E47" i="12"/>
  <c r="E40" i="12"/>
  <c r="E37" i="12"/>
  <c r="E36" i="12"/>
  <c r="E52" i="12"/>
  <c r="E51" i="12"/>
  <c r="E43" i="12"/>
  <c r="E35" i="12"/>
  <c r="E32" i="12"/>
  <c r="E34" i="12"/>
  <c r="E41" i="12"/>
  <c r="E44" i="12"/>
  <c r="E42" i="12"/>
  <c r="E49" i="12"/>
  <c r="E50" i="12"/>
  <c r="E45" i="12"/>
  <c r="E95" i="12"/>
  <c r="E96" i="12"/>
  <c r="E94" i="12"/>
  <c r="E97" i="12"/>
  <c r="J97" i="12" s="1"/>
  <c r="F231" i="4" s="1"/>
  <c r="G1731" i="2" s="1"/>
  <c r="I1731" i="2" s="1"/>
  <c r="E98" i="12"/>
  <c r="G81" i="12"/>
  <c r="G78" i="12"/>
  <c r="G80" i="12"/>
  <c r="G63" i="12"/>
  <c r="G74" i="12"/>
  <c r="G86" i="12"/>
  <c r="G66" i="12"/>
  <c r="G73" i="12"/>
  <c r="G62" i="12"/>
  <c r="G72" i="12"/>
  <c r="G70" i="12"/>
  <c r="G87" i="12"/>
  <c r="G67" i="12"/>
  <c r="G68" i="12"/>
  <c r="G65" i="12"/>
  <c r="G69" i="12"/>
  <c r="G64" i="12"/>
  <c r="G77" i="12"/>
  <c r="G84" i="12"/>
  <c r="G85" i="12"/>
  <c r="G71" i="12"/>
  <c r="G75" i="12"/>
  <c r="G79" i="12"/>
  <c r="G83" i="12"/>
  <c r="G82" i="12"/>
  <c r="G76" i="12"/>
  <c r="G153" i="12"/>
  <c r="G149" i="12"/>
  <c r="G152" i="12"/>
  <c r="G148" i="12"/>
  <c r="G151" i="12"/>
  <c r="G150" i="12"/>
  <c r="I175" i="12"/>
  <c r="I176" i="12"/>
  <c r="I174" i="12"/>
  <c r="I173" i="12"/>
  <c r="G183" i="12"/>
  <c r="J183" i="12" s="1"/>
  <c r="F255" i="4" s="1"/>
  <c r="G182" i="12"/>
  <c r="I48" i="12"/>
  <c r="I33" i="12"/>
  <c r="I49" i="12"/>
  <c r="J49" i="12" s="1"/>
  <c r="F242" i="4" s="1"/>
  <c r="I36" i="12"/>
  <c r="I53" i="12"/>
  <c r="J53" i="12" s="1"/>
  <c r="F246" i="4" s="1"/>
  <c r="I55" i="12"/>
  <c r="I32" i="12"/>
  <c r="J32" i="12" s="1"/>
  <c r="F175" i="4" s="1"/>
  <c r="I46" i="12"/>
  <c r="J46" i="12" s="1"/>
  <c r="F191" i="4" s="1"/>
  <c r="I34" i="12"/>
  <c r="I35" i="12"/>
  <c r="I44" i="12"/>
  <c r="I38" i="12"/>
  <c r="J38" i="12" s="1"/>
  <c r="F181" i="4" s="1"/>
  <c r="I40" i="12"/>
  <c r="I31" i="12"/>
  <c r="J31" i="12" s="1"/>
  <c r="F174" i="4" s="1"/>
  <c r="I39" i="12"/>
  <c r="I42" i="12"/>
  <c r="J42" i="12" s="1"/>
  <c r="F185" i="4" s="1"/>
  <c r="I43" i="12"/>
  <c r="I52" i="12"/>
  <c r="I54" i="12"/>
  <c r="I41" i="12"/>
  <c r="I30" i="12"/>
  <c r="I45" i="12"/>
  <c r="I50" i="12"/>
  <c r="I51" i="12"/>
  <c r="I37" i="12"/>
  <c r="I47" i="12"/>
  <c r="J47" i="12" s="1"/>
  <c r="F192" i="4" s="1"/>
  <c r="G21" i="12"/>
  <c r="G22" i="12"/>
  <c r="G20" i="12"/>
  <c r="I124" i="12"/>
  <c r="J124" i="12" s="1"/>
  <c r="F225" i="4" s="1"/>
  <c r="I123" i="12"/>
  <c r="J123" i="12" s="1"/>
  <c r="F224" i="4" s="1"/>
  <c r="I122" i="12"/>
  <c r="E150" i="12"/>
  <c r="E153" i="12"/>
  <c r="E149" i="12"/>
  <c r="E152" i="12"/>
  <c r="E148" i="12"/>
  <c r="E151" i="12"/>
  <c r="G133" i="12"/>
  <c r="G134" i="12"/>
  <c r="G132" i="12"/>
  <c r="E161" i="12"/>
  <c r="E160" i="12"/>
  <c r="E176" i="12"/>
  <c r="E173" i="12"/>
  <c r="E175" i="12"/>
  <c r="E174" i="12"/>
  <c r="G98" i="12"/>
  <c r="J98" i="12" s="1"/>
  <c r="F232" i="4" s="1"/>
  <c r="G96" i="12"/>
  <c r="G94" i="12"/>
  <c r="G95" i="12"/>
  <c r="J95" i="12" s="1"/>
  <c r="I73" i="12"/>
  <c r="I77" i="12"/>
  <c r="I82" i="12"/>
  <c r="I86" i="12"/>
  <c r="I68" i="12"/>
  <c r="I70" i="12"/>
  <c r="I81" i="12"/>
  <c r="I79" i="12"/>
  <c r="I75" i="12"/>
  <c r="I72" i="12"/>
  <c r="I78" i="12"/>
  <c r="I71" i="12"/>
  <c r="I64" i="12"/>
  <c r="I83" i="12"/>
  <c r="I66" i="12"/>
  <c r="I76" i="12"/>
  <c r="I67" i="12"/>
  <c r="I69" i="12"/>
  <c r="I63" i="12"/>
  <c r="I65" i="12"/>
  <c r="I84" i="12"/>
  <c r="I74" i="12"/>
  <c r="I85" i="12"/>
  <c r="I87" i="12"/>
  <c r="I80" i="12"/>
  <c r="I62" i="12"/>
  <c r="C167" i="4"/>
  <c r="M332" i="2"/>
  <c r="L332" i="2"/>
  <c r="K328" i="2"/>
  <c r="H328" i="2" s="1"/>
  <c r="G328" i="2"/>
  <c r="E328" i="2"/>
  <c r="C328" i="2"/>
  <c r="K327" i="2"/>
  <c r="H327" i="2" s="1"/>
  <c r="G327" i="2"/>
  <c r="E327" i="2"/>
  <c r="C327" i="2"/>
  <c r="K326" i="2"/>
  <c r="J326" i="2" s="1"/>
  <c r="G326" i="2"/>
  <c r="E326" i="2"/>
  <c r="C326" i="2"/>
  <c r="K325" i="2"/>
  <c r="J325" i="2" s="1"/>
  <c r="G325" i="2"/>
  <c r="E325" i="2"/>
  <c r="C325" i="2"/>
  <c r="K324" i="2"/>
  <c r="J324" i="2" s="1"/>
  <c r="G324" i="2"/>
  <c r="E324" i="2"/>
  <c r="C324" i="2"/>
  <c r="K323" i="2"/>
  <c r="J323" i="2" s="1"/>
  <c r="G323" i="2"/>
  <c r="E323" i="2"/>
  <c r="C323" i="2"/>
  <c r="K322" i="2"/>
  <c r="I322" i="2" s="1"/>
  <c r="G322" i="2"/>
  <c r="E322" i="2"/>
  <c r="C322" i="2"/>
  <c r="K321" i="2"/>
  <c r="I321" i="2" s="1"/>
  <c r="G321" i="2"/>
  <c r="E321" i="2"/>
  <c r="C321" i="2"/>
  <c r="K320" i="2"/>
  <c r="H320" i="2" s="1"/>
  <c r="G320" i="2"/>
  <c r="E320" i="2"/>
  <c r="C320" i="2"/>
  <c r="J313" i="2"/>
  <c r="P332" i="2" s="1"/>
  <c r="D312" i="2"/>
  <c r="O332" i="2" s="1"/>
  <c r="C4365" i="3"/>
  <c r="C54" i="4"/>
  <c r="C147" i="4"/>
  <c r="C4334" i="3"/>
  <c r="F73" i="1"/>
  <c r="J96" i="12" l="1"/>
  <c r="J40" i="12"/>
  <c r="F183" i="4" s="1"/>
  <c r="J34" i="12"/>
  <c r="F177" i="4" s="1"/>
  <c r="J45" i="12"/>
  <c r="F190" i="4" s="1"/>
  <c r="J122" i="12"/>
  <c r="F223" i="4" s="1"/>
  <c r="J51" i="12"/>
  <c r="F244" i="4" s="1"/>
  <c r="J41" i="12"/>
  <c r="F184" i="4" s="1"/>
  <c r="J36" i="12"/>
  <c r="F179" i="4" s="1"/>
  <c r="J182" i="12"/>
  <c r="F254" i="4" s="1"/>
  <c r="J55" i="12"/>
  <c r="F248" i="4" s="1"/>
  <c r="J160" i="12"/>
  <c r="F239" i="4" s="1"/>
  <c r="J150" i="12"/>
  <c r="F235" i="4" s="1"/>
  <c r="J176" i="12"/>
  <c r="F252" i="4" s="1"/>
  <c r="J134" i="12"/>
  <c r="F229" i="4" s="1"/>
  <c r="J22" i="12"/>
  <c r="F170" i="4" s="1"/>
  <c r="J50" i="12"/>
  <c r="F243" i="4" s="1"/>
  <c r="J54" i="12"/>
  <c r="F247" i="4" s="1"/>
  <c r="J39" i="12"/>
  <c r="F182" i="4" s="1"/>
  <c r="J44" i="12"/>
  <c r="F189" i="4" s="1"/>
  <c r="J175" i="12"/>
  <c r="F251" i="4" s="1"/>
  <c r="J132" i="12"/>
  <c r="F227" i="4" s="1"/>
  <c r="J161" i="12"/>
  <c r="F240" i="4" s="1"/>
  <c r="G2868" i="2" s="1"/>
  <c r="I2868" i="2" s="1"/>
  <c r="J152" i="12"/>
  <c r="F237" i="4" s="1"/>
  <c r="J23" i="12"/>
  <c r="F171" i="4" s="1"/>
  <c r="J94" i="12"/>
  <c r="F172" i="4" s="1"/>
  <c r="J52" i="12"/>
  <c r="F245" i="4" s="1"/>
  <c r="J35" i="12"/>
  <c r="F178" i="4" s="1"/>
  <c r="J33" i="12"/>
  <c r="F176" i="4" s="1"/>
  <c r="J173" i="12"/>
  <c r="F249" i="4" s="1"/>
  <c r="J133" i="12"/>
  <c r="F228" i="4" s="1"/>
  <c r="J149" i="12"/>
  <c r="F234" i="4" s="1"/>
  <c r="J148" i="12"/>
  <c r="F233" i="4" s="1"/>
  <c r="J20" i="12"/>
  <c r="F168" i="4" s="1"/>
  <c r="J37" i="12"/>
  <c r="F180" i="4" s="1"/>
  <c r="J30" i="12"/>
  <c r="F173" i="4" s="1"/>
  <c r="J43" i="12"/>
  <c r="F188" i="4" s="1"/>
  <c r="J48" i="12"/>
  <c r="F193" i="4" s="1"/>
  <c r="J174" i="12"/>
  <c r="F250" i="4" s="1"/>
  <c r="J113" i="12"/>
  <c r="F221" i="4" s="1"/>
  <c r="J151" i="12"/>
  <c r="F236" i="4" s="1"/>
  <c r="J153" i="12"/>
  <c r="F238" i="4" s="1"/>
  <c r="J125" i="12"/>
  <c r="F226" i="4" s="1"/>
  <c r="J21" i="12"/>
  <c r="F169" i="4" s="1"/>
  <c r="H326" i="2"/>
  <c r="J320" i="2"/>
  <c r="I326" i="2"/>
  <c r="J328" i="2"/>
  <c r="J327" i="2"/>
  <c r="H325" i="2"/>
  <c r="J322" i="2"/>
  <c r="I327" i="2"/>
  <c r="N332" i="2"/>
  <c r="I320" i="2"/>
  <c r="J321" i="2"/>
  <c r="I328" i="2"/>
  <c r="H324" i="2"/>
  <c r="I325" i="2"/>
  <c r="H323" i="2"/>
  <c r="I324" i="2"/>
  <c r="H322" i="2"/>
  <c r="I323" i="2"/>
  <c r="H321" i="2"/>
  <c r="H5" i="11"/>
  <c r="H3" i="11"/>
  <c r="G5" i="11"/>
  <c r="C60" i="11" s="1"/>
  <c r="G4" i="11"/>
  <c r="C59" i="11" s="1"/>
  <c r="G3" i="11"/>
  <c r="G2" i="11"/>
  <c r="F4356" i="3" l="1"/>
  <c r="C4329" i="3"/>
  <c r="C4326" i="3"/>
  <c r="C4325" i="3"/>
  <c r="C4324" i="3"/>
  <c r="C4323" i="3"/>
  <c r="C4322" i="3"/>
  <c r="C4320" i="3"/>
  <c r="C4319" i="3"/>
  <c r="C4317" i="3"/>
  <c r="C4315" i="3"/>
  <c r="C4314" i="3"/>
  <c r="C4313" i="3"/>
  <c r="C4311" i="3"/>
  <c r="C4308" i="3"/>
  <c r="C4307" i="3"/>
  <c r="C4306" i="3"/>
  <c r="C4305" i="3"/>
  <c r="C4304" i="3"/>
  <c r="C4303" i="3"/>
  <c r="C4302" i="3"/>
  <c r="C4301" i="3"/>
  <c r="C4300" i="3"/>
  <c r="C4299" i="3"/>
  <c r="C4298" i="3"/>
  <c r="C4297" i="3"/>
  <c r="C4296" i="3"/>
  <c r="C4295" i="3"/>
  <c r="C4294" i="3"/>
  <c r="C4293" i="3"/>
  <c r="C4292" i="3"/>
  <c r="C4291" i="3"/>
  <c r="C4290" i="3"/>
  <c r="C4289" i="3"/>
  <c r="C4288" i="3"/>
  <c r="C4287" i="3"/>
  <c r="C4286" i="3"/>
  <c r="C4285" i="3"/>
  <c r="C4284" i="3"/>
  <c r="C4282" i="3"/>
  <c r="C4281" i="3"/>
  <c r="C4279" i="3"/>
  <c r="C4278" i="3"/>
  <c r="C4277" i="3"/>
  <c r="C4276" i="3"/>
  <c r="C4275" i="3"/>
  <c r="C4273" i="3"/>
  <c r="C4271" i="3"/>
  <c r="C4270" i="3"/>
  <c r="C4269" i="3"/>
  <c r="C4268" i="3"/>
  <c r="C4267" i="3"/>
  <c r="C4266" i="3"/>
  <c r="C4265" i="3"/>
  <c r="C4264" i="3"/>
  <c r="C4263" i="3"/>
  <c r="C4262" i="3"/>
  <c r="C4261" i="3"/>
  <c r="C4260" i="3"/>
  <c r="C4259" i="3"/>
  <c r="C4258" i="3"/>
  <c r="C4257" i="3"/>
  <c r="C4256" i="3"/>
  <c r="C4255" i="3"/>
  <c r="C4254" i="3"/>
  <c r="C4253" i="3"/>
  <c r="C4252" i="3"/>
  <c r="C4250" i="3"/>
  <c r="C4249" i="3"/>
  <c r="C4248" i="3"/>
  <c r="C4247" i="3"/>
  <c r="C4246" i="3"/>
  <c r="C4245" i="3"/>
  <c r="C4244" i="3"/>
  <c r="C4243" i="3"/>
  <c r="C4242" i="3"/>
  <c r="C4241" i="3"/>
  <c r="C4240" i="3"/>
  <c r="C4239" i="3"/>
  <c r="C4237" i="3"/>
  <c r="C4236" i="3"/>
  <c r="C4235" i="3"/>
  <c r="C4234" i="3"/>
  <c r="C4233" i="3"/>
  <c r="C4232" i="3"/>
  <c r="C4231" i="3"/>
  <c r="C4230" i="3"/>
  <c r="C4227" i="3"/>
  <c r="C4226" i="3"/>
  <c r="C4225" i="3"/>
  <c r="C4224" i="3"/>
  <c r="C4222" i="3"/>
  <c r="C4221" i="3"/>
  <c r="C4220" i="3"/>
  <c r="C4219" i="3"/>
  <c r="C4218" i="3"/>
  <c r="C4217" i="3"/>
  <c r="C4216" i="3"/>
  <c r="C4215" i="3"/>
  <c r="C4214" i="3"/>
  <c r="C4213" i="3"/>
  <c r="C4212" i="3"/>
  <c r="C4211" i="3"/>
  <c r="C4210" i="3"/>
  <c r="C4208" i="3"/>
  <c r="C4207" i="3"/>
  <c r="C4206" i="3"/>
  <c r="C4205" i="3"/>
  <c r="C4204" i="3"/>
  <c r="C4203" i="3"/>
  <c r="C4202" i="3"/>
  <c r="C4201" i="3"/>
  <c r="C4200" i="3"/>
  <c r="C4199" i="3"/>
  <c r="C4198" i="3"/>
  <c r="C4197" i="3"/>
  <c r="C4196" i="3"/>
  <c r="C4195" i="3"/>
  <c r="C4194" i="3"/>
  <c r="C4193" i="3"/>
  <c r="C4192" i="3"/>
  <c r="C4191" i="3"/>
  <c r="C4190" i="3"/>
  <c r="C4189" i="3"/>
  <c r="C4188" i="3"/>
  <c r="C4187" i="3"/>
  <c r="C4186" i="3"/>
  <c r="C4185" i="3"/>
  <c r="C4184" i="3"/>
  <c r="C4183" i="3"/>
  <c r="C4180" i="3"/>
  <c r="C4179" i="3"/>
  <c r="C4178" i="3"/>
  <c r="C4177" i="3"/>
  <c r="C4176" i="3"/>
  <c r="C4175" i="3"/>
  <c r="C4174" i="3"/>
  <c r="C4173" i="3"/>
  <c r="C4172" i="3"/>
  <c r="C4171" i="3"/>
  <c r="C4170" i="3"/>
  <c r="C4169" i="3"/>
  <c r="C4168" i="3"/>
  <c r="C4167" i="3"/>
  <c r="C4166" i="3"/>
  <c r="C4165" i="3"/>
  <c r="C4164" i="3"/>
  <c r="C4163" i="3"/>
  <c r="C4160" i="3"/>
  <c r="C4159" i="3"/>
  <c r="C4158" i="3"/>
  <c r="C4157" i="3"/>
  <c r="C4156" i="3"/>
  <c r="C4155" i="3"/>
  <c r="C4154" i="3"/>
  <c r="C4153" i="3"/>
  <c r="C4151" i="3"/>
  <c r="C4150" i="3"/>
  <c r="C4149" i="3"/>
  <c r="C4148" i="3"/>
  <c r="C4147" i="3"/>
  <c r="C4146" i="3"/>
  <c r="C4145" i="3"/>
  <c r="C4144" i="3"/>
  <c r="C4143" i="3"/>
  <c r="C4142" i="3"/>
  <c r="C4141" i="3"/>
  <c r="C4140" i="3"/>
  <c r="C4139" i="3"/>
  <c r="C4138" i="3"/>
  <c r="C4137" i="3"/>
  <c r="C4135" i="3"/>
  <c r="C4134" i="3"/>
  <c r="C4133" i="3"/>
  <c r="C4132" i="3"/>
  <c r="C4131" i="3"/>
  <c r="C4130" i="3"/>
  <c r="C4127" i="3"/>
  <c r="C4125" i="3"/>
  <c r="C4122" i="3"/>
  <c r="C4121" i="3"/>
  <c r="C4120" i="3"/>
  <c r="C4118" i="3"/>
  <c r="C4117" i="3"/>
  <c r="C4116" i="3"/>
  <c r="C4113" i="3"/>
  <c r="C4112" i="3"/>
  <c r="C4111" i="3"/>
  <c r="C4110" i="3"/>
  <c r="C4109" i="3"/>
  <c r="C4108" i="3"/>
  <c r="C4107" i="3"/>
  <c r="C4105" i="3"/>
  <c r="C4104" i="3"/>
  <c r="C4103" i="3"/>
  <c r="C4102" i="3"/>
  <c r="C4101" i="3"/>
  <c r="C4099" i="3"/>
  <c r="C4097" i="3"/>
  <c r="C4096" i="3"/>
  <c r="C4095" i="3"/>
  <c r="C4094" i="3"/>
  <c r="C4093" i="3"/>
  <c r="C4092" i="3"/>
  <c r="C4091" i="3"/>
  <c r="C4088" i="3"/>
  <c r="C4086" i="3"/>
  <c r="C4085" i="3"/>
  <c r="C4084" i="3"/>
  <c r="C4083" i="3"/>
  <c r="C4082" i="3"/>
  <c r="C4080" i="3"/>
  <c r="C4079" i="3"/>
  <c r="C4078" i="3"/>
  <c r="C4077" i="3"/>
  <c r="C4076" i="3"/>
  <c r="C4075" i="3"/>
  <c r="C4074" i="3"/>
  <c r="C4071" i="3"/>
  <c r="C4070" i="3"/>
  <c r="C4069" i="3"/>
  <c r="C4068" i="3"/>
  <c r="C4067" i="3"/>
  <c r="C4066" i="3"/>
  <c r="C4064" i="3"/>
  <c r="C4063" i="3"/>
  <c r="C4062" i="3"/>
  <c r="C4061" i="3"/>
  <c r="C4060" i="3"/>
  <c r="C4059" i="3"/>
  <c r="C4058" i="3"/>
  <c r="C4057" i="3"/>
  <c r="C4055" i="3"/>
  <c r="C4054" i="3"/>
  <c r="C4053" i="3"/>
  <c r="C4052" i="3"/>
  <c r="C4051" i="3"/>
  <c r="C4050" i="3"/>
  <c r="C4049" i="3"/>
  <c r="C4047" i="3"/>
  <c r="C4046" i="3"/>
  <c r="C4045" i="3"/>
  <c r="C4044" i="3"/>
  <c r="C4043" i="3"/>
  <c r="C4042" i="3"/>
  <c r="C4041" i="3"/>
  <c r="C4039" i="3"/>
  <c r="C4038" i="3"/>
  <c r="C4037" i="3"/>
  <c r="C4036" i="3"/>
  <c r="C4035" i="3"/>
  <c r="C4034" i="3"/>
  <c r="C4033" i="3"/>
  <c r="C4031" i="3"/>
  <c r="C4029" i="3"/>
  <c r="C4028" i="3"/>
  <c r="C4027" i="3"/>
  <c r="C4026" i="3"/>
  <c r="C4025" i="3"/>
  <c r="C4024" i="3"/>
  <c r="C4023" i="3"/>
  <c r="C4022" i="3"/>
  <c r="C4021" i="3"/>
  <c r="C4018" i="3"/>
  <c r="C4017" i="3"/>
  <c r="C4016" i="3"/>
  <c r="C4015" i="3"/>
  <c r="C4014" i="3"/>
  <c r="C4013" i="3"/>
  <c r="C4012" i="3"/>
  <c r="C4010" i="3"/>
  <c r="C4009" i="3"/>
  <c r="C4008" i="3"/>
  <c r="C4007" i="3"/>
  <c r="C4006" i="3"/>
  <c r="C4005" i="3"/>
  <c r="C4004" i="3"/>
  <c r="C4003" i="3"/>
  <c r="C4002" i="3"/>
  <c r="C4001" i="3"/>
  <c r="C4000" i="3"/>
  <c r="C3999" i="3"/>
  <c r="C3997" i="3"/>
  <c r="C3996" i="3"/>
  <c r="C3995" i="3"/>
  <c r="C3994" i="3"/>
  <c r="C3993" i="3"/>
  <c r="C3992" i="3"/>
  <c r="C3991" i="3"/>
  <c r="C3990" i="3"/>
  <c r="C3989" i="3"/>
  <c r="C3988" i="3"/>
  <c r="C3987" i="3"/>
  <c r="C3986" i="3"/>
  <c r="C3985" i="3"/>
  <c r="C3984" i="3"/>
  <c r="C3983" i="3"/>
  <c r="C3982" i="3"/>
  <c r="C3981" i="3"/>
  <c r="C3980" i="3"/>
  <c r="C3978" i="3"/>
  <c r="C3977" i="3"/>
  <c r="C3976" i="3"/>
  <c r="C3975" i="3"/>
  <c r="C3973" i="3"/>
  <c r="C3972" i="3"/>
  <c r="C3971" i="3"/>
  <c r="C3970" i="3"/>
  <c r="C3969" i="3"/>
  <c r="C3968" i="3"/>
  <c r="C3967" i="3"/>
  <c r="C3966" i="3"/>
  <c r="C3965" i="3"/>
  <c r="C3964" i="3"/>
  <c r="C3963" i="3"/>
  <c r="C3962" i="3"/>
  <c r="C3961" i="3"/>
  <c r="C3960" i="3"/>
  <c r="C3959" i="3"/>
  <c r="C3958" i="3"/>
  <c r="C3957" i="3"/>
  <c r="C3954" i="3"/>
  <c r="C3953" i="3"/>
  <c r="C3952" i="3"/>
  <c r="C3951" i="3"/>
  <c r="C3950" i="3"/>
  <c r="C3949" i="3"/>
  <c r="C3947" i="3"/>
  <c r="C3946" i="3"/>
  <c r="C3945" i="3"/>
  <c r="C3944" i="3"/>
  <c r="C3943" i="3"/>
  <c r="C3941" i="3"/>
  <c r="C3940" i="3"/>
  <c r="C3939" i="3"/>
  <c r="C3938" i="3"/>
  <c r="C3936" i="3"/>
  <c r="C3935" i="3"/>
  <c r="C3934" i="3"/>
  <c r="C3933" i="3"/>
  <c r="C3932" i="3"/>
  <c r="C3931" i="3"/>
  <c r="C3930" i="3"/>
  <c r="C3929" i="3"/>
  <c r="C3927" i="3"/>
  <c r="C3926" i="3"/>
  <c r="C3924" i="3"/>
  <c r="C3922" i="3"/>
  <c r="C3921" i="3"/>
  <c r="C3920" i="3"/>
  <c r="C3919" i="3"/>
  <c r="C3918" i="3"/>
  <c r="C3917" i="3"/>
  <c r="C3916" i="3"/>
  <c r="C3915" i="3"/>
  <c r="C3914" i="3"/>
  <c r="C3913" i="3"/>
  <c r="C3912" i="3"/>
  <c r="C3911" i="3"/>
  <c r="C3910" i="3"/>
  <c r="C3909" i="3"/>
  <c r="C3908" i="3"/>
  <c r="C3907" i="3"/>
  <c r="C3906" i="3"/>
  <c r="C3905" i="3"/>
  <c r="C3904" i="3"/>
  <c r="C3903" i="3"/>
  <c r="C3902" i="3"/>
  <c r="C3901" i="3"/>
  <c r="C3899" i="3"/>
  <c r="C3898" i="3"/>
  <c r="C3896" i="3"/>
  <c r="C3894" i="3"/>
  <c r="C3892" i="3"/>
  <c r="C3891" i="3"/>
  <c r="C3890" i="3"/>
  <c r="C3889" i="3"/>
  <c r="C3888" i="3"/>
  <c r="C3887" i="3"/>
  <c r="C3884" i="3"/>
  <c r="C3883" i="3"/>
  <c r="C3882" i="3"/>
  <c r="C3880" i="3"/>
  <c r="C3879" i="3"/>
  <c r="C3878" i="3"/>
  <c r="C3877" i="3"/>
  <c r="C3876" i="3"/>
  <c r="C3875" i="3"/>
  <c r="C3874" i="3"/>
  <c r="C3873" i="3"/>
  <c r="C3871" i="3"/>
  <c r="C3870" i="3"/>
  <c r="C3868" i="3"/>
  <c r="C3867" i="3"/>
  <c r="C3866" i="3"/>
  <c r="C3865" i="3"/>
  <c r="C3863" i="3"/>
  <c r="C3862" i="3"/>
  <c r="C3861" i="3"/>
  <c r="C3860" i="3"/>
  <c r="C3859" i="3"/>
  <c r="C3858" i="3"/>
  <c r="C3857" i="3"/>
  <c r="C3856" i="3"/>
  <c r="C3855" i="3"/>
  <c r="C3854" i="3"/>
  <c r="C3853" i="3"/>
  <c r="C3852" i="3"/>
  <c r="C3851" i="3"/>
  <c r="C3848" i="3"/>
  <c r="C3847" i="3"/>
  <c r="C3846" i="3"/>
  <c r="C3845" i="3"/>
  <c r="C3844" i="3"/>
  <c r="C3843" i="3"/>
  <c r="C3842" i="3"/>
  <c r="C3841" i="3"/>
  <c r="C3840" i="3"/>
  <c r="C3839" i="3"/>
  <c r="C3838" i="3"/>
  <c r="C3837" i="3"/>
  <c r="C3836" i="3"/>
  <c r="C3835" i="3"/>
  <c r="C3834" i="3"/>
  <c r="C3832" i="3"/>
  <c r="C3831" i="3"/>
  <c r="C3829" i="3"/>
  <c r="C3828" i="3"/>
  <c r="C3827" i="3"/>
  <c r="C3826" i="3"/>
  <c r="C3825" i="3"/>
  <c r="C3824" i="3"/>
  <c r="C3823" i="3"/>
  <c r="C3822" i="3"/>
  <c r="C3821" i="3"/>
  <c r="C3820" i="3"/>
  <c r="C3818" i="3"/>
  <c r="C3817" i="3"/>
  <c r="C3816" i="3"/>
  <c r="C3815" i="3"/>
  <c r="C3813" i="3"/>
  <c r="C3811" i="3"/>
  <c r="C3810" i="3"/>
  <c r="C3809" i="3"/>
  <c r="C3808" i="3"/>
  <c r="C3806" i="3"/>
  <c r="C3805" i="3"/>
  <c r="C3804" i="3"/>
  <c r="C3803" i="3"/>
  <c r="C3802" i="3"/>
  <c r="C3801" i="3"/>
  <c r="C3800" i="3"/>
  <c r="C3799" i="3"/>
  <c r="C3798" i="3"/>
  <c r="C3796" i="3"/>
  <c r="C3795" i="3"/>
  <c r="C3794" i="3"/>
  <c r="C3793" i="3"/>
  <c r="C3792" i="3"/>
  <c r="C3791" i="3"/>
  <c r="C3790" i="3"/>
  <c r="C3789" i="3"/>
  <c r="C3788" i="3"/>
  <c r="C3787" i="3"/>
  <c r="C3786" i="3"/>
  <c r="C3785" i="3"/>
  <c r="C3784" i="3"/>
  <c r="C3783" i="3"/>
  <c r="C3782" i="3"/>
  <c r="C3780" i="3"/>
  <c r="C3779" i="3"/>
  <c r="C3778" i="3"/>
  <c r="C3777" i="3"/>
  <c r="C3776" i="3"/>
  <c r="C3775" i="3"/>
  <c r="C3774" i="3"/>
  <c r="C3773" i="3"/>
  <c r="C3772" i="3"/>
  <c r="C3771" i="3"/>
  <c r="C3770" i="3"/>
  <c r="C3769" i="3"/>
  <c r="C3768" i="3"/>
  <c r="C3767" i="3"/>
  <c r="C3766" i="3"/>
  <c r="C3765" i="3"/>
  <c r="C3764" i="3"/>
  <c r="C3763" i="3"/>
  <c r="C3762" i="3"/>
  <c r="C3761" i="3"/>
  <c r="C3760" i="3"/>
  <c r="C3759" i="3"/>
  <c r="C3758" i="3"/>
  <c r="C3757" i="3"/>
  <c r="C3756" i="3"/>
  <c r="C3755" i="3"/>
  <c r="C3754" i="3"/>
  <c r="C3753" i="3"/>
  <c r="C3752" i="3"/>
  <c r="C3751" i="3"/>
  <c r="C3750" i="3"/>
  <c r="C3749" i="3"/>
  <c r="C3748" i="3"/>
  <c r="C3747" i="3"/>
  <c r="C3746" i="3"/>
  <c r="C3745" i="3"/>
  <c r="C3744" i="3"/>
  <c r="C3743" i="3"/>
  <c r="C3742" i="3"/>
  <c r="C3741" i="3"/>
  <c r="C3740" i="3"/>
  <c r="C3739" i="3"/>
  <c r="C3738" i="3"/>
  <c r="C3737" i="3"/>
  <c r="C3736" i="3"/>
  <c r="C3734" i="3"/>
  <c r="C3733" i="3"/>
  <c r="C3732" i="3"/>
  <c r="C3731" i="3"/>
  <c r="C3730" i="3"/>
  <c r="C3729" i="3"/>
  <c r="C3728" i="3"/>
  <c r="C3727" i="3"/>
  <c r="C3726" i="3"/>
  <c r="C3725" i="3"/>
  <c r="C3723" i="3"/>
  <c r="C3722" i="3"/>
  <c r="C3721" i="3"/>
  <c r="C3720" i="3"/>
  <c r="C3719" i="3"/>
  <c r="C3718" i="3"/>
  <c r="C3717" i="3"/>
  <c r="C3716" i="3"/>
  <c r="C3715" i="3"/>
  <c r="C3713" i="3"/>
  <c r="C3712" i="3"/>
  <c r="C3711" i="3"/>
  <c r="C3710" i="3"/>
  <c r="C3709" i="3"/>
  <c r="C3708" i="3"/>
  <c r="C3707" i="3"/>
  <c r="C3706" i="3"/>
  <c r="C3705" i="3"/>
  <c r="C3704" i="3"/>
  <c r="C3703" i="3"/>
  <c r="C3702" i="3"/>
  <c r="C3701" i="3"/>
  <c r="C3700" i="3"/>
  <c r="C3699" i="3"/>
  <c r="C3698" i="3"/>
  <c r="C3695" i="3"/>
  <c r="C3694" i="3"/>
  <c r="C3693" i="3"/>
  <c r="C3692" i="3"/>
  <c r="C3691" i="3"/>
  <c r="C3690" i="3"/>
  <c r="C3689" i="3"/>
  <c r="C3688" i="3"/>
  <c r="C3687" i="3"/>
  <c r="C3686" i="3"/>
  <c r="C3685" i="3"/>
  <c r="C3684" i="3"/>
  <c r="C3683" i="3"/>
  <c r="C3682" i="3"/>
  <c r="C3681" i="3"/>
  <c r="C3680" i="3"/>
  <c r="C3679" i="3"/>
  <c r="C3678" i="3"/>
  <c r="C3677" i="3"/>
  <c r="C3676" i="3"/>
  <c r="C3675" i="3"/>
  <c r="C3674" i="3"/>
  <c r="C3673" i="3"/>
  <c r="C3672" i="3"/>
  <c r="C3671" i="3"/>
  <c r="C3670" i="3"/>
  <c r="C3669" i="3"/>
  <c r="C3668" i="3"/>
  <c r="C3667" i="3"/>
  <c r="C3666" i="3"/>
  <c r="C3664" i="3"/>
  <c r="C3663" i="3"/>
  <c r="C3662" i="3"/>
  <c r="C3661" i="3"/>
  <c r="C3660" i="3"/>
  <c r="C3659" i="3"/>
  <c r="C3658" i="3"/>
  <c r="C3657" i="3"/>
  <c r="C3656" i="3"/>
  <c r="C3655" i="3"/>
  <c r="C3654" i="3"/>
  <c r="C3653" i="3"/>
  <c r="C3652" i="3"/>
  <c r="C3651" i="3"/>
  <c r="C3650" i="3"/>
  <c r="C3649" i="3"/>
  <c r="C3648" i="3"/>
  <c r="C3647" i="3"/>
  <c r="C3646" i="3"/>
  <c r="C3645" i="3"/>
  <c r="C3644" i="3"/>
  <c r="C3643" i="3"/>
  <c r="C3642" i="3"/>
  <c r="C3641" i="3"/>
  <c r="C3640" i="3"/>
  <c r="C3639" i="3"/>
  <c r="C3638" i="3"/>
  <c r="C3637" i="3"/>
  <c r="C3636" i="3"/>
  <c r="C3635" i="3"/>
  <c r="C3634" i="3"/>
  <c r="C3633" i="3"/>
  <c r="C3632" i="3"/>
  <c r="C3631" i="3"/>
  <c r="C3630" i="3"/>
  <c r="C3629" i="3"/>
  <c r="C3628" i="3"/>
  <c r="C3627" i="3"/>
  <c r="C3626" i="3"/>
  <c r="C3625" i="3"/>
  <c r="C3624" i="3"/>
  <c r="C3623" i="3"/>
  <c r="C3622" i="3"/>
  <c r="C3621" i="3"/>
  <c r="C3620" i="3"/>
  <c r="C3619" i="3"/>
  <c r="C3618" i="3"/>
  <c r="C3617" i="3"/>
  <c r="C3616" i="3"/>
  <c r="C3615" i="3"/>
  <c r="C3614" i="3"/>
  <c r="C3613" i="3"/>
  <c r="C3612" i="3"/>
  <c r="C3611" i="3"/>
  <c r="C3610" i="3"/>
  <c r="C3609" i="3"/>
  <c r="C3608" i="3"/>
  <c r="C3607" i="3"/>
  <c r="C3606" i="3"/>
  <c r="C3604" i="3"/>
  <c r="C3603" i="3"/>
  <c r="C3602" i="3"/>
  <c r="C3601" i="3"/>
  <c r="C3600" i="3"/>
  <c r="C3599" i="3"/>
  <c r="C3598" i="3"/>
  <c r="C3597" i="3"/>
  <c r="C3595" i="3"/>
  <c r="C3594" i="3"/>
  <c r="C3593" i="3"/>
  <c r="C3592" i="3"/>
  <c r="C3591" i="3"/>
  <c r="C3590" i="3"/>
  <c r="C3589" i="3"/>
  <c r="C3588" i="3"/>
  <c r="C3587" i="3"/>
  <c r="C3586" i="3"/>
  <c r="C3585" i="3"/>
  <c r="C3584" i="3"/>
  <c r="C3583" i="3"/>
  <c r="C3582" i="3"/>
  <c r="C3581" i="3"/>
  <c r="C3580" i="3"/>
  <c r="C3579" i="3"/>
  <c r="C3578" i="3"/>
  <c r="C3577" i="3"/>
  <c r="C3576" i="3"/>
  <c r="C3575" i="3"/>
  <c r="C3574" i="3"/>
  <c r="C3573" i="3"/>
  <c r="C3572" i="3"/>
  <c r="C3571" i="3"/>
  <c r="C3570" i="3"/>
  <c r="C3569" i="3"/>
  <c r="C3568" i="3"/>
  <c r="C3567" i="3"/>
  <c r="C3566" i="3"/>
  <c r="C3565" i="3"/>
  <c r="C3564" i="3"/>
  <c r="C3563" i="3"/>
  <c r="C3562" i="3"/>
  <c r="C3561" i="3"/>
  <c r="C3560" i="3"/>
  <c r="C3559" i="3"/>
  <c r="C3558" i="3"/>
  <c r="C3557" i="3"/>
  <c r="C3556" i="3"/>
  <c r="C3555" i="3"/>
  <c r="C3554" i="3"/>
  <c r="C3553" i="3"/>
  <c r="C3552" i="3"/>
  <c r="C3551" i="3"/>
  <c r="C3550" i="3"/>
  <c r="C3549" i="3"/>
  <c r="C3548" i="3"/>
  <c r="C3547" i="3"/>
  <c r="C3546" i="3"/>
  <c r="C3545" i="3"/>
  <c r="C3544" i="3"/>
  <c r="C3543" i="3"/>
  <c r="C3542" i="3"/>
  <c r="C3541" i="3"/>
  <c r="C3540" i="3"/>
  <c r="C3539" i="3"/>
  <c r="C3538" i="3"/>
  <c r="C3537" i="3"/>
  <c r="C3536" i="3"/>
  <c r="C3535" i="3"/>
  <c r="C3533" i="3"/>
  <c r="C3532" i="3"/>
  <c r="C3531" i="3"/>
  <c r="C3530" i="3"/>
  <c r="C3529" i="3"/>
  <c r="C3528" i="3"/>
  <c r="C3527" i="3"/>
  <c r="C3526" i="3"/>
  <c r="C3525" i="3"/>
  <c r="C3524" i="3"/>
  <c r="C3523" i="3"/>
  <c r="C3522" i="3"/>
  <c r="C3521" i="3"/>
  <c r="C3520" i="3"/>
  <c r="C3519" i="3"/>
  <c r="C3518" i="3"/>
  <c r="C3516" i="3"/>
  <c r="C3515" i="3"/>
  <c r="C3514" i="3"/>
  <c r="C3513" i="3"/>
  <c r="C3512" i="3"/>
  <c r="C3511" i="3"/>
  <c r="C3510" i="3"/>
  <c r="C3509" i="3"/>
  <c r="C3508" i="3"/>
  <c r="C3507" i="3"/>
  <c r="C3506" i="3"/>
  <c r="C3505" i="3"/>
  <c r="C3504" i="3"/>
  <c r="C3502" i="3"/>
  <c r="C3501" i="3"/>
  <c r="C3499" i="3"/>
  <c r="C3498" i="3"/>
  <c r="C3497" i="3"/>
  <c r="C3496" i="3"/>
  <c r="C3495" i="3"/>
  <c r="C3494" i="3"/>
  <c r="C3493" i="3"/>
  <c r="C3492" i="3"/>
  <c r="C3491" i="3"/>
  <c r="C3490" i="3"/>
  <c r="C3489" i="3"/>
  <c r="C3487" i="3"/>
  <c r="C3486" i="3"/>
  <c r="C3485" i="3"/>
  <c r="C3484" i="3"/>
  <c r="C3483" i="3"/>
  <c r="C3482" i="3"/>
  <c r="C3481" i="3"/>
  <c r="C3480" i="3"/>
  <c r="C3479" i="3"/>
  <c r="C3478" i="3"/>
  <c r="C3477" i="3"/>
  <c r="C3476" i="3"/>
  <c r="C3475" i="3"/>
  <c r="C3474" i="3"/>
  <c r="C3473" i="3"/>
  <c r="C3472" i="3"/>
  <c r="C3471" i="3"/>
  <c r="C3470" i="3"/>
  <c r="C3469" i="3"/>
  <c r="C3468" i="3"/>
  <c r="C3467" i="3"/>
  <c r="C3466" i="3"/>
  <c r="C3465" i="3"/>
  <c r="C3464" i="3"/>
  <c r="C3462" i="3"/>
  <c r="C3461" i="3"/>
  <c r="C3460" i="3"/>
  <c r="C3459" i="3"/>
  <c r="C3458" i="3"/>
  <c r="C3457" i="3"/>
  <c r="C3456" i="3"/>
  <c r="C3455" i="3"/>
  <c r="C3454" i="3"/>
  <c r="C3453" i="3"/>
  <c r="C3452" i="3"/>
  <c r="C3451" i="3"/>
  <c r="C3449" i="3"/>
  <c r="C3448" i="3"/>
  <c r="C3447" i="3"/>
  <c r="C3446" i="3"/>
  <c r="C3445" i="3"/>
  <c r="C3444" i="3"/>
  <c r="C3442" i="3"/>
  <c r="C3441" i="3"/>
  <c r="C3440" i="3"/>
  <c r="C3439" i="3"/>
  <c r="C3438" i="3"/>
  <c r="C3437" i="3"/>
  <c r="C3436" i="3"/>
  <c r="C3435" i="3"/>
  <c r="C3434" i="3"/>
  <c r="C3433" i="3"/>
  <c r="C3432" i="3"/>
  <c r="C3431" i="3"/>
  <c r="C3430" i="3"/>
  <c r="C3429" i="3"/>
  <c r="C3428" i="3"/>
  <c r="C3427" i="3"/>
  <c r="C3426" i="3"/>
  <c r="C3425" i="3"/>
  <c r="C3424" i="3"/>
  <c r="C3423" i="3"/>
  <c r="C3422" i="3"/>
  <c r="C3421" i="3"/>
  <c r="C3420" i="3"/>
  <c r="C3419" i="3"/>
  <c r="C3418" i="3"/>
  <c r="C3417" i="3"/>
  <c r="C3416" i="3"/>
  <c r="C3415" i="3"/>
  <c r="C3414" i="3"/>
  <c r="C3413" i="3"/>
  <c r="C3412" i="3"/>
  <c r="C3411" i="3"/>
  <c r="C3410" i="3"/>
  <c r="C3408" i="3"/>
  <c r="C3407" i="3"/>
  <c r="C3406" i="3"/>
  <c r="C3405" i="3"/>
  <c r="C3404" i="3"/>
  <c r="C3403" i="3"/>
  <c r="C3402" i="3"/>
  <c r="C3401" i="3"/>
  <c r="C3400" i="3"/>
  <c r="C3399" i="3"/>
  <c r="C3398" i="3"/>
  <c r="C3397" i="3"/>
  <c r="C3396" i="3"/>
  <c r="C3395" i="3"/>
  <c r="C3394" i="3"/>
  <c r="C3392" i="3"/>
  <c r="C3391" i="3"/>
  <c r="C3390" i="3"/>
  <c r="C3389" i="3"/>
  <c r="C3388" i="3"/>
  <c r="C3387" i="3"/>
  <c r="C3386" i="3"/>
  <c r="C3385" i="3"/>
  <c r="C3384" i="3"/>
  <c r="C3383" i="3"/>
  <c r="C3382" i="3"/>
  <c r="C3381" i="3"/>
  <c r="C3380" i="3"/>
  <c r="C3379" i="3"/>
  <c r="C3378" i="3"/>
  <c r="C3377" i="3"/>
  <c r="C3376" i="3"/>
  <c r="C3375" i="3"/>
  <c r="C3374" i="3"/>
  <c r="C3373" i="3"/>
  <c r="C3372" i="3"/>
  <c r="C3371" i="3"/>
  <c r="C3370" i="3"/>
  <c r="C3369" i="3"/>
  <c r="C3368" i="3"/>
  <c r="C3367" i="3"/>
  <c r="C3366" i="3"/>
  <c r="C3365" i="3"/>
  <c r="C3364" i="3"/>
  <c r="C3363" i="3"/>
  <c r="C3362" i="3"/>
  <c r="C3360" i="3"/>
  <c r="C3359" i="3"/>
  <c r="C3358" i="3"/>
  <c r="C3357" i="3"/>
  <c r="C3356" i="3"/>
  <c r="C3355" i="3"/>
  <c r="C3354" i="3"/>
  <c r="C3353" i="3"/>
  <c r="C3352" i="3"/>
  <c r="C3351" i="3"/>
  <c r="C3349" i="3"/>
  <c r="C3348" i="3"/>
  <c r="C3347" i="3"/>
  <c r="C3346" i="3"/>
  <c r="C3345" i="3"/>
  <c r="C3344" i="3"/>
  <c r="C3343" i="3"/>
  <c r="C3342" i="3"/>
  <c r="C3341" i="3"/>
  <c r="C3340" i="3"/>
  <c r="C3338" i="3"/>
  <c r="C3337" i="3"/>
  <c r="C3336" i="3"/>
  <c r="C3335" i="3"/>
  <c r="C3334" i="3"/>
  <c r="C3333" i="3"/>
  <c r="C3332" i="3"/>
  <c r="C3330" i="3"/>
  <c r="C3329" i="3"/>
  <c r="C3328" i="3"/>
  <c r="C3327" i="3"/>
  <c r="C3326" i="3"/>
  <c r="C3325" i="3"/>
  <c r="C3324" i="3"/>
  <c r="C3323" i="3"/>
  <c r="C3321" i="3"/>
  <c r="C3320" i="3"/>
  <c r="C3319" i="3"/>
  <c r="C3318" i="3"/>
  <c r="C3317" i="3"/>
  <c r="C3315" i="3"/>
  <c r="C3314" i="3"/>
  <c r="C3313" i="3"/>
  <c r="C3312" i="3"/>
  <c r="C3310" i="3"/>
  <c r="C3309" i="3"/>
  <c r="C3308" i="3"/>
  <c r="C3307" i="3"/>
  <c r="C3306" i="3"/>
  <c r="C3305" i="3"/>
  <c r="C3304" i="3"/>
  <c r="C3303" i="3"/>
  <c r="C3302" i="3"/>
  <c r="C3299" i="3"/>
  <c r="C3297" i="3"/>
  <c r="C3296" i="3"/>
  <c r="C3295" i="3"/>
  <c r="C3294" i="3"/>
  <c r="C3293" i="3"/>
  <c r="C3292" i="3"/>
  <c r="C3291" i="3"/>
  <c r="C3290" i="3"/>
  <c r="C3289" i="3"/>
  <c r="C3288" i="3"/>
  <c r="C3286" i="3"/>
  <c r="C3285" i="3"/>
  <c r="C3284" i="3"/>
  <c r="C3283" i="3"/>
  <c r="C3282" i="3"/>
  <c r="C3280" i="3"/>
  <c r="C3279" i="3"/>
  <c r="C3278" i="3"/>
  <c r="C3277" i="3"/>
  <c r="C3276" i="3"/>
  <c r="C3275" i="3"/>
  <c r="C3272" i="3"/>
  <c r="C3271" i="3"/>
  <c r="C3270" i="3"/>
  <c r="C3269" i="3"/>
  <c r="C3268" i="3"/>
  <c r="C3267" i="3"/>
  <c r="C3266" i="3"/>
  <c r="C3265" i="3"/>
  <c r="C3264" i="3"/>
  <c r="C3263" i="3"/>
  <c r="C3262" i="3"/>
  <c r="C3261" i="3"/>
  <c r="C3260" i="3"/>
  <c r="C3259" i="3"/>
  <c r="C3258" i="3"/>
  <c r="C3257" i="3"/>
  <c r="C3256" i="3"/>
  <c r="C3255" i="3"/>
  <c r="C3254" i="3"/>
  <c r="C3253" i="3"/>
  <c r="C3252" i="3"/>
  <c r="C3251" i="3"/>
  <c r="C3250" i="3"/>
  <c r="C3249" i="3"/>
  <c r="C3248" i="3"/>
  <c r="C3246" i="3"/>
  <c r="C3245" i="3"/>
  <c r="C3244" i="3"/>
  <c r="C3243" i="3"/>
  <c r="C3242" i="3"/>
  <c r="C3241" i="3"/>
  <c r="C3240" i="3"/>
  <c r="C3239" i="3"/>
  <c r="C3238" i="3"/>
  <c r="C3237" i="3"/>
  <c r="C3236" i="3"/>
  <c r="C3235" i="3"/>
  <c r="C3234" i="3"/>
  <c r="C3233" i="3"/>
  <c r="C3232" i="3"/>
  <c r="C3231" i="3"/>
  <c r="C3230" i="3"/>
  <c r="C3229" i="3"/>
  <c r="C3228" i="3"/>
  <c r="C3227" i="3"/>
  <c r="C3225" i="3"/>
  <c r="C3224" i="3"/>
  <c r="C3223" i="3"/>
  <c r="C3221" i="3"/>
  <c r="C3220" i="3"/>
  <c r="C3219" i="3"/>
  <c r="C3218" i="3"/>
  <c r="C3217" i="3"/>
  <c r="C3216" i="3"/>
  <c r="C3215" i="3"/>
  <c r="C3214" i="3"/>
  <c r="C3213" i="3"/>
  <c r="C3212" i="3"/>
  <c r="C3211" i="3"/>
  <c r="C3210" i="3"/>
  <c r="C3209" i="3"/>
  <c r="C3208" i="3"/>
  <c r="C3207" i="3"/>
  <c r="C3206" i="3"/>
  <c r="C3205" i="3"/>
  <c r="C3204" i="3"/>
  <c r="C3203" i="3"/>
  <c r="C3202" i="3"/>
  <c r="C3201" i="3"/>
  <c r="C3200" i="3"/>
  <c r="C3199" i="3"/>
  <c r="C3198" i="3"/>
  <c r="C3197" i="3"/>
  <c r="C3196" i="3"/>
  <c r="C3195" i="3"/>
  <c r="C3194" i="3"/>
  <c r="C3193" i="3"/>
  <c r="C3192" i="3"/>
  <c r="C3191" i="3"/>
  <c r="C3190" i="3"/>
  <c r="C3189" i="3"/>
  <c r="C3188" i="3"/>
  <c r="C3187" i="3"/>
  <c r="C3186" i="3"/>
  <c r="C3185" i="3"/>
  <c r="C3184" i="3"/>
  <c r="C3183" i="3"/>
  <c r="C3182" i="3"/>
  <c r="C3181" i="3"/>
  <c r="C3180" i="3"/>
  <c r="C3179" i="3"/>
  <c r="C3177" i="3"/>
  <c r="C3176" i="3"/>
  <c r="C3175" i="3"/>
  <c r="C3174" i="3"/>
  <c r="C3172" i="3"/>
  <c r="C3171" i="3"/>
  <c r="C3170" i="3"/>
  <c r="C3169" i="3"/>
  <c r="C3168" i="3"/>
  <c r="C3167" i="3"/>
  <c r="C3166" i="3"/>
  <c r="C3165" i="3"/>
  <c r="C3164" i="3"/>
  <c r="C3163" i="3"/>
  <c r="C3162" i="3"/>
  <c r="C3161" i="3"/>
  <c r="C3160" i="3"/>
  <c r="C3159" i="3"/>
  <c r="C3158" i="3"/>
  <c r="C3157" i="3"/>
  <c r="C3156" i="3"/>
  <c r="C3155" i="3"/>
  <c r="C3154" i="3"/>
  <c r="C3153" i="3"/>
  <c r="C3152" i="3"/>
  <c r="C3151" i="3"/>
  <c r="C3150" i="3"/>
  <c r="C3147" i="3"/>
  <c r="C3146" i="3"/>
  <c r="C3145" i="3"/>
  <c r="C3144" i="3"/>
  <c r="C3142" i="3"/>
  <c r="C3141" i="3"/>
  <c r="C3140" i="3"/>
  <c r="C3139" i="3"/>
  <c r="C3138" i="3"/>
  <c r="C3137" i="3"/>
  <c r="C3136" i="3"/>
  <c r="C3135" i="3"/>
  <c r="C3134" i="3"/>
  <c r="C3133" i="3"/>
  <c r="C3132" i="3"/>
  <c r="C3131" i="3"/>
  <c r="C3130" i="3"/>
  <c r="C3129" i="3"/>
  <c r="C3128" i="3"/>
  <c r="C3127" i="3"/>
  <c r="C3126" i="3"/>
  <c r="C3125" i="3"/>
  <c r="C3124" i="3"/>
  <c r="C3123" i="3"/>
  <c r="C3122" i="3"/>
  <c r="C3121" i="3"/>
  <c r="C3120" i="3"/>
  <c r="C3119" i="3"/>
  <c r="C3118" i="3"/>
  <c r="C3117" i="3"/>
  <c r="C3116" i="3"/>
  <c r="C3115" i="3"/>
  <c r="C3114" i="3"/>
  <c r="C3113" i="3"/>
  <c r="C3112" i="3"/>
  <c r="C3110" i="3"/>
  <c r="C3109" i="3"/>
  <c r="C3108" i="3"/>
  <c r="C3107" i="3"/>
  <c r="C3106" i="3"/>
  <c r="C3105" i="3"/>
  <c r="C3104" i="3"/>
  <c r="C3103" i="3"/>
  <c r="C3102" i="3"/>
  <c r="C3101" i="3"/>
  <c r="C3100" i="3"/>
  <c r="C3099" i="3"/>
  <c r="C3098" i="3"/>
  <c r="C3097" i="3"/>
  <c r="C3096" i="3"/>
  <c r="C3095" i="3"/>
  <c r="C3094" i="3"/>
  <c r="C3093" i="3"/>
  <c r="C3092" i="3"/>
  <c r="C3091" i="3"/>
  <c r="C3090" i="3"/>
  <c r="C3089" i="3"/>
  <c r="C3088" i="3"/>
  <c r="C3087" i="3"/>
  <c r="C3085" i="3"/>
  <c r="C3084" i="3"/>
  <c r="C3083" i="3"/>
  <c r="C3082" i="3"/>
  <c r="C3081" i="3"/>
  <c r="C3080" i="3"/>
  <c r="C3079" i="3"/>
  <c r="C3078" i="3"/>
  <c r="C3077" i="3"/>
  <c r="C3076" i="3"/>
  <c r="C3074" i="3"/>
  <c r="C3072" i="3"/>
  <c r="C3071" i="3"/>
  <c r="C3069" i="3"/>
  <c r="C3067" i="3"/>
  <c r="C3066" i="3"/>
  <c r="C3065" i="3"/>
  <c r="C3064" i="3"/>
  <c r="C3063" i="3"/>
  <c r="C3062" i="3"/>
  <c r="C3061" i="3"/>
  <c r="C3060" i="3"/>
  <c r="C3059" i="3"/>
  <c r="C3057" i="3"/>
  <c r="C3056" i="3"/>
  <c r="C3055" i="3"/>
  <c r="C3054" i="3"/>
  <c r="C3053" i="3"/>
  <c r="C3052" i="3"/>
  <c r="C3051" i="3"/>
  <c r="C3050" i="3"/>
  <c r="C3049" i="3"/>
  <c r="C3048" i="3"/>
  <c r="C3046" i="3"/>
  <c r="C3045" i="3"/>
  <c r="C3042" i="3"/>
  <c r="C3041" i="3"/>
  <c r="C3040" i="3"/>
  <c r="C3039" i="3"/>
  <c r="C3038" i="3"/>
  <c r="C3037" i="3"/>
  <c r="C3036" i="3"/>
  <c r="C3035" i="3"/>
  <c r="C3034" i="3"/>
  <c r="C3033" i="3"/>
  <c r="C3032" i="3"/>
  <c r="C3031" i="3"/>
  <c r="C3030" i="3"/>
  <c r="C3029" i="3"/>
  <c r="C3028" i="3"/>
  <c r="C3027" i="3"/>
  <c r="C3026" i="3"/>
  <c r="C3025" i="3"/>
  <c r="C3024" i="3"/>
  <c r="C3023" i="3"/>
  <c r="C3022" i="3"/>
  <c r="C3021" i="3"/>
  <c r="C3020" i="3"/>
  <c r="C3019" i="3"/>
  <c r="C3018" i="3"/>
  <c r="C3016" i="3"/>
  <c r="C3015" i="3"/>
  <c r="C3014" i="3"/>
  <c r="C3013" i="3"/>
  <c r="C3012" i="3"/>
  <c r="C3011" i="3"/>
  <c r="C3010" i="3"/>
  <c r="C3009" i="3"/>
  <c r="C3008" i="3"/>
  <c r="C3007" i="3"/>
  <c r="C3006" i="3"/>
  <c r="C3005" i="3"/>
  <c r="C3004" i="3"/>
  <c r="C3003" i="3"/>
  <c r="C3002" i="3"/>
  <c r="C3001" i="3"/>
  <c r="C3000" i="3"/>
  <c r="C2999" i="3"/>
  <c r="C2998" i="3"/>
  <c r="C2997" i="3"/>
  <c r="C2996" i="3"/>
  <c r="C2995" i="3"/>
  <c r="C2994" i="3"/>
  <c r="C2993" i="3"/>
  <c r="C2992" i="3"/>
  <c r="C2991" i="3"/>
  <c r="C2990" i="3"/>
  <c r="C2989" i="3"/>
  <c r="C2988" i="3"/>
  <c r="C2987" i="3"/>
  <c r="C2986" i="3"/>
  <c r="C2985" i="3"/>
  <c r="C2984" i="3"/>
  <c r="C2983" i="3"/>
  <c r="C2982" i="3"/>
  <c r="C2981" i="3"/>
  <c r="C2980" i="3"/>
  <c r="C2979" i="3"/>
  <c r="C2978" i="3"/>
  <c r="C2977" i="3"/>
  <c r="C2976" i="3"/>
  <c r="C2975" i="3"/>
  <c r="C2974" i="3"/>
  <c r="C2973" i="3"/>
  <c r="C2972" i="3"/>
  <c r="C2971" i="3"/>
  <c r="C2970" i="3"/>
  <c r="C2969" i="3"/>
  <c r="C2968" i="3"/>
  <c r="C2967" i="3"/>
  <c r="C2966" i="3"/>
  <c r="C2965" i="3"/>
  <c r="C2964" i="3"/>
  <c r="C2963" i="3"/>
  <c r="C2961" i="3"/>
  <c r="C2960" i="3"/>
  <c r="C2959" i="3"/>
  <c r="C2958" i="3"/>
  <c r="C2957" i="3"/>
  <c r="C2956" i="3"/>
  <c r="C2955" i="3"/>
  <c r="C2954" i="3"/>
  <c r="C2952" i="3"/>
  <c r="C2951" i="3"/>
  <c r="C2950" i="3"/>
  <c r="C2949" i="3"/>
  <c r="C2947" i="3"/>
  <c r="C2946" i="3"/>
  <c r="C2945" i="3"/>
  <c r="C2944" i="3"/>
  <c r="C2943" i="3"/>
  <c r="C2942" i="3"/>
  <c r="C2941" i="3"/>
  <c r="C2940" i="3"/>
  <c r="C2939" i="3"/>
  <c r="C2937" i="3"/>
  <c r="C2936" i="3"/>
  <c r="C2935" i="3"/>
  <c r="C2934" i="3"/>
  <c r="C2933" i="3"/>
  <c r="C2932" i="3"/>
  <c r="C2931" i="3"/>
  <c r="C2930" i="3"/>
  <c r="C2927" i="3"/>
  <c r="C2926" i="3"/>
  <c r="C2924" i="3"/>
  <c r="C2923" i="3"/>
  <c r="C2922" i="3"/>
  <c r="C2921" i="3"/>
  <c r="C2920" i="3"/>
  <c r="C2919" i="3"/>
  <c r="C2917" i="3"/>
  <c r="C2916" i="3"/>
  <c r="C2915" i="3"/>
  <c r="C2914" i="3"/>
  <c r="C2912" i="3"/>
  <c r="C2911" i="3"/>
  <c r="C2910" i="3"/>
  <c r="C2909" i="3"/>
  <c r="C2908" i="3"/>
  <c r="C2907" i="3"/>
  <c r="C2906" i="3"/>
  <c r="C2905" i="3"/>
  <c r="C2904" i="3"/>
  <c r="C2903" i="3"/>
  <c r="C2902" i="3"/>
  <c r="C2901" i="3"/>
  <c r="C2900" i="3"/>
  <c r="C2899" i="3"/>
  <c r="C2898" i="3"/>
  <c r="C2897" i="3"/>
  <c r="C2896" i="3"/>
  <c r="C2895" i="3"/>
  <c r="C2894" i="3"/>
  <c r="C2893" i="3"/>
  <c r="C2892" i="3"/>
  <c r="C2891" i="3"/>
  <c r="C2890" i="3"/>
  <c r="C2889" i="3"/>
  <c r="C2888" i="3"/>
  <c r="C2887" i="3"/>
  <c r="C2886" i="3"/>
  <c r="C2885" i="3"/>
  <c r="C2884" i="3"/>
  <c r="C2883" i="3"/>
  <c r="C2882" i="3"/>
  <c r="C2881" i="3"/>
  <c r="C2880" i="3"/>
  <c r="C2879" i="3"/>
  <c r="C2878" i="3"/>
  <c r="C2877" i="3"/>
  <c r="C2876" i="3"/>
  <c r="C2875" i="3"/>
  <c r="C2874" i="3"/>
  <c r="C2873" i="3"/>
  <c r="C2872" i="3"/>
  <c r="C2871" i="3"/>
  <c r="C2870" i="3"/>
  <c r="C2869" i="3"/>
  <c r="C2868" i="3"/>
  <c r="C2867" i="3"/>
  <c r="C2865" i="3"/>
  <c r="C2864" i="3"/>
  <c r="C2863" i="3"/>
  <c r="C2862" i="3"/>
  <c r="C2861" i="3"/>
  <c r="C2860" i="3"/>
  <c r="C2859" i="3"/>
  <c r="C2858" i="3"/>
  <c r="C2857" i="3"/>
  <c r="C2856" i="3"/>
  <c r="C2854" i="3"/>
  <c r="C2853" i="3"/>
  <c r="C2852" i="3"/>
  <c r="C2851" i="3"/>
  <c r="C2850" i="3"/>
  <c r="C2849" i="3"/>
  <c r="C2848" i="3"/>
  <c r="C2847" i="3"/>
  <c r="C2845" i="3"/>
  <c r="C2844" i="3"/>
  <c r="C2843" i="3"/>
  <c r="C2842" i="3"/>
  <c r="C2841" i="3"/>
  <c r="C2840" i="3"/>
  <c r="C2839" i="3"/>
  <c r="C2838" i="3"/>
  <c r="C2837" i="3"/>
  <c r="C2836" i="3"/>
  <c r="C2835" i="3"/>
  <c r="C2834" i="3"/>
  <c r="C2833" i="3"/>
  <c r="C2832" i="3"/>
  <c r="C2831" i="3"/>
  <c r="C2829" i="3"/>
  <c r="C2828" i="3"/>
  <c r="C2827" i="3"/>
  <c r="C2826" i="3"/>
  <c r="C2825" i="3"/>
  <c r="C2824" i="3"/>
  <c r="C2823" i="3"/>
  <c r="C2822" i="3"/>
  <c r="C2821" i="3"/>
  <c r="C2820" i="3"/>
  <c r="C2819" i="3"/>
  <c r="C2818" i="3"/>
  <c r="C2817" i="3"/>
  <c r="C2816" i="3"/>
  <c r="C2815" i="3"/>
  <c r="C2814" i="3"/>
  <c r="C2813" i="3"/>
  <c r="C2812" i="3"/>
  <c r="C2811" i="3"/>
  <c r="C2809" i="3"/>
  <c r="C2808" i="3"/>
  <c r="C2807" i="3"/>
  <c r="C2806" i="3"/>
  <c r="C2805" i="3"/>
  <c r="C2804" i="3"/>
  <c r="C2803" i="3"/>
  <c r="C2802" i="3"/>
  <c r="C2801" i="3"/>
  <c r="C2800" i="3"/>
  <c r="C2799" i="3"/>
  <c r="C2798" i="3"/>
  <c r="C2797" i="3"/>
  <c r="C2796" i="3"/>
  <c r="C2795" i="3"/>
  <c r="C2794" i="3"/>
  <c r="C2793" i="3"/>
  <c r="C2792" i="3"/>
  <c r="C2791" i="3"/>
  <c r="C2790" i="3"/>
  <c r="C2789" i="3"/>
  <c r="C2787" i="3"/>
  <c r="C2786" i="3"/>
  <c r="C2785" i="3"/>
  <c r="C2784" i="3"/>
  <c r="C2783" i="3"/>
  <c r="C2782" i="3"/>
  <c r="C2781" i="3"/>
  <c r="C2780" i="3"/>
  <c r="C2779" i="3"/>
  <c r="C2778" i="3"/>
  <c r="C2777" i="3"/>
  <c r="C2775" i="3"/>
  <c r="C2774" i="3"/>
  <c r="C2773" i="3"/>
  <c r="C2772" i="3"/>
  <c r="C2771" i="3"/>
  <c r="C2770" i="3"/>
  <c r="C2769" i="3"/>
  <c r="C2768" i="3"/>
  <c r="C2767" i="3"/>
  <c r="C2766" i="3"/>
  <c r="C2765" i="3"/>
  <c r="C2764" i="3"/>
  <c r="C2763" i="3"/>
  <c r="C2762" i="3"/>
  <c r="C2761" i="3"/>
  <c r="C2760" i="3"/>
  <c r="C2759" i="3"/>
  <c r="C2758" i="3"/>
  <c r="C2757" i="3"/>
  <c r="C2756" i="3"/>
  <c r="C2755" i="3"/>
  <c r="C2754" i="3"/>
  <c r="C2752" i="3"/>
  <c r="C2751" i="3"/>
  <c r="C2750" i="3"/>
  <c r="C2749" i="3"/>
  <c r="C2748" i="3"/>
  <c r="C2747" i="3"/>
  <c r="C2746" i="3"/>
  <c r="C2744" i="3"/>
  <c r="C2743" i="3"/>
  <c r="C2742" i="3"/>
  <c r="C2741" i="3"/>
  <c r="C2740" i="3"/>
  <c r="C2739" i="3"/>
  <c r="C2738" i="3"/>
  <c r="C2737" i="3"/>
  <c r="C2736" i="3"/>
  <c r="C2735" i="3"/>
  <c r="C2734" i="3"/>
  <c r="C2733" i="3"/>
  <c r="C2732" i="3"/>
  <c r="C2731" i="3"/>
  <c r="C2730" i="3"/>
  <c r="C2729" i="3"/>
  <c r="C2728" i="3"/>
  <c r="C2726" i="3"/>
  <c r="C2725" i="3"/>
  <c r="C2724" i="3"/>
  <c r="C2723" i="3"/>
  <c r="C2722" i="3"/>
  <c r="C2719" i="3"/>
  <c r="C2718" i="3"/>
  <c r="C2717" i="3"/>
  <c r="C2716" i="3"/>
  <c r="C2715" i="3"/>
  <c r="C2714" i="3"/>
  <c r="C2713" i="3"/>
  <c r="C2712" i="3"/>
  <c r="C2711" i="3"/>
  <c r="C2710" i="3"/>
  <c r="C2709" i="3"/>
  <c r="C2708" i="3"/>
  <c r="C2707" i="3"/>
  <c r="C2706" i="3"/>
  <c r="C2705" i="3"/>
  <c r="C2704" i="3"/>
  <c r="C2703" i="3"/>
  <c r="C2702" i="3"/>
  <c r="C2700" i="3"/>
  <c r="C2699" i="3"/>
  <c r="C2697" i="3"/>
  <c r="C2696" i="3"/>
  <c r="C2694" i="3"/>
  <c r="C2693" i="3"/>
  <c r="C2692" i="3"/>
  <c r="C2691" i="3"/>
  <c r="C2690" i="3"/>
  <c r="C2688" i="3"/>
  <c r="C2687" i="3"/>
  <c r="C2686" i="3"/>
  <c r="C2685" i="3"/>
  <c r="C2684" i="3"/>
  <c r="C2683" i="3"/>
  <c r="C2682" i="3"/>
  <c r="C2681" i="3"/>
  <c r="C2680" i="3"/>
  <c r="C2679" i="3"/>
  <c r="C2678" i="3"/>
  <c r="C2677" i="3"/>
  <c r="C2676" i="3"/>
  <c r="C2674" i="3"/>
  <c r="C2673" i="3"/>
  <c r="C2672" i="3"/>
  <c r="C2671" i="3"/>
  <c r="C2670" i="3"/>
  <c r="C2669" i="3"/>
  <c r="C2668" i="3"/>
  <c r="C2667" i="3"/>
  <c r="C2666" i="3"/>
  <c r="C2665" i="3"/>
  <c r="C2664" i="3"/>
  <c r="C2663" i="3"/>
  <c r="C2662" i="3"/>
  <c r="C2661" i="3"/>
  <c r="C2660" i="3"/>
  <c r="C2658" i="3"/>
  <c r="C2657" i="3"/>
  <c r="C2656" i="3"/>
  <c r="C2654" i="3"/>
  <c r="C2653" i="3"/>
  <c r="C2652" i="3"/>
  <c r="C2651" i="3"/>
  <c r="C2650" i="3"/>
  <c r="C2649" i="3"/>
  <c r="C2648" i="3"/>
  <c r="C2647" i="3"/>
  <c r="C2646" i="3"/>
  <c r="C2645" i="3"/>
  <c r="C2644" i="3"/>
  <c r="C2642" i="3"/>
  <c r="C2641" i="3"/>
  <c r="C2640" i="3"/>
  <c r="C2639" i="3"/>
  <c r="C2638" i="3"/>
  <c r="C2637" i="3"/>
  <c r="C2636" i="3"/>
  <c r="C2635" i="3"/>
  <c r="C2634" i="3"/>
  <c r="C2633" i="3"/>
  <c r="C2632" i="3"/>
  <c r="C2631" i="3"/>
  <c r="C2630" i="3"/>
  <c r="C2629" i="3"/>
  <c r="C2627" i="3"/>
  <c r="C2626" i="3"/>
  <c r="C2625" i="3"/>
  <c r="C2624" i="3"/>
  <c r="C2623" i="3"/>
  <c r="C2622" i="3"/>
  <c r="C2621" i="3"/>
  <c r="C2620" i="3"/>
  <c r="C2619" i="3"/>
  <c r="C2618" i="3"/>
  <c r="C2617" i="3"/>
  <c r="C2616" i="3"/>
  <c r="C2615" i="3"/>
  <c r="C2614" i="3"/>
  <c r="C2613" i="3"/>
  <c r="C2611" i="3"/>
  <c r="C2610" i="3"/>
  <c r="C2609" i="3"/>
  <c r="C2608" i="3"/>
  <c r="C2607" i="3"/>
  <c r="C2606" i="3"/>
  <c r="C2605" i="3"/>
  <c r="C2604" i="3"/>
  <c r="C2603" i="3"/>
  <c r="C2602" i="3"/>
  <c r="C2601" i="3"/>
  <c r="C2600" i="3"/>
  <c r="C2599" i="3"/>
  <c r="C2598" i="3"/>
  <c r="C2597" i="3"/>
  <c r="C2596" i="3"/>
  <c r="C2594" i="3"/>
  <c r="C2593" i="3"/>
  <c r="C2592" i="3"/>
  <c r="C2591" i="3"/>
  <c r="C2588" i="3"/>
  <c r="C2586" i="3"/>
  <c r="C2585" i="3"/>
  <c r="C2584" i="3"/>
  <c r="C2583" i="3"/>
  <c r="C2582" i="3"/>
  <c r="C2580" i="3"/>
  <c r="C2579" i="3"/>
  <c r="C2578" i="3"/>
  <c r="C2577" i="3"/>
  <c r="C2576" i="3"/>
  <c r="C2574" i="3"/>
  <c r="C2573" i="3"/>
  <c r="C2572" i="3"/>
  <c r="C2571" i="3"/>
  <c r="C2570" i="3"/>
  <c r="C2569" i="3"/>
  <c r="C2568" i="3"/>
  <c r="C2567" i="3"/>
  <c r="C2566" i="3"/>
  <c r="C2565" i="3"/>
  <c r="C2564" i="3"/>
  <c r="C2563" i="3"/>
  <c r="C2562" i="3"/>
  <c r="C2561" i="3"/>
  <c r="C2560" i="3"/>
  <c r="C2558" i="3"/>
  <c r="C2557" i="3"/>
  <c r="C2555" i="3"/>
  <c r="C2554" i="3"/>
  <c r="C2553" i="3"/>
  <c r="C2551" i="3"/>
  <c r="C2550" i="3"/>
  <c r="C2549" i="3"/>
  <c r="C2548" i="3"/>
  <c r="C2547" i="3"/>
  <c r="C2546" i="3"/>
  <c r="C2545" i="3"/>
  <c r="C2543" i="3"/>
  <c r="C2541" i="3"/>
  <c r="C2540" i="3"/>
  <c r="C2538" i="3"/>
  <c r="C2537" i="3"/>
  <c r="C2535" i="3"/>
  <c r="C2534" i="3"/>
  <c r="C2533" i="3"/>
  <c r="C2532" i="3"/>
  <c r="C2531" i="3"/>
  <c r="C2530" i="3"/>
  <c r="C2529" i="3"/>
  <c r="C2528" i="3"/>
  <c r="C2527" i="3"/>
  <c r="C2526" i="3"/>
  <c r="C2525" i="3"/>
  <c r="C2524" i="3"/>
  <c r="C2522" i="3"/>
  <c r="C2521" i="3"/>
  <c r="C2520" i="3"/>
  <c r="C2519" i="3"/>
  <c r="C2518" i="3"/>
  <c r="C2517" i="3"/>
  <c r="C2516" i="3"/>
  <c r="C2515" i="3"/>
  <c r="C2514" i="3"/>
  <c r="C2513" i="3"/>
  <c r="C2512" i="3"/>
  <c r="C2511" i="3"/>
  <c r="C2510" i="3"/>
  <c r="C2509" i="3"/>
  <c r="C2508" i="3"/>
  <c r="C2507" i="3"/>
  <c r="C2506" i="3"/>
  <c r="C2504" i="3"/>
  <c r="C2503" i="3"/>
  <c r="C2502" i="3"/>
  <c r="C2501" i="3"/>
  <c r="C2500" i="3"/>
  <c r="C2499" i="3"/>
  <c r="C2498" i="3"/>
  <c r="C2497" i="3"/>
  <c r="C2496" i="3"/>
  <c r="C2495" i="3"/>
  <c r="C2494" i="3"/>
  <c r="C2493" i="3"/>
  <c r="C2492" i="3"/>
  <c r="C2490" i="3"/>
  <c r="C2489" i="3"/>
  <c r="C2488" i="3"/>
  <c r="C2487" i="3"/>
  <c r="C2486" i="3"/>
  <c r="C2485" i="3"/>
  <c r="C2484" i="3"/>
  <c r="C2483" i="3"/>
  <c r="C2482" i="3"/>
  <c r="C2481" i="3"/>
  <c r="C2480" i="3"/>
  <c r="C2478" i="3"/>
  <c r="C2477" i="3"/>
  <c r="C2476" i="3"/>
  <c r="C2475" i="3"/>
  <c r="C2474" i="3"/>
  <c r="C2473" i="3"/>
  <c r="C2472" i="3"/>
  <c r="C2471" i="3"/>
  <c r="C2469" i="3"/>
  <c r="C2468" i="3"/>
  <c r="C2467" i="3"/>
  <c r="C2466" i="3"/>
  <c r="C2465" i="3"/>
  <c r="C2464" i="3"/>
  <c r="C2463" i="3"/>
  <c r="C2462" i="3"/>
  <c r="C2461" i="3"/>
  <c r="C2460" i="3"/>
  <c r="C2459" i="3"/>
  <c r="C2458" i="3"/>
  <c r="C2457" i="3"/>
  <c r="C2456" i="3"/>
  <c r="C2455" i="3"/>
  <c r="C2454" i="3"/>
  <c r="C2453" i="3"/>
  <c r="C2451" i="3"/>
  <c r="C2450" i="3"/>
  <c r="C2449" i="3"/>
  <c r="C2448" i="3"/>
  <c r="C2447" i="3"/>
  <c r="C2446" i="3"/>
  <c r="C2445" i="3"/>
  <c r="C2443" i="3"/>
  <c r="C2442" i="3"/>
  <c r="C2440" i="3"/>
  <c r="C2439" i="3"/>
  <c r="C2438" i="3"/>
  <c r="C2437" i="3"/>
  <c r="C2436" i="3"/>
  <c r="C2435" i="3"/>
  <c r="C2434" i="3"/>
  <c r="C2433" i="3"/>
  <c r="C2432" i="3"/>
  <c r="C2431" i="3"/>
  <c r="C2430" i="3"/>
  <c r="C2428" i="3"/>
  <c r="C2427" i="3"/>
  <c r="C2426" i="3"/>
  <c r="C2425" i="3"/>
  <c r="C2424" i="3"/>
  <c r="C2423" i="3"/>
  <c r="C2422" i="3"/>
  <c r="C2421" i="3"/>
  <c r="C2420" i="3"/>
  <c r="C2419" i="3"/>
  <c r="C2418" i="3"/>
  <c r="C2417" i="3"/>
  <c r="C2416" i="3"/>
  <c r="C2415" i="3"/>
  <c r="C2414" i="3"/>
  <c r="C2413" i="3"/>
  <c r="C2412" i="3"/>
  <c r="C2411" i="3"/>
  <c r="C2409" i="3"/>
  <c r="C2408" i="3"/>
  <c r="C2407" i="3"/>
  <c r="C2406" i="3"/>
  <c r="C2405" i="3"/>
  <c r="C2404" i="3"/>
  <c r="C2403" i="3"/>
  <c r="C2402" i="3"/>
  <c r="C2401" i="3"/>
  <c r="C2400" i="3"/>
  <c r="C2399" i="3"/>
  <c r="C2398" i="3"/>
  <c r="C2397" i="3"/>
  <c r="C2396" i="3"/>
  <c r="C2395" i="3"/>
  <c r="C2394" i="3"/>
  <c r="C2391" i="3"/>
  <c r="C2390" i="3"/>
  <c r="C2389" i="3"/>
  <c r="C2388" i="3"/>
  <c r="C2387" i="3"/>
  <c r="C2386" i="3"/>
  <c r="C2385" i="3"/>
  <c r="C2384" i="3"/>
  <c r="C2383" i="3"/>
  <c r="C2382" i="3"/>
  <c r="C2381" i="3"/>
  <c r="C2380" i="3"/>
  <c r="C2379" i="3"/>
  <c r="C2378" i="3"/>
  <c r="C2377" i="3"/>
  <c r="C2376" i="3"/>
  <c r="C2375" i="3"/>
  <c r="C2374" i="3"/>
  <c r="C2373" i="3"/>
  <c r="C2372" i="3"/>
  <c r="C2371" i="3"/>
  <c r="C2370" i="3"/>
  <c r="C2369" i="3"/>
  <c r="C2367" i="3"/>
  <c r="C2366" i="3"/>
  <c r="C2365" i="3"/>
  <c r="C2364" i="3"/>
  <c r="C2363" i="3"/>
  <c r="C2362" i="3"/>
  <c r="C2361" i="3"/>
  <c r="C2360" i="3"/>
  <c r="C2359" i="3"/>
  <c r="C2358" i="3"/>
  <c r="C2357" i="3"/>
  <c r="C2356" i="3"/>
  <c r="C2355" i="3"/>
  <c r="C2354" i="3"/>
  <c r="C2353" i="3"/>
  <c r="C2352" i="3"/>
  <c r="C2350" i="3"/>
  <c r="C2349" i="3"/>
  <c r="C2348" i="3"/>
  <c r="C2347" i="3"/>
  <c r="C2346" i="3"/>
  <c r="C2345" i="3"/>
  <c r="C2344" i="3"/>
  <c r="C2343" i="3"/>
  <c r="C2342" i="3"/>
  <c r="C2341" i="3"/>
  <c r="C2340" i="3"/>
  <c r="C2339" i="3"/>
  <c r="C2338" i="3"/>
  <c r="C2337" i="3"/>
  <c r="C2336" i="3"/>
  <c r="C2335" i="3"/>
  <c r="C2333" i="3"/>
  <c r="C2332" i="3"/>
  <c r="C2331" i="3"/>
  <c r="C2330" i="3"/>
  <c r="C2329" i="3"/>
  <c r="C2328" i="3"/>
  <c r="C2327" i="3"/>
  <c r="C2325" i="3"/>
  <c r="C2324" i="3"/>
  <c r="C2323" i="3"/>
  <c r="C2322" i="3"/>
  <c r="C2321" i="3"/>
  <c r="C2320" i="3"/>
  <c r="C2319" i="3"/>
  <c r="C2318" i="3"/>
  <c r="C2317" i="3"/>
  <c r="C2316" i="3"/>
  <c r="C2315" i="3"/>
  <c r="C2314" i="3"/>
  <c r="C2313" i="3"/>
  <c r="C2312" i="3"/>
  <c r="C2311" i="3"/>
  <c r="C2309" i="3"/>
  <c r="C2308" i="3"/>
  <c r="C2307" i="3"/>
  <c r="C2306" i="3"/>
  <c r="C2305" i="3"/>
  <c r="C2304" i="3"/>
  <c r="C2303" i="3"/>
  <c r="C2302" i="3"/>
  <c r="C2301" i="3"/>
  <c r="C2300" i="3"/>
  <c r="C2299" i="3"/>
  <c r="C2298" i="3"/>
  <c r="C2296" i="3"/>
  <c r="C2295" i="3"/>
  <c r="C2294" i="3"/>
  <c r="C2293" i="3"/>
  <c r="C2292" i="3"/>
  <c r="C2291" i="3"/>
  <c r="C2290" i="3"/>
  <c r="C2288" i="3"/>
  <c r="C2287" i="3"/>
  <c r="C2286" i="3"/>
  <c r="C2285" i="3"/>
  <c r="C2284" i="3"/>
  <c r="C2283" i="3"/>
  <c r="C2281" i="3"/>
  <c r="C2280" i="3"/>
  <c r="C2279" i="3"/>
  <c r="C2278" i="3"/>
  <c r="C2277" i="3"/>
  <c r="C2276" i="3"/>
  <c r="C2275" i="3"/>
  <c r="C2274" i="3"/>
  <c r="C2273" i="3"/>
  <c r="C2271" i="3"/>
  <c r="C2270" i="3"/>
  <c r="C2269" i="3"/>
  <c r="C2268" i="3"/>
  <c r="C2267" i="3"/>
  <c r="C2266" i="3"/>
  <c r="C2265" i="3"/>
  <c r="C2264" i="3"/>
  <c r="C2263" i="3"/>
  <c r="C2262" i="3"/>
  <c r="C2261" i="3"/>
  <c r="C2260" i="3"/>
  <c r="C2259" i="3"/>
  <c r="C2258" i="3"/>
  <c r="C2257" i="3"/>
  <c r="C2256" i="3"/>
  <c r="C2255" i="3"/>
  <c r="C2253" i="3"/>
  <c r="C2252" i="3"/>
  <c r="C2251" i="3"/>
  <c r="C2250" i="3"/>
  <c r="C2249" i="3"/>
  <c r="C2248" i="3"/>
  <c r="C2247" i="3"/>
  <c r="C2246" i="3"/>
  <c r="C2245" i="3"/>
  <c r="C2243" i="3"/>
  <c r="C2242" i="3"/>
  <c r="C2241" i="3"/>
  <c r="C2240" i="3"/>
  <c r="C2239" i="3"/>
  <c r="C2238" i="3"/>
  <c r="C2237" i="3"/>
  <c r="C2236" i="3"/>
  <c r="C2235" i="3"/>
  <c r="C2233" i="3"/>
  <c r="C2232" i="3"/>
  <c r="C2231" i="3"/>
  <c r="C2230" i="3"/>
  <c r="C2229" i="3"/>
  <c r="C2228" i="3"/>
  <c r="C2227" i="3"/>
  <c r="C2226" i="3"/>
  <c r="C2225" i="3"/>
  <c r="C2223" i="3"/>
  <c r="C2222" i="3"/>
  <c r="C2221" i="3"/>
  <c r="C2220" i="3"/>
  <c r="C2219" i="3"/>
  <c r="C2218" i="3"/>
  <c r="C2217" i="3"/>
  <c r="C2216" i="3"/>
  <c r="C2215" i="3"/>
  <c r="C2212" i="3"/>
  <c r="C2211" i="3"/>
  <c r="C2210" i="3"/>
  <c r="C2209" i="3"/>
  <c r="C2208" i="3"/>
  <c r="C2207" i="3"/>
  <c r="C2206" i="3"/>
  <c r="C2204" i="3"/>
  <c r="C2203" i="3"/>
  <c r="C2201" i="3"/>
  <c r="C2199" i="3"/>
  <c r="C2197" i="3"/>
  <c r="C2196" i="3"/>
  <c r="C2195" i="3"/>
  <c r="C2194" i="3"/>
  <c r="C2193" i="3"/>
  <c r="C2192" i="3"/>
  <c r="C2191" i="3"/>
  <c r="C2190" i="3"/>
  <c r="C2189" i="3"/>
  <c r="C2188" i="3"/>
  <c r="C2187" i="3"/>
  <c r="C2186" i="3"/>
  <c r="C2184" i="3"/>
  <c r="C2183" i="3"/>
  <c r="C2182" i="3"/>
  <c r="C2181" i="3"/>
  <c r="C2180" i="3"/>
  <c r="C2178" i="3"/>
  <c r="C2177" i="3"/>
  <c r="C2176" i="3"/>
  <c r="C2175" i="3"/>
  <c r="C2173" i="3"/>
  <c r="C2172" i="3"/>
  <c r="C2171" i="3"/>
  <c r="C2170" i="3"/>
  <c r="C2169" i="3"/>
  <c r="C2168" i="3"/>
  <c r="C2167" i="3"/>
  <c r="C2166" i="3"/>
  <c r="C2165" i="3"/>
  <c r="C2163" i="3"/>
  <c r="C2161" i="3"/>
  <c r="C2160" i="3"/>
  <c r="C2159" i="3"/>
  <c r="C2158" i="3"/>
  <c r="C2157" i="3"/>
  <c r="C2156" i="3"/>
  <c r="C2155" i="3"/>
  <c r="C2154" i="3"/>
  <c r="C2153" i="3"/>
  <c r="C2151" i="3"/>
  <c r="C2150" i="3"/>
  <c r="C2149" i="3"/>
  <c r="C2148" i="3"/>
  <c r="C2147" i="3"/>
  <c r="C2146" i="3"/>
  <c r="C2145" i="3"/>
  <c r="C2144" i="3"/>
  <c r="C2143" i="3"/>
  <c r="C2142" i="3"/>
  <c r="C2141" i="3"/>
  <c r="C2140" i="3"/>
  <c r="C2139" i="3"/>
  <c r="C2138" i="3"/>
  <c r="C2137" i="3"/>
  <c r="C2136" i="3"/>
  <c r="C2135" i="3"/>
  <c r="C2134" i="3"/>
  <c r="C2133" i="3"/>
  <c r="C2132" i="3"/>
  <c r="C2131" i="3"/>
  <c r="C2130" i="3"/>
  <c r="C2129" i="3"/>
  <c r="C2128" i="3"/>
  <c r="C2126" i="3"/>
  <c r="C2125" i="3"/>
  <c r="C2124" i="3"/>
  <c r="C2123" i="3"/>
  <c r="C2122" i="3"/>
  <c r="C2121" i="3"/>
  <c r="C2120" i="3"/>
  <c r="C2119" i="3"/>
  <c r="C2118" i="3"/>
  <c r="C2117" i="3"/>
  <c r="C2116" i="3"/>
  <c r="C2115" i="3"/>
  <c r="C2114" i="3"/>
  <c r="C2113" i="3"/>
  <c r="C2112" i="3"/>
  <c r="C2111" i="3"/>
  <c r="C2110" i="3"/>
  <c r="C2109" i="3"/>
  <c r="C2108" i="3"/>
  <c r="C2107" i="3"/>
  <c r="C2106" i="3"/>
  <c r="C2105" i="3"/>
  <c r="C2104" i="3"/>
  <c r="C2103" i="3"/>
  <c r="C2102" i="3"/>
  <c r="C2101" i="3"/>
  <c r="C2100" i="3"/>
  <c r="C2099" i="3"/>
  <c r="C2098" i="3"/>
  <c r="C2097" i="3"/>
  <c r="C2096" i="3"/>
  <c r="C2095" i="3"/>
  <c r="C2094" i="3"/>
  <c r="C2093" i="3"/>
  <c r="C2092" i="3"/>
  <c r="C2090" i="3"/>
  <c r="C2089" i="3"/>
  <c r="C2088" i="3"/>
  <c r="C2087" i="3"/>
  <c r="C2086" i="3"/>
  <c r="C2085" i="3"/>
  <c r="C2084" i="3"/>
  <c r="C2083" i="3"/>
  <c r="C2082" i="3"/>
  <c r="C2081" i="3"/>
  <c r="C2080" i="3"/>
  <c r="C2078" i="3"/>
  <c r="C2077" i="3"/>
  <c r="C2076" i="3"/>
  <c r="C2075" i="3"/>
  <c r="C2074" i="3"/>
  <c r="C2073" i="3"/>
  <c r="C2072" i="3"/>
  <c r="C2071" i="3"/>
  <c r="C2069" i="3"/>
  <c r="C2067" i="3"/>
  <c r="C2065" i="3"/>
  <c r="C2064" i="3"/>
  <c r="C2063" i="3"/>
  <c r="C2062" i="3"/>
  <c r="C2061" i="3"/>
  <c r="C2060" i="3"/>
  <c r="C2059" i="3"/>
  <c r="C2058" i="3"/>
  <c r="C2056" i="3"/>
  <c r="C2055" i="3"/>
  <c r="C2054" i="3"/>
  <c r="C2053" i="3"/>
  <c r="C2052" i="3"/>
  <c r="C2051" i="3"/>
  <c r="C2049" i="3"/>
  <c r="C2048" i="3"/>
  <c r="C2047" i="3"/>
  <c r="C2046" i="3"/>
  <c r="C2045" i="3"/>
  <c r="C2044" i="3"/>
  <c r="C2042" i="3"/>
  <c r="C2041" i="3"/>
  <c r="C2040" i="3"/>
  <c r="C2039" i="3"/>
  <c r="C2037" i="3"/>
  <c r="C2036" i="3"/>
  <c r="C2035" i="3"/>
  <c r="C2034" i="3"/>
  <c r="C2033" i="3"/>
  <c r="C2030" i="3"/>
  <c r="C2029" i="3"/>
  <c r="C2028" i="3"/>
  <c r="C2027" i="3"/>
  <c r="C2026" i="3"/>
  <c r="C2025" i="3"/>
  <c r="C2024" i="3"/>
  <c r="C2023" i="3"/>
  <c r="C2022" i="3"/>
  <c r="C2021" i="3"/>
  <c r="C2020" i="3"/>
  <c r="C2019" i="3"/>
  <c r="C2018" i="3"/>
  <c r="C2017" i="3"/>
  <c r="C2016" i="3"/>
  <c r="C2015" i="3"/>
  <c r="C2014" i="3"/>
  <c r="C2013" i="3"/>
  <c r="C2012" i="3"/>
  <c r="C2011" i="3"/>
  <c r="C2010" i="3"/>
  <c r="C2009" i="3"/>
  <c r="C2008" i="3"/>
  <c r="C2007" i="3"/>
  <c r="C2006" i="3"/>
  <c r="C2005" i="3"/>
  <c r="C2004" i="3"/>
  <c r="C2003" i="3"/>
  <c r="C2002" i="3"/>
  <c r="C2001" i="3"/>
  <c r="C1999" i="3"/>
  <c r="C1998" i="3"/>
  <c r="C1997" i="3"/>
  <c r="C1996" i="3"/>
  <c r="C1995" i="3"/>
  <c r="C1994" i="3"/>
  <c r="C1993" i="3"/>
  <c r="C1992" i="3"/>
  <c r="C1991" i="3"/>
  <c r="C1990" i="3"/>
  <c r="C1989" i="3"/>
  <c r="C1988" i="3"/>
  <c r="C1987" i="3"/>
  <c r="C1986" i="3"/>
  <c r="C1985" i="3"/>
  <c r="C1984" i="3"/>
  <c r="C1983" i="3"/>
  <c r="C1982" i="3"/>
  <c r="C1981" i="3"/>
  <c r="C1980" i="3"/>
  <c r="C1979" i="3"/>
  <c r="C1978" i="3"/>
  <c r="C1977" i="3"/>
  <c r="C1976" i="3"/>
  <c r="C1975" i="3"/>
  <c r="C1974" i="3"/>
  <c r="C1972" i="3"/>
  <c r="C1971" i="3"/>
  <c r="C1970" i="3"/>
  <c r="C1969" i="3"/>
  <c r="C1968" i="3"/>
  <c r="C1967" i="3"/>
  <c r="C1966" i="3"/>
  <c r="C1965" i="3"/>
  <c r="C1964" i="3"/>
  <c r="C1963" i="3"/>
  <c r="C1962" i="3"/>
  <c r="C1961" i="3"/>
  <c r="C1959" i="3"/>
  <c r="C1958" i="3"/>
  <c r="C1957" i="3"/>
  <c r="C1956" i="3"/>
  <c r="C1955" i="3"/>
  <c r="C1953" i="3"/>
  <c r="C1952" i="3"/>
  <c r="C1951" i="3"/>
  <c r="C1950" i="3"/>
  <c r="C1948" i="3"/>
  <c r="C1947" i="3"/>
  <c r="C1946" i="3"/>
  <c r="C1945" i="3"/>
  <c r="C1944" i="3"/>
  <c r="C1943" i="3"/>
  <c r="C1942" i="3"/>
  <c r="C1941" i="3"/>
  <c r="C1939" i="3"/>
  <c r="C1938" i="3"/>
  <c r="C1937" i="3"/>
  <c r="C1936" i="3"/>
  <c r="C1934" i="3"/>
  <c r="C1933" i="3"/>
  <c r="C1932" i="3"/>
  <c r="C1931" i="3"/>
  <c r="C1930" i="3"/>
  <c r="C1929" i="3"/>
  <c r="C1928" i="3"/>
  <c r="C1927" i="3"/>
  <c r="C1926" i="3"/>
  <c r="C1925" i="3"/>
  <c r="C1924" i="3"/>
  <c r="C1922" i="3"/>
  <c r="C1921" i="3"/>
  <c r="C1920" i="3"/>
  <c r="C1917" i="3"/>
  <c r="C1915" i="3"/>
  <c r="C1914" i="3"/>
  <c r="C1913" i="3"/>
  <c r="C1912" i="3"/>
  <c r="C1910" i="3"/>
  <c r="C1909" i="3"/>
  <c r="C1908" i="3"/>
  <c r="C1907" i="3"/>
  <c r="C1905" i="3"/>
  <c r="C1904" i="3"/>
  <c r="C1903" i="3"/>
  <c r="C1902" i="3"/>
  <c r="C1900" i="3"/>
  <c r="C1899" i="3"/>
  <c r="C1897" i="3"/>
  <c r="C1896" i="3"/>
  <c r="C1895" i="3"/>
  <c r="C1894" i="3"/>
  <c r="C1893" i="3"/>
  <c r="C1890" i="3"/>
  <c r="C1889" i="3"/>
  <c r="C1888" i="3"/>
  <c r="C1887" i="3"/>
  <c r="C1886" i="3"/>
  <c r="C1885" i="3"/>
  <c r="C1884" i="3"/>
  <c r="C1883" i="3"/>
  <c r="C1881" i="3"/>
  <c r="C1879" i="3"/>
  <c r="C1877" i="3"/>
  <c r="C1876" i="3"/>
  <c r="C1875" i="3"/>
  <c r="C1874" i="3"/>
  <c r="C1873" i="3"/>
  <c r="C1872" i="3"/>
  <c r="C1871" i="3"/>
  <c r="C1870" i="3"/>
  <c r="C1869" i="3"/>
  <c r="C1868" i="3"/>
  <c r="C1867" i="3"/>
  <c r="C1866" i="3"/>
  <c r="C1865" i="3"/>
  <c r="C1864" i="3"/>
  <c r="C1863" i="3"/>
  <c r="C1862" i="3"/>
  <c r="C1861" i="3"/>
  <c r="C1860" i="3"/>
  <c r="C1859" i="3"/>
  <c r="C1858" i="3"/>
  <c r="C1856" i="3"/>
  <c r="C1855" i="3"/>
  <c r="C1854" i="3"/>
  <c r="C1853" i="3"/>
  <c r="C1852" i="3"/>
  <c r="C1851" i="3"/>
  <c r="C1849" i="3"/>
  <c r="C1848" i="3"/>
  <c r="C1847" i="3"/>
  <c r="C1846" i="3"/>
  <c r="C1844" i="3"/>
  <c r="C1843" i="3"/>
  <c r="C1842" i="3"/>
  <c r="C1841" i="3"/>
  <c r="C1840" i="3"/>
  <c r="C1839" i="3"/>
  <c r="C1838" i="3"/>
  <c r="C1837" i="3"/>
  <c r="C1835" i="3"/>
  <c r="C1834" i="3"/>
  <c r="C1831" i="3"/>
  <c r="C1829" i="3"/>
  <c r="C1828" i="3"/>
  <c r="C1827" i="3"/>
  <c r="C1826" i="3"/>
  <c r="C1824" i="3"/>
  <c r="C1823" i="3"/>
  <c r="C1822" i="3"/>
  <c r="C1821" i="3"/>
  <c r="C1820" i="3"/>
  <c r="C1819" i="3"/>
  <c r="C1818" i="3"/>
  <c r="C1817" i="3"/>
  <c r="C1815" i="3"/>
  <c r="C1813" i="3"/>
  <c r="C1812" i="3"/>
  <c r="C1811" i="3"/>
  <c r="C1810" i="3"/>
  <c r="C1808" i="3"/>
  <c r="C1806" i="3"/>
  <c r="C1805" i="3"/>
  <c r="C1804" i="3"/>
  <c r="C1803" i="3"/>
  <c r="C1802" i="3"/>
  <c r="C1800" i="3"/>
  <c r="C1799" i="3"/>
  <c r="C1798" i="3"/>
  <c r="C1797" i="3"/>
  <c r="C1796" i="3"/>
  <c r="C1795" i="3"/>
  <c r="C1794" i="3"/>
  <c r="C1793" i="3"/>
  <c r="C1792" i="3"/>
  <c r="C1791" i="3"/>
  <c r="C1789" i="3"/>
  <c r="C1788" i="3"/>
  <c r="C1787" i="3"/>
  <c r="C1786" i="3"/>
  <c r="C1784" i="3"/>
  <c r="C1783" i="3"/>
  <c r="C1782" i="3"/>
  <c r="C1781" i="3"/>
  <c r="C1780" i="3"/>
  <c r="C1777" i="3"/>
  <c r="C1776" i="3"/>
  <c r="C1775" i="3"/>
  <c r="C1774" i="3"/>
  <c r="C1772" i="3"/>
  <c r="C1771" i="3"/>
  <c r="C1770" i="3"/>
  <c r="C1769" i="3"/>
  <c r="C1768" i="3"/>
  <c r="C1767" i="3"/>
  <c r="C1765" i="3"/>
  <c r="C1764" i="3"/>
  <c r="C1763" i="3"/>
  <c r="C1762" i="3"/>
  <c r="C1761" i="3"/>
  <c r="C1760" i="3"/>
  <c r="C1759" i="3"/>
  <c r="C1757" i="3"/>
  <c r="C1756" i="3"/>
  <c r="C1755" i="3"/>
  <c r="C1754" i="3"/>
  <c r="C1753" i="3"/>
  <c r="C1752" i="3"/>
  <c r="C1750" i="3"/>
  <c r="C1749" i="3"/>
  <c r="C1748" i="3"/>
  <c r="C1747" i="3"/>
  <c r="C1746" i="3"/>
  <c r="C1745" i="3"/>
  <c r="C1744" i="3"/>
  <c r="C1743" i="3"/>
  <c r="C1742" i="3"/>
  <c r="C1741" i="3"/>
  <c r="C1740" i="3"/>
  <c r="C1739" i="3"/>
  <c r="C1738" i="3"/>
  <c r="C1737" i="3"/>
  <c r="C1736" i="3"/>
  <c r="C1735" i="3"/>
  <c r="C1734" i="3"/>
  <c r="C1733" i="3"/>
  <c r="C1732" i="3"/>
  <c r="C1731" i="3"/>
  <c r="C1730" i="3"/>
  <c r="C1729" i="3"/>
  <c r="C1728" i="3"/>
  <c r="C1727" i="3"/>
  <c r="C1726" i="3"/>
  <c r="C1725" i="3"/>
  <c r="C1724" i="3"/>
  <c r="C1723" i="3"/>
  <c r="C1722" i="3"/>
  <c r="C1721" i="3"/>
  <c r="C1720" i="3"/>
  <c r="C1719" i="3"/>
  <c r="C1718" i="3"/>
  <c r="C1716" i="3"/>
  <c r="C1715" i="3"/>
  <c r="C1714" i="3"/>
  <c r="C1713" i="3"/>
  <c r="C1712" i="3"/>
  <c r="C1711" i="3"/>
  <c r="C1710" i="3"/>
  <c r="C1709" i="3"/>
  <c r="C1708" i="3"/>
  <c r="C1707" i="3"/>
  <c r="C1705" i="3"/>
  <c r="C1704" i="3"/>
  <c r="C1702" i="3"/>
  <c r="C1701" i="3"/>
  <c r="C1700" i="3"/>
  <c r="C1699" i="3"/>
  <c r="C1698" i="3"/>
  <c r="C1697" i="3"/>
  <c r="C1696" i="3"/>
  <c r="C1695" i="3"/>
  <c r="C1694" i="3"/>
  <c r="C1693" i="3"/>
  <c r="C1691" i="3"/>
  <c r="C1690" i="3"/>
  <c r="C1689" i="3"/>
  <c r="C1688" i="3"/>
  <c r="C1687" i="3"/>
  <c r="C1686" i="3"/>
  <c r="C1685" i="3"/>
  <c r="C1684" i="3"/>
  <c r="C1683" i="3"/>
  <c r="C1682" i="3"/>
  <c r="C1680" i="3"/>
  <c r="C1679" i="3"/>
  <c r="C1678" i="3"/>
  <c r="C1677" i="3"/>
  <c r="C1676" i="3"/>
  <c r="C1675" i="3"/>
  <c r="C1674" i="3"/>
  <c r="C1671" i="3"/>
  <c r="C1670" i="3"/>
  <c r="C1669" i="3"/>
  <c r="C1668" i="3"/>
  <c r="C1666" i="3"/>
  <c r="C1664" i="3"/>
  <c r="C1662" i="3"/>
  <c r="C1661" i="3"/>
  <c r="C1660" i="3"/>
  <c r="C1659" i="3"/>
  <c r="C1658" i="3"/>
  <c r="C1657" i="3"/>
  <c r="C1655" i="3"/>
  <c r="C1654" i="3"/>
  <c r="C1653" i="3"/>
  <c r="C1652" i="3"/>
  <c r="C1651" i="3"/>
  <c r="C1650" i="3"/>
  <c r="C1649" i="3"/>
  <c r="C1648" i="3"/>
  <c r="C1647" i="3"/>
  <c r="C1645" i="3"/>
  <c r="C1644" i="3"/>
  <c r="C1643" i="3"/>
  <c r="C1642" i="3"/>
  <c r="C1641" i="3"/>
  <c r="C1640" i="3"/>
  <c r="C1639" i="3"/>
  <c r="C1638" i="3"/>
  <c r="C1637" i="3"/>
  <c r="C1635" i="3"/>
  <c r="C1634" i="3"/>
  <c r="C1632" i="3"/>
  <c r="C1631" i="3"/>
  <c r="C1630" i="3"/>
  <c r="C1629" i="3"/>
  <c r="C1628" i="3"/>
  <c r="C1627" i="3"/>
  <c r="C1626" i="3"/>
  <c r="C1625" i="3"/>
  <c r="C1624" i="3"/>
  <c r="C1623" i="3"/>
  <c r="C1622" i="3"/>
  <c r="C1621" i="3"/>
  <c r="C1618" i="3"/>
  <c r="C1616" i="3"/>
  <c r="C1615" i="3"/>
  <c r="C1614" i="3"/>
  <c r="C1613" i="3"/>
  <c r="C1611" i="3"/>
  <c r="C1610" i="3"/>
  <c r="C1609" i="3"/>
  <c r="C1608" i="3"/>
  <c r="C1607" i="3"/>
  <c r="C1604" i="3"/>
  <c r="C1603" i="3"/>
  <c r="C1602" i="3"/>
  <c r="C1601" i="3"/>
  <c r="C1600" i="3"/>
  <c r="C1599" i="3"/>
  <c r="C1598" i="3"/>
  <c r="C1597" i="3"/>
  <c r="C1596" i="3"/>
  <c r="C1595" i="3"/>
  <c r="C1594" i="3"/>
  <c r="C1593" i="3"/>
  <c r="C1592" i="3"/>
  <c r="C1591" i="3"/>
  <c r="C1590" i="3"/>
  <c r="C1589" i="3"/>
  <c r="C1588" i="3"/>
  <c r="C1587" i="3"/>
  <c r="C1586" i="3"/>
  <c r="C1585" i="3"/>
  <c r="C1584" i="3"/>
  <c r="C1583" i="3"/>
  <c r="C1582" i="3"/>
  <c r="C1581" i="3"/>
  <c r="C1580" i="3"/>
  <c r="C1579" i="3"/>
  <c r="C1578" i="3"/>
  <c r="C1577" i="3"/>
  <c r="C1576" i="3"/>
  <c r="C1575" i="3"/>
  <c r="C1574" i="3"/>
  <c r="C1573" i="3"/>
  <c r="C1572" i="3"/>
  <c r="C1571" i="3"/>
  <c r="C1569" i="3"/>
  <c r="C1568" i="3"/>
  <c r="C1567" i="3"/>
  <c r="C1566" i="3"/>
  <c r="C1565" i="3"/>
  <c r="C1563" i="3"/>
  <c r="C1562" i="3"/>
  <c r="C1561" i="3"/>
  <c r="C1560" i="3"/>
  <c r="C1559" i="3"/>
  <c r="C1558" i="3"/>
  <c r="C1557" i="3"/>
  <c r="C1556" i="3"/>
  <c r="C1555" i="3"/>
  <c r="C1554" i="3"/>
  <c r="C1553" i="3"/>
  <c r="C1552" i="3"/>
  <c r="C1551" i="3"/>
  <c r="C1550" i="3"/>
  <c r="C1549" i="3"/>
  <c r="C1548" i="3"/>
  <c r="C1547" i="3"/>
  <c r="C1546" i="3"/>
  <c r="C1545" i="3"/>
  <c r="C1544" i="3"/>
  <c r="C1543" i="3"/>
  <c r="C1542" i="3"/>
  <c r="C1541" i="3"/>
  <c r="C1538" i="3"/>
  <c r="C1537" i="3"/>
  <c r="C1536" i="3"/>
  <c r="C1535" i="3"/>
  <c r="C1534" i="3"/>
  <c r="C1532" i="3"/>
  <c r="C1530" i="3"/>
  <c r="C1529" i="3"/>
  <c r="C1528" i="3"/>
  <c r="C1525" i="3"/>
  <c r="C1524" i="3"/>
  <c r="C1523" i="3"/>
  <c r="C1521" i="3"/>
  <c r="C1520" i="3"/>
  <c r="C1518" i="3"/>
  <c r="C1517" i="3"/>
  <c r="C1516" i="3"/>
  <c r="C1514" i="3"/>
  <c r="C1513" i="3"/>
  <c r="C1512" i="3"/>
  <c r="C1511" i="3"/>
  <c r="C1510" i="3"/>
  <c r="C1509" i="3"/>
  <c r="C1508" i="3"/>
  <c r="C1507" i="3"/>
  <c r="C1505" i="3"/>
  <c r="C1504" i="3"/>
  <c r="C1503" i="3"/>
  <c r="C1502" i="3"/>
  <c r="C1501" i="3"/>
  <c r="C1500" i="3"/>
  <c r="C1499" i="3"/>
  <c r="C1498" i="3"/>
  <c r="C1497" i="3"/>
  <c r="C1496" i="3"/>
  <c r="C1495" i="3"/>
  <c r="C1494" i="3"/>
  <c r="C1493" i="3"/>
  <c r="C1492" i="3"/>
  <c r="C1491" i="3"/>
  <c r="C1490" i="3"/>
  <c r="C1489" i="3"/>
  <c r="C1488" i="3"/>
  <c r="C1487" i="3"/>
  <c r="C1486" i="3"/>
  <c r="C1483" i="3"/>
  <c r="C1481" i="3"/>
  <c r="C1479" i="3"/>
  <c r="C1478" i="3"/>
  <c r="C1477" i="3"/>
  <c r="C1476" i="3"/>
  <c r="C1475" i="3"/>
  <c r="C1474" i="3"/>
  <c r="C1473" i="3"/>
  <c r="C1472" i="3"/>
  <c r="C1471" i="3"/>
  <c r="C1470" i="3"/>
  <c r="C1469" i="3"/>
  <c r="C1468" i="3"/>
  <c r="C1467" i="3"/>
  <c r="C1466" i="3"/>
  <c r="C1464" i="3"/>
  <c r="C1463" i="3"/>
  <c r="C1462" i="3"/>
  <c r="C1461" i="3"/>
  <c r="C1460" i="3"/>
  <c r="C1459" i="3"/>
  <c r="C1458" i="3"/>
  <c r="C1457" i="3"/>
  <c r="C1456" i="3"/>
  <c r="C1455" i="3"/>
  <c r="C1454" i="3"/>
  <c r="C1453" i="3"/>
  <c r="C1452" i="3"/>
  <c r="C1451" i="3"/>
  <c r="C1450" i="3"/>
  <c r="C1449" i="3"/>
  <c r="C1448" i="3"/>
  <c r="C1447" i="3"/>
  <c r="C1446" i="3"/>
  <c r="C1445" i="3"/>
  <c r="C1444" i="3"/>
  <c r="C1443" i="3"/>
  <c r="C1442" i="3"/>
  <c r="C1441" i="3"/>
  <c r="C1440" i="3"/>
  <c r="C1439" i="3"/>
  <c r="C1438" i="3"/>
  <c r="C1437" i="3"/>
  <c r="C1434" i="3"/>
  <c r="C1433" i="3"/>
  <c r="C1432" i="3"/>
  <c r="C1431" i="3"/>
  <c r="C1430" i="3"/>
  <c r="C1429" i="3"/>
  <c r="C1428" i="3"/>
  <c r="C1427" i="3"/>
  <c r="C1426" i="3"/>
  <c r="C1425" i="3"/>
  <c r="C1424" i="3"/>
  <c r="C1423" i="3"/>
  <c r="C1421" i="3"/>
  <c r="C1420" i="3"/>
  <c r="C1419" i="3"/>
  <c r="C1417" i="3"/>
  <c r="C1416" i="3"/>
  <c r="C1414" i="3"/>
  <c r="C1412" i="3"/>
  <c r="C1411" i="3"/>
  <c r="C1410" i="3"/>
  <c r="C1409" i="3"/>
  <c r="C1408" i="3"/>
  <c r="C1407" i="3"/>
  <c r="C1405" i="3"/>
  <c r="C1404" i="3"/>
  <c r="C1403" i="3"/>
  <c r="C1402" i="3"/>
  <c r="C1401" i="3"/>
  <c r="C1400" i="3"/>
  <c r="C1399" i="3"/>
  <c r="C1398" i="3"/>
  <c r="C1397" i="3"/>
  <c r="C1396" i="3"/>
  <c r="C1395" i="3"/>
  <c r="C1394" i="3"/>
  <c r="C1393" i="3"/>
  <c r="C1392" i="3"/>
  <c r="C1391" i="3"/>
  <c r="C1390" i="3"/>
  <c r="C1389" i="3"/>
  <c r="C1388" i="3"/>
  <c r="C1387" i="3"/>
  <c r="C1386" i="3"/>
  <c r="C1385" i="3"/>
  <c r="C1384" i="3"/>
  <c r="C1383" i="3"/>
  <c r="C1382" i="3"/>
  <c r="C1380" i="3"/>
  <c r="C1379" i="3"/>
  <c r="C1378" i="3"/>
  <c r="C1377" i="3"/>
  <c r="C1376" i="3"/>
  <c r="C1375" i="3"/>
  <c r="C1374" i="3"/>
  <c r="C1373" i="3"/>
  <c r="C1372" i="3"/>
  <c r="C1371" i="3"/>
  <c r="C1370" i="3"/>
  <c r="C1369" i="3"/>
  <c r="C1368" i="3"/>
  <c r="C1367" i="3"/>
  <c r="C1366" i="3"/>
  <c r="C1365" i="3"/>
  <c r="C1363" i="3"/>
  <c r="C1362" i="3"/>
  <c r="C1361" i="3"/>
  <c r="C1360" i="3"/>
  <c r="C1359" i="3"/>
  <c r="C1358" i="3"/>
  <c r="C1357" i="3"/>
  <c r="C1356" i="3"/>
  <c r="C1355" i="3"/>
  <c r="C1354" i="3"/>
  <c r="C1353" i="3"/>
  <c r="C1352" i="3"/>
  <c r="C1351" i="3"/>
  <c r="C1350" i="3"/>
  <c r="C1349" i="3"/>
  <c r="C1348" i="3"/>
  <c r="C1347" i="3"/>
  <c r="C1346" i="3"/>
  <c r="C1345" i="3"/>
  <c r="C1344" i="3"/>
  <c r="C1343" i="3"/>
  <c r="C1342" i="3"/>
  <c r="C1341" i="3"/>
  <c r="C1340" i="3"/>
  <c r="C1339" i="3"/>
  <c r="C1338" i="3"/>
  <c r="C1337" i="3"/>
  <c r="C1336" i="3"/>
  <c r="C1335" i="3"/>
  <c r="C1333" i="3"/>
  <c r="C1332" i="3"/>
  <c r="C1331" i="3"/>
  <c r="C1330" i="3"/>
  <c r="C1329" i="3"/>
  <c r="C1328" i="3"/>
  <c r="C1327" i="3"/>
  <c r="C1326" i="3"/>
  <c r="C1325" i="3"/>
  <c r="C1324" i="3"/>
  <c r="C1323" i="3"/>
  <c r="C1322" i="3"/>
  <c r="C1321" i="3"/>
  <c r="C1320" i="3"/>
  <c r="C1319" i="3"/>
  <c r="C1318" i="3"/>
  <c r="C1317" i="3"/>
  <c r="C1314" i="3"/>
  <c r="C1313" i="3"/>
  <c r="C1312" i="3"/>
  <c r="C1311" i="3"/>
  <c r="C1310" i="3"/>
  <c r="C1309" i="3"/>
  <c r="C1308" i="3"/>
  <c r="C1307" i="3"/>
  <c r="C1306" i="3"/>
  <c r="C1305" i="3"/>
  <c r="C1304" i="3"/>
  <c r="C1303" i="3"/>
  <c r="C1302" i="3"/>
  <c r="C1301" i="3"/>
  <c r="C1300" i="3"/>
  <c r="C1299" i="3"/>
  <c r="C1298" i="3"/>
  <c r="C1297" i="3"/>
  <c r="C1296" i="3"/>
  <c r="C1295" i="3"/>
  <c r="C1294" i="3"/>
  <c r="C1292" i="3"/>
  <c r="C1291" i="3"/>
  <c r="C1290" i="3"/>
  <c r="C1289" i="3"/>
  <c r="C1288" i="3"/>
  <c r="C1287" i="3"/>
  <c r="C1286" i="3"/>
  <c r="C1285" i="3"/>
  <c r="C1284" i="3"/>
  <c r="C1283" i="3"/>
  <c r="C1281" i="3"/>
  <c r="C1280" i="3"/>
  <c r="C1279" i="3"/>
  <c r="C1278" i="3"/>
  <c r="C1277" i="3"/>
  <c r="C1276" i="3"/>
  <c r="C1275" i="3"/>
  <c r="C1274" i="3"/>
  <c r="C1273" i="3"/>
  <c r="C1272" i="3"/>
  <c r="C1271" i="3"/>
  <c r="C1270" i="3"/>
  <c r="C1269" i="3"/>
  <c r="C1268" i="3"/>
  <c r="C1267" i="3"/>
  <c r="C1266" i="3"/>
  <c r="C1265" i="3"/>
  <c r="C1264" i="3"/>
  <c r="C1263" i="3"/>
  <c r="C1262" i="3"/>
  <c r="C1261" i="3"/>
  <c r="C1260" i="3"/>
  <c r="C1259" i="3"/>
  <c r="C1258" i="3"/>
  <c r="C1256" i="3"/>
  <c r="C1255" i="3"/>
  <c r="C1254" i="3"/>
  <c r="C1253" i="3"/>
  <c r="C1252" i="3"/>
  <c r="C1251" i="3"/>
  <c r="C1250" i="3"/>
  <c r="C1249" i="3"/>
  <c r="C1248" i="3"/>
  <c r="C1247" i="3"/>
  <c r="C1246" i="3"/>
  <c r="C1245" i="3"/>
  <c r="C1244" i="3"/>
  <c r="C1243" i="3"/>
  <c r="C1242" i="3"/>
  <c r="C1241" i="3"/>
  <c r="C1240" i="3"/>
  <c r="C1239" i="3"/>
  <c r="C1238" i="3"/>
  <c r="C1236" i="3"/>
  <c r="C1235" i="3"/>
  <c r="C1234" i="3"/>
  <c r="C1233" i="3"/>
  <c r="C1232" i="3"/>
  <c r="C1231" i="3"/>
  <c r="C1230" i="3"/>
  <c r="C1229" i="3"/>
  <c r="C1228" i="3"/>
  <c r="C1227" i="3"/>
  <c r="C1226" i="3"/>
  <c r="C1225" i="3"/>
  <c r="C1224" i="3"/>
  <c r="C1223" i="3"/>
  <c r="C1222" i="3"/>
  <c r="C1221" i="3"/>
  <c r="C1220" i="3"/>
  <c r="C1218" i="3"/>
  <c r="C1217" i="3"/>
  <c r="C1216" i="3"/>
  <c r="C1215" i="3"/>
  <c r="C1214" i="3"/>
  <c r="C1213" i="3"/>
  <c r="C1212" i="3"/>
  <c r="C1211" i="3"/>
  <c r="C1210" i="3"/>
  <c r="C1209" i="3"/>
  <c r="C1207" i="3"/>
  <c r="C1206" i="3"/>
  <c r="C1205" i="3"/>
  <c r="C1204" i="3"/>
  <c r="C1201" i="3"/>
  <c r="C1200" i="3"/>
  <c r="C1199" i="3"/>
  <c r="C1198" i="3"/>
  <c r="C1197" i="3"/>
  <c r="C1195" i="3"/>
  <c r="C1194" i="3"/>
  <c r="C1193" i="3"/>
  <c r="C1192" i="3"/>
  <c r="C1190" i="3"/>
  <c r="C1188" i="3"/>
  <c r="C1187" i="3"/>
  <c r="C1186" i="3"/>
  <c r="C1185" i="3"/>
  <c r="C1184" i="3"/>
  <c r="C1183" i="3"/>
  <c r="C1182" i="3"/>
  <c r="C1180" i="3"/>
  <c r="C1179" i="3"/>
  <c r="C1178" i="3"/>
  <c r="C1177" i="3"/>
  <c r="C1175" i="3"/>
  <c r="C1174" i="3"/>
  <c r="C1173" i="3"/>
  <c r="C1172" i="3"/>
  <c r="C1171" i="3"/>
  <c r="C1170" i="3"/>
  <c r="C1167" i="3"/>
  <c r="C1166" i="3"/>
  <c r="C1165" i="3"/>
  <c r="C1164" i="3"/>
  <c r="C1163" i="3"/>
  <c r="C1162" i="3"/>
  <c r="C1161" i="3"/>
  <c r="C1160" i="3"/>
  <c r="C1158" i="3"/>
  <c r="C1157" i="3"/>
  <c r="C1155" i="3"/>
  <c r="C1154" i="3"/>
  <c r="C1153" i="3"/>
  <c r="C1152" i="3"/>
  <c r="C1151" i="3"/>
  <c r="C1150" i="3"/>
  <c r="C1149" i="3"/>
  <c r="C1147" i="3"/>
  <c r="C1145" i="3"/>
  <c r="C1143" i="3"/>
  <c r="C1141" i="3"/>
  <c r="C1140" i="3"/>
  <c r="C1138" i="3"/>
  <c r="C1137" i="3"/>
  <c r="C1135" i="3"/>
  <c r="C1134" i="3"/>
  <c r="C1133" i="3"/>
  <c r="C1132" i="3"/>
  <c r="C1131" i="3"/>
  <c r="C1130" i="3"/>
  <c r="C1128" i="3"/>
  <c r="C1127" i="3"/>
  <c r="C1124" i="3"/>
  <c r="C1123" i="3"/>
  <c r="C1122" i="3"/>
  <c r="C1121" i="3"/>
  <c r="C1120" i="3"/>
  <c r="C1118" i="3"/>
  <c r="C1117" i="3"/>
  <c r="C1116" i="3"/>
  <c r="C1114" i="3"/>
  <c r="C1112" i="3"/>
  <c r="C1110" i="3"/>
  <c r="C1107" i="3"/>
  <c r="C1105" i="3"/>
  <c r="C1104" i="3"/>
  <c r="C1103" i="3"/>
  <c r="C1102" i="3"/>
  <c r="C1101" i="3"/>
  <c r="C1100" i="3"/>
  <c r="C1099" i="3"/>
  <c r="C1098" i="3"/>
  <c r="C1097" i="3"/>
  <c r="C1095" i="3"/>
  <c r="C1094" i="3"/>
  <c r="C1093" i="3"/>
  <c r="C1092" i="3"/>
  <c r="C1091" i="3"/>
  <c r="C1090" i="3"/>
  <c r="C1089" i="3"/>
  <c r="C1087" i="3"/>
  <c r="C1086" i="3"/>
  <c r="C1085" i="3"/>
  <c r="C1084" i="3"/>
  <c r="C1083" i="3"/>
  <c r="C1082" i="3"/>
  <c r="C1081" i="3"/>
  <c r="C1078" i="3"/>
  <c r="C1077" i="3"/>
  <c r="C1075" i="3"/>
  <c r="C1074" i="3"/>
  <c r="C1073" i="3"/>
  <c r="C1072" i="3"/>
  <c r="C1070" i="3"/>
  <c r="C1069" i="3"/>
  <c r="C1068" i="3"/>
  <c r="C1067" i="3"/>
  <c r="C1066" i="3"/>
  <c r="C1065" i="3"/>
  <c r="C1064" i="3"/>
  <c r="C1063" i="3"/>
  <c r="C1062" i="3"/>
  <c r="C1061" i="3"/>
  <c r="C1060" i="3"/>
  <c r="C1059" i="3"/>
  <c r="C1057" i="3"/>
  <c r="C1056" i="3"/>
  <c r="C1055" i="3"/>
  <c r="C1054" i="3"/>
  <c r="C1053" i="3"/>
  <c r="C1052" i="3"/>
  <c r="C1051" i="3"/>
  <c r="C1050" i="3"/>
  <c r="C1049" i="3"/>
  <c r="C1048" i="3"/>
  <c r="C1047" i="3"/>
  <c r="C1046" i="3"/>
  <c r="C1044" i="3"/>
  <c r="C1043" i="3"/>
  <c r="C1042" i="3"/>
  <c r="C1041" i="3"/>
  <c r="C1040" i="3"/>
  <c r="C1039" i="3"/>
  <c r="C1038" i="3"/>
  <c r="C1037" i="3"/>
  <c r="C1036" i="3"/>
  <c r="C1035" i="3"/>
  <c r="C1034" i="3"/>
  <c r="C1033" i="3"/>
  <c r="C1032" i="3"/>
  <c r="C1031" i="3"/>
  <c r="C1030" i="3"/>
  <c r="C1029" i="3"/>
  <c r="C1028" i="3"/>
  <c r="C1027" i="3"/>
  <c r="C1025" i="3"/>
  <c r="C1024" i="3"/>
  <c r="C1023" i="3"/>
  <c r="C1022" i="3"/>
  <c r="C1021" i="3"/>
  <c r="C1020" i="3"/>
  <c r="C1019" i="3"/>
  <c r="C1018" i="3"/>
  <c r="C1017" i="3"/>
  <c r="C1016" i="3"/>
  <c r="C1015" i="3"/>
  <c r="C1014" i="3"/>
  <c r="C1013" i="3"/>
  <c r="C1012" i="3"/>
  <c r="C1011" i="3"/>
  <c r="C1010" i="3"/>
  <c r="C1009" i="3"/>
  <c r="C1008" i="3"/>
  <c r="C1007" i="3"/>
  <c r="C1006" i="3"/>
  <c r="C1005" i="3"/>
  <c r="C1004" i="3"/>
  <c r="C1003" i="3"/>
  <c r="C1002" i="3"/>
  <c r="C1001" i="3"/>
  <c r="C1000" i="3"/>
  <c r="C999" i="3"/>
  <c r="C998" i="3"/>
  <c r="C997" i="3"/>
  <c r="C996" i="3"/>
  <c r="C995" i="3"/>
  <c r="C994" i="3"/>
  <c r="C993" i="3"/>
  <c r="C992" i="3"/>
  <c r="C990" i="3"/>
  <c r="C987" i="3"/>
  <c r="C986" i="3"/>
  <c r="C985" i="3"/>
  <c r="C984" i="3"/>
  <c r="C983" i="3"/>
  <c r="C982" i="3"/>
  <c r="C981" i="3"/>
  <c r="C980" i="3"/>
  <c r="C979" i="3"/>
  <c r="C978" i="3"/>
  <c r="C977" i="3"/>
  <c r="C976" i="3"/>
  <c r="C974" i="3"/>
  <c r="C973" i="3"/>
  <c r="C972" i="3"/>
  <c r="C971" i="3"/>
  <c r="C970" i="3"/>
  <c r="C968" i="3"/>
  <c r="C967" i="3"/>
  <c r="C966" i="3"/>
  <c r="C965" i="3"/>
  <c r="C964" i="3"/>
  <c r="C963" i="3"/>
  <c r="C961" i="3"/>
  <c r="C960" i="3"/>
  <c r="C959" i="3"/>
  <c r="C958" i="3"/>
  <c r="C957" i="3"/>
  <c r="C956" i="3"/>
  <c r="C955" i="3"/>
  <c r="C953" i="3"/>
  <c r="C952" i="3"/>
  <c r="C951" i="3"/>
  <c r="C950" i="3"/>
  <c r="C949" i="3"/>
  <c r="C948" i="3"/>
  <c r="C946" i="3"/>
  <c r="C945" i="3"/>
  <c r="C943" i="3"/>
  <c r="C942" i="3"/>
  <c r="C941" i="3"/>
  <c r="C940" i="3"/>
  <c r="C939" i="3"/>
  <c r="C938" i="3"/>
  <c r="C937" i="3"/>
  <c r="C936" i="3"/>
  <c r="C935" i="3"/>
  <c r="C934" i="3"/>
  <c r="C932" i="3"/>
  <c r="C931" i="3"/>
  <c r="C930" i="3"/>
  <c r="C929" i="3"/>
  <c r="C928" i="3"/>
  <c r="C927" i="3"/>
  <c r="C926" i="3"/>
  <c r="C925" i="3"/>
  <c r="C924" i="3"/>
  <c r="C923" i="3"/>
  <c r="C921" i="3"/>
  <c r="C920" i="3"/>
  <c r="C919" i="3"/>
  <c r="C918" i="3"/>
  <c r="C917" i="3"/>
  <c r="C916" i="3"/>
  <c r="C915" i="3"/>
  <c r="C912" i="3"/>
  <c r="C911" i="3"/>
  <c r="C910" i="3"/>
  <c r="C909" i="3"/>
  <c r="C908" i="3"/>
  <c r="C907" i="3"/>
  <c r="C906" i="3"/>
  <c r="C904" i="3"/>
  <c r="C903" i="3"/>
  <c r="C902" i="3"/>
  <c r="C901" i="3"/>
  <c r="C900" i="3"/>
  <c r="C899" i="3"/>
  <c r="C898" i="3"/>
  <c r="C896" i="3"/>
  <c r="C895" i="3"/>
  <c r="C894" i="3"/>
  <c r="C892" i="3"/>
  <c r="C890" i="3"/>
  <c r="C889" i="3"/>
  <c r="C888" i="3"/>
  <c r="C886" i="3"/>
  <c r="C885" i="3"/>
  <c r="C884" i="3"/>
  <c r="C883" i="3"/>
  <c r="C882" i="3"/>
  <c r="C880" i="3"/>
  <c r="C879" i="3"/>
  <c r="C878" i="3"/>
  <c r="C877" i="3"/>
  <c r="C875" i="3"/>
  <c r="C874" i="3"/>
  <c r="C873" i="3"/>
  <c r="C872" i="3"/>
  <c r="C871" i="3"/>
  <c r="C870" i="3"/>
  <c r="C868" i="3"/>
  <c r="C867" i="3"/>
  <c r="C865" i="3"/>
  <c r="C864" i="3"/>
  <c r="C863" i="3"/>
  <c r="C862" i="3"/>
  <c r="C861" i="3"/>
  <c r="C860" i="3"/>
  <c r="C859" i="3"/>
  <c r="C858" i="3"/>
  <c r="C857" i="3"/>
  <c r="C856" i="3"/>
  <c r="C855" i="3"/>
  <c r="C853" i="3"/>
  <c r="C852" i="3"/>
  <c r="C851" i="3"/>
  <c r="C850" i="3"/>
  <c r="C849" i="3"/>
  <c r="C848" i="3"/>
  <c r="C847" i="3"/>
  <c r="C844" i="3"/>
  <c r="C843" i="3"/>
  <c r="C842" i="3"/>
  <c r="C840" i="3"/>
  <c r="C839" i="3"/>
  <c r="C838" i="3"/>
  <c r="C837" i="3"/>
  <c r="C836" i="3"/>
  <c r="C834" i="3"/>
  <c r="C833" i="3"/>
  <c r="C832" i="3"/>
  <c r="C830" i="3"/>
  <c r="C829" i="3"/>
  <c r="C828" i="3"/>
  <c r="C827" i="3"/>
  <c r="C826" i="3"/>
  <c r="C825" i="3"/>
  <c r="C824" i="3"/>
  <c r="C823" i="3"/>
  <c r="C822" i="3"/>
  <c r="C821" i="3"/>
  <c r="C820" i="3"/>
  <c r="C819" i="3"/>
  <c r="C818" i="3"/>
  <c r="C815" i="3"/>
  <c r="C814" i="3"/>
  <c r="C813" i="3"/>
  <c r="C812" i="3"/>
  <c r="C811" i="3"/>
  <c r="C810" i="3"/>
  <c r="C808" i="3"/>
  <c r="C806" i="3"/>
  <c r="C805" i="3"/>
  <c r="C804" i="3"/>
  <c r="C803" i="3"/>
  <c r="C802" i="3"/>
  <c r="C801" i="3"/>
  <c r="C800" i="3"/>
  <c r="C799" i="3"/>
  <c r="C798" i="3"/>
  <c r="C797" i="3"/>
  <c r="C796" i="3"/>
  <c r="C795" i="3"/>
  <c r="C794" i="3"/>
  <c r="C793" i="3"/>
  <c r="C792" i="3"/>
  <c r="C791" i="3"/>
  <c r="C790" i="3"/>
  <c r="C789" i="3"/>
  <c r="C788" i="3"/>
  <c r="C787" i="3"/>
  <c r="C786" i="3"/>
  <c r="C785" i="3"/>
  <c r="C784" i="3"/>
  <c r="C782" i="3"/>
  <c r="C781" i="3"/>
  <c r="C780" i="3"/>
  <c r="C779" i="3"/>
  <c r="C778" i="3"/>
  <c r="C777" i="3"/>
  <c r="C775" i="3"/>
  <c r="C773" i="3"/>
  <c r="C772" i="3"/>
  <c r="C770" i="3"/>
  <c r="C769" i="3"/>
  <c r="C768" i="3"/>
  <c r="C767" i="3"/>
  <c r="C765" i="3"/>
  <c r="C764" i="3"/>
  <c r="C763" i="3"/>
  <c r="C762" i="3"/>
  <c r="C761" i="3"/>
  <c r="C760" i="3"/>
  <c r="C758" i="3"/>
  <c r="C757" i="3"/>
  <c r="C756" i="3"/>
  <c r="C755" i="3"/>
  <c r="C754" i="3"/>
  <c r="C753" i="3"/>
  <c r="C751" i="3"/>
  <c r="C750" i="3"/>
  <c r="C748" i="3"/>
  <c r="C747" i="3"/>
  <c r="C746" i="3"/>
  <c r="C744" i="3"/>
  <c r="C743" i="3"/>
  <c r="C742" i="3"/>
  <c r="C740" i="3"/>
  <c r="C739" i="3"/>
  <c r="C738" i="3"/>
  <c r="C737" i="3"/>
  <c r="C736" i="3"/>
  <c r="C735" i="3"/>
  <c r="C733" i="3"/>
  <c r="C732" i="3"/>
  <c r="C731" i="3"/>
  <c r="C728" i="3"/>
  <c r="C727" i="3"/>
  <c r="C726" i="3"/>
  <c r="C725" i="3"/>
  <c r="C724" i="3"/>
  <c r="C723" i="3"/>
  <c r="C722" i="3"/>
  <c r="C721" i="3"/>
  <c r="C720" i="3"/>
  <c r="C719" i="3"/>
  <c r="C718" i="3"/>
  <c r="C716" i="3"/>
  <c r="C715" i="3"/>
  <c r="C714" i="3"/>
  <c r="C713" i="3"/>
  <c r="C712" i="3"/>
  <c r="C710" i="3"/>
  <c r="C709" i="3"/>
  <c r="C708" i="3"/>
  <c r="C707" i="3"/>
  <c r="C706" i="3"/>
  <c r="C705" i="3"/>
  <c r="C704" i="3"/>
  <c r="C703" i="3"/>
  <c r="C702" i="3"/>
  <c r="C701" i="3"/>
  <c r="C699" i="3"/>
  <c r="C698" i="3"/>
  <c r="C697" i="3"/>
  <c r="C696" i="3"/>
  <c r="C695" i="3"/>
  <c r="C694" i="3"/>
  <c r="C693" i="3"/>
  <c r="C692" i="3"/>
  <c r="C691" i="3"/>
  <c r="C690" i="3"/>
  <c r="C687" i="3"/>
  <c r="C686" i="3"/>
  <c r="C685" i="3"/>
  <c r="C684" i="3"/>
  <c r="C682" i="3"/>
  <c r="C681" i="3"/>
  <c r="C680" i="3"/>
  <c r="C679" i="3"/>
  <c r="C678" i="3"/>
  <c r="C677" i="3"/>
  <c r="C676" i="3"/>
  <c r="C675" i="3"/>
  <c r="C674" i="3"/>
  <c r="C673" i="3"/>
  <c r="C671" i="3"/>
  <c r="C670" i="3"/>
  <c r="C669" i="3"/>
  <c r="C668" i="3"/>
  <c r="C667" i="3"/>
  <c r="C666" i="3"/>
  <c r="C665" i="3"/>
  <c r="C664" i="3"/>
  <c r="C663" i="3"/>
  <c r="C662" i="3"/>
  <c r="C660" i="3"/>
  <c r="C659" i="3"/>
  <c r="C658" i="3"/>
  <c r="C657" i="3"/>
  <c r="C656" i="3"/>
  <c r="C655" i="3"/>
  <c r="C654" i="3"/>
  <c r="C653" i="3"/>
  <c r="C652" i="3"/>
  <c r="C650" i="3"/>
  <c r="C649" i="3"/>
  <c r="C648" i="3"/>
  <c r="C647" i="3"/>
  <c r="C646" i="3"/>
  <c r="C644" i="3"/>
  <c r="C643" i="3"/>
  <c r="C642" i="3"/>
  <c r="C641" i="3"/>
  <c r="C640" i="3"/>
  <c r="C638" i="3"/>
  <c r="C637" i="3"/>
  <c r="C636" i="3"/>
  <c r="C635" i="3"/>
  <c r="C634" i="3"/>
  <c r="C633" i="3"/>
  <c r="C632" i="3"/>
  <c r="C630" i="3"/>
  <c r="C629" i="3"/>
  <c r="C628" i="3"/>
  <c r="C625" i="3"/>
  <c r="C624" i="3"/>
  <c r="C623" i="3"/>
  <c r="C622" i="3"/>
  <c r="C621" i="3"/>
  <c r="C619" i="3"/>
  <c r="C618" i="3"/>
  <c r="C617" i="3"/>
  <c r="C616" i="3"/>
  <c r="C615" i="3"/>
  <c r="C614" i="3"/>
  <c r="C613" i="3"/>
  <c r="C612" i="3"/>
  <c r="C611" i="3"/>
  <c r="C610" i="3"/>
  <c r="C609" i="3"/>
  <c r="C607" i="3"/>
  <c r="C606" i="3"/>
  <c r="C605" i="3"/>
  <c r="C604" i="3"/>
  <c r="C603" i="3"/>
  <c r="C601" i="3"/>
  <c r="C600" i="3"/>
  <c r="C599" i="3"/>
  <c r="C598" i="3"/>
  <c r="C597" i="3"/>
  <c r="C595" i="3"/>
  <c r="C594" i="3"/>
  <c r="C593" i="3"/>
  <c r="C591" i="3"/>
  <c r="C590" i="3"/>
  <c r="C588" i="3"/>
  <c r="C587" i="3"/>
  <c r="C586" i="3"/>
  <c r="C584" i="3"/>
  <c r="C583" i="3"/>
  <c r="C582" i="3"/>
  <c r="C581" i="3"/>
  <c r="C580" i="3"/>
  <c r="C579" i="3"/>
  <c r="C578" i="3"/>
  <c r="C577" i="3"/>
  <c r="C576" i="3"/>
  <c r="C575" i="3"/>
  <c r="C574" i="3"/>
  <c r="C573" i="3"/>
  <c r="C570" i="3"/>
  <c r="C568" i="3"/>
  <c r="C567" i="3"/>
  <c r="C566" i="3"/>
  <c r="C563" i="3"/>
  <c r="C561" i="3"/>
  <c r="C560" i="3"/>
  <c r="C559" i="3"/>
  <c r="C558" i="3"/>
  <c r="C557" i="3"/>
  <c r="C556" i="3"/>
  <c r="C555" i="3"/>
  <c r="C553" i="3"/>
  <c r="C552" i="3"/>
  <c r="C551" i="3"/>
  <c r="C550" i="3"/>
  <c r="C549" i="3"/>
  <c r="C548" i="3"/>
  <c r="C546" i="3"/>
  <c r="C545" i="3"/>
  <c r="C544" i="3"/>
  <c r="C541" i="3"/>
  <c r="C540" i="3"/>
  <c r="C539" i="3"/>
  <c r="C537" i="3"/>
  <c r="C536" i="3"/>
  <c r="C535" i="3"/>
  <c r="C534" i="3"/>
  <c r="C532" i="3"/>
  <c r="C531" i="3"/>
  <c r="C530" i="3"/>
  <c r="C529" i="3"/>
  <c r="C527" i="3"/>
  <c r="C526" i="3"/>
  <c r="C525" i="3"/>
  <c r="C524" i="3"/>
  <c r="C523" i="3"/>
  <c r="C522" i="3"/>
  <c r="C520" i="3"/>
  <c r="C518" i="3"/>
  <c r="C517" i="3"/>
  <c r="C516" i="3"/>
  <c r="C515" i="3"/>
  <c r="C513" i="3"/>
  <c r="C512" i="3"/>
  <c r="C511" i="3"/>
  <c r="C510" i="3"/>
  <c r="C509" i="3"/>
  <c r="C508" i="3"/>
  <c r="C507" i="3"/>
  <c r="C504" i="3"/>
  <c r="C503" i="3"/>
  <c r="C502" i="3"/>
  <c r="C501" i="3"/>
  <c r="C499" i="3"/>
  <c r="C498" i="3"/>
  <c r="C496" i="3"/>
  <c r="C494" i="3"/>
  <c r="C493" i="3"/>
  <c r="C491" i="3"/>
  <c r="C490" i="3"/>
  <c r="C489" i="3"/>
  <c r="C488" i="3"/>
  <c r="C486" i="3"/>
  <c r="C485" i="3"/>
  <c r="C484" i="3"/>
  <c r="C483" i="3"/>
  <c r="C480" i="3"/>
  <c r="C478" i="3"/>
  <c r="C476" i="3"/>
  <c r="C475" i="3"/>
  <c r="C474" i="3"/>
  <c r="C472" i="3"/>
  <c r="C471" i="3"/>
  <c r="C469" i="3"/>
  <c r="C468" i="3"/>
  <c r="C465" i="3"/>
  <c r="C464" i="3"/>
  <c r="C463" i="3"/>
  <c r="C462" i="3"/>
  <c r="C461" i="3"/>
  <c r="C460" i="3"/>
  <c r="C459" i="3"/>
  <c r="C458" i="3"/>
  <c r="C457" i="3"/>
  <c r="C456" i="3"/>
  <c r="C455" i="3"/>
  <c r="C454" i="3"/>
  <c r="C453" i="3"/>
  <c r="C452" i="3"/>
  <c r="C451" i="3"/>
  <c r="C449" i="3"/>
  <c r="C448" i="3"/>
  <c r="C447" i="3"/>
  <c r="C446" i="3"/>
  <c r="C445" i="3"/>
  <c r="C444" i="3"/>
  <c r="C442" i="3"/>
  <c r="C441" i="3"/>
  <c r="C440" i="3"/>
  <c r="C439" i="3"/>
  <c r="C437" i="3"/>
  <c r="C434" i="3"/>
  <c r="C433" i="3"/>
  <c r="C432" i="3"/>
  <c r="C431" i="3"/>
  <c r="C430" i="3"/>
  <c r="C428" i="3"/>
  <c r="C426" i="3"/>
  <c r="C424" i="3"/>
  <c r="C423" i="3"/>
  <c r="C422" i="3"/>
  <c r="C421" i="3"/>
  <c r="C420" i="3"/>
  <c r="C418" i="3"/>
  <c r="C417" i="3"/>
  <c r="C416" i="3"/>
  <c r="C415" i="3"/>
  <c r="C414" i="3"/>
  <c r="C413" i="3"/>
  <c r="C412" i="3"/>
  <c r="C411" i="3"/>
  <c r="C410" i="3"/>
  <c r="C408" i="3"/>
  <c r="C407" i="3"/>
  <c r="C406" i="3"/>
  <c r="C405" i="3"/>
  <c r="C404" i="3"/>
  <c r="C403" i="3"/>
  <c r="C402" i="3"/>
  <c r="C401" i="3"/>
  <c r="C400" i="3"/>
  <c r="C399" i="3"/>
  <c r="C398" i="3"/>
  <c r="C397" i="3"/>
  <c r="C396" i="3"/>
  <c r="C395" i="3"/>
  <c r="C394" i="3"/>
  <c r="C392" i="3"/>
  <c r="C391" i="3"/>
  <c r="C390" i="3"/>
  <c r="C389" i="3"/>
  <c r="C388" i="3"/>
  <c r="C387" i="3"/>
  <c r="C385" i="3"/>
  <c r="C384" i="3"/>
  <c r="C383" i="3"/>
  <c r="C382" i="3"/>
  <c r="C381" i="3"/>
  <c r="C380" i="3"/>
  <c r="C379" i="3"/>
  <c r="C378" i="3"/>
  <c r="C377" i="3"/>
  <c r="C376" i="3"/>
  <c r="C374" i="3"/>
  <c r="C373" i="3"/>
  <c r="C372" i="3"/>
  <c r="C371" i="3"/>
  <c r="C370" i="3"/>
  <c r="C369" i="3"/>
  <c r="C368" i="3"/>
  <c r="C367" i="3"/>
  <c r="C366" i="3"/>
  <c r="C365" i="3"/>
  <c r="C364" i="3"/>
  <c r="C363" i="3"/>
  <c r="C362" i="3"/>
  <c r="C361" i="3"/>
  <c r="C360" i="3"/>
  <c r="C359" i="3"/>
  <c r="C358" i="3"/>
  <c r="C357" i="3"/>
  <c r="C356" i="3"/>
  <c r="C355" i="3"/>
  <c r="C354" i="3"/>
  <c r="C353" i="3"/>
  <c r="C352" i="3"/>
  <c r="C351" i="3"/>
  <c r="C350" i="3"/>
  <c r="C349" i="3"/>
  <c r="C348" i="3"/>
  <c r="C347" i="3"/>
  <c r="C346" i="3"/>
  <c r="C345" i="3"/>
  <c r="C344" i="3"/>
  <c r="C342" i="3"/>
  <c r="C341" i="3"/>
  <c r="C340" i="3"/>
  <c r="C339" i="3"/>
  <c r="C338" i="3"/>
  <c r="C337" i="3"/>
  <c r="C336" i="3"/>
  <c r="C335" i="3"/>
  <c r="C334" i="3"/>
  <c r="C333" i="3"/>
  <c r="C332" i="3"/>
  <c r="C331" i="3"/>
  <c r="C329" i="3"/>
  <c r="C328" i="3"/>
  <c r="C326" i="3"/>
  <c r="C325" i="3"/>
  <c r="C323" i="3"/>
  <c r="C322" i="3"/>
  <c r="C320" i="3"/>
  <c r="C319" i="3"/>
  <c r="C318" i="3"/>
  <c r="C317" i="3"/>
  <c r="C316" i="3"/>
  <c r="C315" i="3"/>
  <c r="C314" i="3"/>
  <c r="C313" i="3"/>
  <c r="C312" i="3"/>
  <c r="C311" i="3"/>
  <c r="C309" i="3"/>
  <c r="C308" i="3"/>
  <c r="C307" i="3"/>
  <c r="C306" i="3"/>
  <c r="C304" i="3"/>
  <c r="C303" i="3"/>
  <c r="C302" i="3"/>
  <c r="C301" i="3"/>
  <c r="C300" i="3"/>
  <c r="C299" i="3"/>
  <c r="C298" i="3"/>
  <c r="C297" i="3"/>
  <c r="C295" i="3"/>
  <c r="C294" i="3"/>
  <c r="C293" i="3"/>
  <c r="C292" i="3"/>
  <c r="C290" i="3"/>
  <c r="C289" i="3"/>
  <c r="C288" i="3"/>
  <c r="C286" i="3"/>
  <c r="C285" i="3"/>
  <c r="C284" i="3"/>
  <c r="C283" i="3"/>
  <c r="C282" i="3"/>
  <c r="C280" i="3"/>
  <c r="C279" i="3"/>
  <c r="C278" i="3"/>
  <c r="C277" i="3"/>
  <c r="C276" i="3"/>
  <c r="C275" i="3"/>
  <c r="C273" i="3"/>
  <c r="C272" i="3"/>
  <c r="C271" i="3"/>
  <c r="C270" i="3"/>
  <c r="C269" i="3"/>
  <c r="C267" i="3"/>
  <c r="C266" i="3"/>
  <c r="C265" i="3"/>
  <c r="C264" i="3"/>
  <c r="C263" i="3"/>
  <c r="C261" i="3"/>
  <c r="C260" i="3"/>
  <c r="C259" i="3"/>
  <c r="C258" i="3"/>
  <c r="C257" i="3"/>
  <c r="C256" i="3"/>
  <c r="C255" i="3"/>
  <c r="C253" i="3"/>
  <c r="C252" i="3"/>
  <c r="C251" i="3"/>
  <c r="C250" i="3"/>
  <c r="C249" i="3"/>
  <c r="C248" i="3"/>
  <c r="C245" i="3"/>
  <c r="C244" i="3"/>
  <c r="C243" i="3"/>
  <c r="C242" i="3"/>
  <c r="C241" i="3"/>
  <c r="C240" i="3"/>
  <c r="C239" i="3"/>
  <c r="C237" i="3"/>
  <c r="C236" i="3"/>
  <c r="C235" i="3"/>
  <c r="C233" i="3"/>
  <c r="C232" i="3"/>
  <c r="C231" i="3"/>
  <c r="C229" i="3"/>
  <c r="C228" i="3"/>
  <c r="C227" i="3"/>
  <c r="C226" i="3"/>
  <c r="C225" i="3"/>
  <c r="C223" i="3"/>
  <c r="C222" i="3"/>
  <c r="C220" i="3"/>
  <c r="C218" i="3"/>
  <c r="C217" i="3"/>
  <c r="C216" i="3"/>
  <c r="C214" i="3"/>
  <c r="C213" i="3"/>
  <c r="C212" i="3"/>
  <c r="C210" i="3"/>
  <c r="C209" i="3"/>
  <c r="C207" i="3"/>
  <c r="C206" i="3"/>
  <c r="C205" i="3"/>
  <c r="C204" i="3"/>
  <c r="C203" i="3"/>
  <c r="C202" i="3"/>
  <c r="C201" i="3"/>
  <c r="C200" i="3"/>
  <c r="C199" i="3"/>
  <c r="C198" i="3"/>
  <c r="C197" i="3"/>
  <c r="C194" i="3"/>
  <c r="C193" i="3"/>
  <c r="C192" i="3"/>
  <c r="C191" i="3"/>
  <c r="C189" i="3"/>
  <c r="C188" i="3"/>
  <c r="C187" i="3"/>
  <c r="C186" i="3"/>
  <c r="C185" i="3"/>
  <c r="C183" i="3"/>
  <c r="C182" i="3"/>
  <c r="C181" i="3"/>
  <c r="C180" i="3"/>
  <c r="C178" i="3"/>
  <c r="C177" i="3"/>
  <c r="C175" i="3"/>
  <c r="C174" i="3"/>
  <c r="C173" i="3"/>
  <c r="C172" i="3"/>
  <c r="C171" i="3"/>
  <c r="C170" i="3"/>
  <c r="C169" i="3"/>
  <c r="C167" i="3"/>
  <c r="C166" i="3"/>
  <c r="C165" i="3"/>
  <c r="C164" i="3"/>
  <c r="C163" i="3"/>
  <c r="C162" i="3"/>
  <c r="C161" i="3"/>
  <c r="C160" i="3"/>
  <c r="C159" i="3"/>
  <c r="C158" i="3"/>
  <c r="C157" i="3"/>
  <c r="C156" i="3"/>
  <c r="C154" i="3"/>
  <c r="C153" i="3"/>
  <c r="C152" i="3"/>
  <c r="C151" i="3"/>
  <c r="C150" i="3"/>
  <c r="C148" i="3"/>
  <c r="C147" i="3"/>
  <c r="C146" i="3"/>
  <c r="C145" i="3"/>
  <c r="C142" i="3"/>
  <c r="C141" i="3"/>
  <c r="C140" i="3"/>
  <c r="C139" i="3"/>
  <c r="C138" i="3"/>
  <c r="C137" i="3"/>
  <c r="C136"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3" i="3"/>
  <c r="C52" i="3"/>
  <c r="C51" i="3"/>
  <c r="C50" i="3"/>
  <c r="C49" i="3"/>
  <c r="C48" i="3"/>
  <c r="C47" i="3"/>
  <c r="C45" i="3"/>
  <c r="C44" i="3"/>
  <c r="C43" i="3"/>
  <c r="C42" i="3"/>
  <c r="C41" i="3"/>
  <c r="C40" i="3"/>
  <c r="C39" i="3"/>
  <c r="C38" i="3"/>
  <c r="C37" i="3"/>
  <c r="C36" i="3"/>
  <c r="C35" i="3"/>
  <c r="C34" i="3"/>
  <c r="C33" i="3"/>
  <c r="C32" i="3"/>
  <c r="C31" i="3"/>
  <c r="C30" i="3"/>
  <c r="C29" i="3"/>
  <c r="C28" i="3"/>
  <c r="C27" i="3"/>
  <c r="C26" i="3"/>
  <c r="C25" i="3"/>
  <c r="C24" i="3"/>
  <c r="C23" i="3"/>
  <c r="C22" i="3"/>
  <c r="C21" i="3"/>
  <c r="C19" i="3"/>
  <c r="C18" i="3"/>
  <c r="C17" i="3"/>
  <c r="C16" i="3"/>
  <c r="C15" i="3"/>
  <c r="C14" i="3"/>
  <c r="C13" i="3"/>
  <c r="C12" i="3"/>
  <c r="C10" i="3"/>
  <c r="C9" i="3"/>
  <c r="C8" i="3"/>
  <c r="C6" i="3"/>
  <c r="C5" i="3"/>
  <c r="C4" i="3"/>
  <c r="C3" i="3"/>
  <c r="C2" i="3"/>
  <c r="C4331" i="3"/>
  <c r="B68" i="9"/>
  <c r="H62" i="9"/>
  <c r="H56" i="9"/>
  <c r="H33" i="9"/>
  <c r="C25" i="9"/>
  <c r="C29" i="9" s="1"/>
  <c r="C33" i="9" s="1"/>
  <c r="H40" i="16" s="1"/>
  <c r="H18" i="9"/>
  <c r="H19" i="9" s="1"/>
  <c r="B68" i="8"/>
  <c r="H62" i="8"/>
  <c r="H56" i="8"/>
  <c r="H33" i="8"/>
  <c r="C25" i="8"/>
  <c r="C29" i="8" s="1"/>
  <c r="C33" i="8" s="1"/>
  <c r="H18" i="8"/>
  <c r="H19" i="8" s="1"/>
  <c r="B72" i="7"/>
  <c r="H18" i="7"/>
  <c r="H19" i="7" s="1"/>
  <c r="H33" i="7"/>
  <c r="H56" i="7"/>
  <c r="H60" i="7"/>
  <c r="H66" i="7"/>
  <c r="C31" i="7"/>
  <c r="C35" i="7" s="1"/>
  <c r="C20" i="7"/>
  <c r="B250" i="6"/>
  <c r="H243" i="6"/>
  <c r="H236" i="6"/>
  <c r="H237" i="6" s="1"/>
  <c r="H191" i="6"/>
  <c r="H192" i="6" s="1"/>
  <c r="H193" i="6" s="1"/>
  <c r="H185" i="6"/>
  <c r="C54" i="6" s="1"/>
  <c r="H168" i="6"/>
  <c r="H163" i="6"/>
  <c r="H148" i="6"/>
  <c r="H126" i="6"/>
  <c r="H172" i="6" s="1"/>
  <c r="C57" i="6"/>
  <c r="C56" i="6"/>
  <c r="C44" i="6"/>
  <c r="C39" i="6"/>
  <c r="C34" i="6"/>
  <c r="H25" i="6"/>
  <c r="H28" i="6" s="1"/>
  <c r="C25" i="6"/>
  <c r="E14" i="1" l="1"/>
  <c r="E40" i="1"/>
  <c r="G326" i="1"/>
  <c r="G252" i="1"/>
  <c r="G236" i="1"/>
  <c r="G375" i="1"/>
  <c r="H34" i="16"/>
  <c r="H31" i="16"/>
  <c r="I41" i="16"/>
  <c r="I40" i="16"/>
  <c r="I42" i="16"/>
  <c r="E169" i="1"/>
  <c r="D143" i="1"/>
  <c r="D140" i="1"/>
  <c r="D142" i="1"/>
  <c r="D169" i="1"/>
  <c r="E139" i="1"/>
  <c r="E141" i="1"/>
  <c r="E170" i="1"/>
  <c r="D139" i="1"/>
  <c r="D141" i="1"/>
  <c r="D170" i="1"/>
  <c r="E143" i="1"/>
  <c r="E140" i="1"/>
  <c r="E142" i="1"/>
  <c r="H367" i="1"/>
  <c r="E258" i="1"/>
  <c r="E367" i="1"/>
  <c r="D258" i="1"/>
  <c r="D367" i="1"/>
  <c r="E369" i="1"/>
  <c r="D369" i="1"/>
  <c r="D368" i="1"/>
  <c r="E368" i="1"/>
  <c r="H258" i="1"/>
  <c r="D196" i="1"/>
  <c r="D190" i="1"/>
  <c r="E185" i="1"/>
  <c r="H179" i="1"/>
  <c r="E29" i="1"/>
  <c r="H187" i="1"/>
  <c r="E179" i="1"/>
  <c r="D29" i="1"/>
  <c r="E199" i="1"/>
  <c r="H184" i="1"/>
  <c r="D199" i="1"/>
  <c r="D185" i="1"/>
  <c r="E187" i="1"/>
  <c r="H199" i="1"/>
  <c r="D187" i="1"/>
  <c r="E184" i="1"/>
  <c r="H178" i="1"/>
  <c r="H180" i="1"/>
  <c r="H186" i="1"/>
  <c r="D184" i="1"/>
  <c r="E178" i="1"/>
  <c r="E186" i="1"/>
  <c r="D178" i="1"/>
  <c r="H196" i="1"/>
  <c r="D186" i="1"/>
  <c r="E180" i="1"/>
  <c r="E196" i="1"/>
  <c r="E190" i="1"/>
  <c r="H185" i="1"/>
  <c r="D180" i="1"/>
  <c r="H29" i="1"/>
  <c r="D179" i="1"/>
  <c r="D194" i="1"/>
  <c r="E193" i="1"/>
  <c r="D193" i="1"/>
  <c r="E194" i="1"/>
  <c r="D144" i="1"/>
  <c r="D195" i="1"/>
  <c r="E144" i="1"/>
  <c r="E195" i="1"/>
  <c r="E229" i="1"/>
  <c r="D229" i="1"/>
  <c r="E385" i="1"/>
  <c r="D385" i="1"/>
  <c r="E25" i="1"/>
  <c r="D25" i="1"/>
  <c r="E28" i="1"/>
  <c r="D28" i="1"/>
  <c r="E26" i="1"/>
  <c r="D26" i="1"/>
  <c r="E27" i="1"/>
  <c r="D27" i="1"/>
  <c r="E115" i="1"/>
  <c r="D115" i="1"/>
  <c r="H110" i="1"/>
  <c r="H109" i="1"/>
  <c r="E110" i="1"/>
  <c r="D110" i="1"/>
  <c r="H87" i="1"/>
  <c r="E109" i="1"/>
  <c r="D109" i="1"/>
  <c r="D138" i="1"/>
  <c r="E138" i="1"/>
  <c r="D246" i="1"/>
  <c r="D251" i="1"/>
  <c r="E251" i="1"/>
  <c r="E246" i="1"/>
  <c r="E377" i="1"/>
  <c r="D377" i="1"/>
  <c r="E378" i="1"/>
  <c r="D378" i="1"/>
  <c r="D233" i="1"/>
  <c r="E230" i="1"/>
  <c r="E235" i="1"/>
  <c r="D230" i="1"/>
  <c r="E65" i="1"/>
  <c r="D231" i="1"/>
  <c r="D65" i="1"/>
  <c r="D235" i="1"/>
  <c r="E232" i="1"/>
  <c r="D232" i="1"/>
  <c r="E234" i="1"/>
  <c r="H65" i="1"/>
  <c r="E236" i="1"/>
  <c r="H236" i="1"/>
  <c r="D234" i="1"/>
  <c r="E231" i="1"/>
  <c r="D236" i="1"/>
  <c r="E233" i="1"/>
  <c r="D78" i="1"/>
  <c r="E78" i="1"/>
  <c r="E151" i="1"/>
  <c r="H66" i="1"/>
  <c r="D151" i="1"/>
  <c r="D64" i="1"/>
  <c r="E64" i="1"/>
  <c r="H64" i="1"/>
  <c r="H62" i="1" s="1"/>
  <c r="D66" i="1"/>
  <c r="E66" i="1"/>
  <c r="D137" i="1"/>
  <c r="E165" i="1"/>
  <c r="D165" i="1"/>
  <c r="E164" i="1"/>
  <c r="D164" i="1"/>
  <c r="E137" i="1"/>
  <c r="E362" i="1"/>
  <c r="D362" i="1"/>
  <c r="D342" i="1"/>
  <c r="D352" i="1"/>
  <c r="E349" i="1"/>
  <c r="E337" i="1"/>
  <c r="H336" i="1"/>
  <c r="H326" i="1"/>
  <c r="D329" i="1"/>
  <c r="D326" i="1"/>
  <c r="D363" i="1"/>
  <c r="E343" i="1"/>
  <c r="D341" i="1"/>
  <c r="E353" i="1"/>
  <c r="E345" i="1"/>
  <c r="H338" i="1"/>
  <c r="E360" i="1"/>
  <c r="E344" i="1"/>
  <c r="E339" i="1"/>
  <c r="D349" i="1"/>
  <c r="E346" i="1"/>
  <c r="D337" i="1"/>
  <c r="E336" i="1"/>
  <c r="E329" i="1"/>
  <c r="E326" i="1"/>
  <c r="D354" i="1"/>
  <c r="D330" i="1"/>
  <c r="E327" i="1"/>
  <c r="D361" i="1"/>
  <c r="D360" i="1"/>
  <c r="D344" i="1"/>
  <c r="D339" i="1"/>
  <c r="E351" i="1"/>
  <c r="D346" i="1"/>
  <c r="H354" i="1"/>
  <c r="D336" i="1"/>
  <c r="H328" i="1"/>
  <c r="H330" i="1"/>
  <c r="E359" i="1"/>
  <c r="D348" i="1"/>
  <c r="D335" i="1"/>
  <c r="D340" i="1"/>
  <c r="E363" i="1"/>
  <c r="E341" i="1"/>
  <c r="D351" i="1"/>
  <c r="E348" i="1"/>
  <c r="E354" i="1"/>
  <c r="E335" i="1"/>
  <c r="E330" i="1"/>
  <c r="E328" i="1"/>
  <c r="D358" i="1"/>
  <c r="H361" i="1"/>
  <c r="D359" i="1"/>
  <c r="D343" i="1"/>
  <c r="D353" i="1"/>
  <c r="E350" i="1"/>
  <c r="D345" i="1"/>
  <c r="E338" i="1"/>
  <c r="E334" i="1"/>
  <c r="D328" i="1"/>
  <c r="E361" i="1"/>
  <c r="E358" i="1"/>
  <c r="E340" i="1"/>
  <c r="D350" i="1"/>
  <c r="E347" i="1"/>
  <c r="D338" i="1"/>
  <c r="D334" i="1"/>
  <c r="E342" i="1"/>
  <c r="E352" i="1"/>
  <c r="D347" i="1"/>
  <c r="H337" i="1"/>
  <c r="D327" i="1"/>
  <c r="H358" i="1"/>
  <c r="D95" i="1"/>
  <c r="E303" i="1"/>
  <c r="E299" i="1"/>
  <c r="E295" i="1"/>
  <c r="E291" i="1"/>
  <c r="E318" i="1"/>
  <c r="H307" i="1"/>
  <c r="E320" i="1"/>
  <c r="H322" i="1"/>
  <c r="D303" i="1"/>
  <c r="D295" i="1"/>
  <c r="D318" i="1"/>
  <c r="D320" i="1"/>
  <c r="E322" i="1"/>
  <c r="H94" i="1"/>
  <c r="D299" i="1"/>
  <c r="D291" i="1"/>
  <c r="E307" i="1"/>
  <c r="E94" i="1"/>
  <c r="H100" i="1"/>
  <c r="D94" i="1"/>
  <c r="D302" i="1"/>
  <c r="D298" i="1"/>
  <c r="D294" i="1"/>
  <c r="D290" i="1"/>
  <c r="E317" i="1"/>
  <c r="H306" i="1"/>
  <c r="D319" i="1"/>
  <c r="H321" i="1"/>
  <c r="E100" i="1"/>
  <c r="E301" i="1"/>
  <c r="E297" i="1"/>
  <c r="E293" i="1"/>
  <c r="E289" i="1"/>
  <c r="D317" i="1"/>
  <c r="E306" i="1"/>
  <c r="E321" i="1"/>
  <c r="H95" i="1"/>
  <c r="E304" i="1"/>
  <c r="E300" i="1"/>
  <c r="E296" i="1"/>
  <c r="E292" i="1"/>
  <c r="E288" i="1"/>
  <c r="E316" i="1"/>
  <c r="E305" i="1"/>
  <c r="E290" i="1"/>
  <c r="D307" i="1"/>
  <c r="E319" i="1"/>
  <c r="D322" i="1"/>
  <c r="D100" i="1"/>
  <c r="D301" i="1"/>
  <c r="D297" i="1"/>
  <c r="D293" i="1"/>
  <c r="D289" i="1"/>
  <c r="H316" i="1"/>
  <c r="D306" i="1"/>
  <c r="D321" i="1"/>
  <c r="H99" i="1"/>
  <c r="E95" i="1"/>
  <c r="D304" i="1"/>
  <c r="D300" i="1"/>
  <c r="D296" i="1"/>
  <c r="D292" i="1"/>
  <c r="D288" i="1"/>
  <c r="D316" i="1"/>
  <c r="D305" i="1"/>
  <c r="E302" i="1"/>
  <c r="E298" i="1"/>
  <c r="E294" i="1"/>
  <c r="H317" i="1"/>
  <c r="E287" i="1"/>
  <c r="H284" i="1"/>
  <c r="D282" i="1"/>
  <c r="E240" i="1"/>
  <c r="E282" i="1"/>
  <c r="D287" i="1"/>
  <c r="E284" i="1"/>
  <c r="H281" i="1"/>
  <c r="H242" i="1"/>
  <c r="D240" i="1"/>
  <c r="H286" i="1"/>
  <c r="D284" i="1"/>
  <c r="E281" i="1"/>
  <c r="E242" i="1"/>
  <c r="H287" i="1"/>
  <c r="E286" i="1"/>
  <c r="H283" i="1"/>
  <c r="D281" i="1"/>
  <c r="D242" i="1"/>
  <c r="D285" i="1"/>
  <c r="H240" i="1"/>
  <c r="D286" i="1"/>
  <c r="E283" i="1"/>
  <c r="H241" i="1"/>
  <c r="H285" i="1"/>
  <c r="D283" i="1"/>
  <c r="E241" i="1"/>
  <c r="E285" i="1"/>
  <c r="H282" i="1"/>
  <c r="D241" i="1"/>
  <c r="H280" i="1"/>
  <c r="E280" i="1"/>
  <c r="D280" i="1"/>
  <c r="H266" i="1"/>
  <c r="D264" i="1"/>
  <c r="H257" i="1"/>
  <c r="D260" i="1"/>
  <c r="H250" i="1"/>
  <c r="D248" i="1"/>
  <c r="E224" i="1"/>
  <c r="H222" i="1"/>
  <c r="D220" i="1"/>
  <c r="H225" i="1"/>
  <c r="D227" i="1"/>
  <c r="E255" i="1"/>
  <c r="D155" i="1"/>
  <c r="D150" i="1"/>
  <c r="E266" i="1"/>
  <c r="H270" i="1"/>
  <c r="E259" i="1"/>
  <c r="E250" i="1"/>
  <c r="H247" i="1"/>
  <c r="D224" i="1"/>
  <c r="E222" i="1"/>
  <c r="H219" i="1"/>
  <c r="E225" i="1"/>
  <c r="H217" i="1"/>
  <c r="D255" i="1"/>
  <c r="D266" i="1"/>
  <c r="E270" i="1"/>
  <c r="H268" i="1"/>
  <c r="H259" i="1"/>
  <c r="H252" i="1"/>
  <c r="D250" i="1"/>
  <c r="E247" i="1"/>
  <c r="D222" i="1"/>
  <c r="E219" i="1"/>
  <c r="D225" i="1"/>
  <c r="E217" i="1"/>
  <c r="E149" i="1"/>
  <c r="E267" i="1"/>
  <c r="E223" i="1"/>
  <c r="D218" i="1"/>
  <c r="G227" i="1"/>
  <c r="H227" i="1" s="1"/>
  <c r="H265" i="1"/>
  <c r="D270" i="1"/>
  <c r="E268" i="1"/>
  <c r="E260" i="1"/>
  <c r="E252" i="1"/>
  <c r="H249" i="1"/>
  <c r="D247" i="1"/>
  <c r="H221" i="1"/>
  <c r="D219" i="1"/>
  <c r="H228" i="1"/>
  <c r="D217" i="1"/>
  <c r="D149" i="1"/>
  <c r="E221" i="1"/>
  <c r="H264" i="1"/>
  <c r="H248" i="1"/>
  <c r="H220" i="1"/>
  <c r="E226" i="1"/>
  <c r="D263" i="1"/>
  <c r="D148" i="1"/>
  <c r="E265" i="1"/>
  <c r="H269" i="1"/>
  <c r="D268" i="1"/>
  <c r="H260" i="1"/>
  <c r="D252" i="1"/>
  <c r="E249" i="1"/>
  <c r="H218" i="1"/>
  <c r="E228" i="1"/>
  <c r="H263" i="1"/>
  <c r="E156" i="1"/>
  <c r="D269" i="1"/>
  <c r="D257" i="1"/>
  <c r="H267" i="1"/>
  <c r="D265" i="1"/>
  <c r="E269" i="1"/>
  <c r="E256" i="1"/>
  <c r="D256" i="1"/>
  <c r="D249" i="1"/>
  <c r="H223" i="1"/>
  <c r="D221" i="1"/>
  <c r="E218" i="1"/>
  <c r="H226" i="1"/>
  <c r="D228" i="1"/>
  <c r="E263" i="1"/>
  <c r="D156" i="1"/>
  <c r="E148" i="1"/>
  <c r="H256" i="1"/>
  <c r="D267" i="1"/>
  <c r="E264" i="1"/>
  <c r="E257" i="1"/>
  <c r="D259" i="1"/>
  <c r="E248" i="1"/>
  <c r="H224" i="1"/>
  <c r="D223" i="1"/>
  <c r="E220" i="1"/>
  <c r="D226" i="1"/>
  <c r="E227" i="1"/>
  <c r="H255" i="1"/>
  <c r="E155" i="1"/>
  <c r="E150" i="1"/>
  <c r="D160" i="1"/>
  <c r="E147" i="1"/>
  <c r="D147" i="1"/>
  <c r="D159" i="1"/>
  <c r="E159" i="1"/>
  <c r="E154" i="1"/>
  <c r="D154" i="1"/>
  <c r="E160" i="1"/>
  <c r="E183" i="1"/>
  <c r="E208" i="1"/>
  <c r="D211" i="1"/>
  <c r="E210" i="1"/>
  <c r="E209" i="1"/>
  <c r="H191" i="1"/>
  <c r="D183" i="1"/>
  <c r="D208" i="1"/>
  <c r="E211" i="1"/>
  <c r="E206" i="1"/>
  <c r="E191" i="1"/>
  <c r="H182" i="1"/>
  <c r="D191" i="1"/>
  <c r="E182" i="1"/>
  <c r="D207" i="1"/>
  <c r="D192" i="1"/>
  <c r="H190" i="1"/>
  <c r="D182" i="1"/>
  <c r="E192" i="1"/>
  <c r="D210" i="1"/>
  <c r="H183" i="1"/>
  <c r="D209" i="1"/>
  <c r="D206" i="1"/>
  <c r="E207" i="1"/>
  <c r="E124" i="1"/>
  <c r="D127" i="1"/>
  <c r="E132" i="1"/>
  <c r="D122" i="1"/>
  <c r="E127" i="1"/>
  <c r="D130" i="1"/>
  <c r="E122" i="1"/>
  <c r="D125" i="1"/>
  <c r="E130" i="1"/>
  <c r="D133" i="1"/>
  <c r="D129" i="1"/>
  <c r="E121" i="1"/>
  <c r="E125" i="1"/>
  <c r="D128" i="1"/>
  <c r="E133" i="1"/>
  <c r="E129" i="1"/>
  <c r="D123" i="1"/>
  <c r="E128" i="1"/>
  <c r="D131" i="1"/>
  <c r="D121" i="1"/>
  <c r="D132" i="1"/>
  <c r="E123" i="1"/>
  <c r="D126" i="1"/>
  <c r="E131" i="1"/>
  <c r="E126" i="1"/>
  <c r="D124" i="1"/>
  <c r="E311" i="1"/>
  <c r="E312" i="1"/>
  <c r="D312" i="1"/>
  <c r="D311" i="1"/>
  <c r="E30" i="1"/>
  <c r="D30" i="1"/>
  <c r="E120" i="1"/>
  <c r="D120" i="1"/>
  <c r="D24" i="1"/>
  <c r="E24" i="1"/>
  <c r="D396" i="1"/>
  <c r="E396" i="1"/>
  <c r="D274" i="1"/>
  <c r="E274" i="1"/>
  <c r="D85" i="4"/>
  <c r="D87" i="4"/>
  <c r="D81" i="4"/>
  <c r="F83" i="4"/>
  <c r="D69" i="4"/>
  <c r="F71" i="4"/>
  <c r="E74" i="4"/>
  <c r="D77" i="4"/>
  <c r="F79" i="4"/>
  <c r="D83" i="4"/>
  <c r="D79" i="4"/>
  <c r="E85" i="4"/>
  <c r="E87" i="4"/>
  <c r="E81" i="4"/>
  <c r="E69" i="4"/>
  <c r="D72" i="4"/>
  <c r="F74" i="4"/>
  <c r="E77" i="4"/>
  <c r="F88" i="4"/>
  <c r="F73" i="4"/>
  <c r="F85" i="4"/>
  <c r="F87" i="4"/>
  <c r="F81" i="4"/>
  <c r="F69" i="4"/>
  <c r="E72" i="4"/>
  <c r="D75" i="4"/>
  <c r="F77" i="4"/>
  <c r="E80" i="4"/>
  <c r="E76" i="4"/>
  <c r="D82" i="4"/>
  <c r="D70" i="4"/>
  <c r="F72" i="4"/>
  <c r="E75" i="4"/>
  <c r="D78" i="4"/>
  <c r="F86" i="4"/>
  <c r="D84" i="4"/>
  <c r="D86" i="4"/>
  <c r="D88" i="4"/>
  <c r="E82" i="4"/>
  <c r="E70" i="4"/>
  <c r="D73" i="4"/>
  <c r="F75" i="4"/>
  <c r="E78" i="4"/>
  <c r="F84" i="4"/>
  <c r="D71" i="4"/>
  <c r="E84" i="4"/>
  <c r="E86" i="4"/>
  <c r="E88" i="4"/>
  <c r="D80" i="4"/>
  <c r="F82" i="4"/>
  <c r="F68" i="4"/>
  <c r="F70" i="4"/>
  <c r="E73" i="4"/>
  <c r="D76" i="4"/>
  <c r="F78" i="4"/>
  <c r="E68" i="4"/>
  <c r="F80" i="4"/>
  <c r="E83" i="4"/>
  <c r="D68" i="4"/>
  <c r="E71" i="4"/>
  <c r="D74" i="4"/>
  <c r="F76" i="4"/>
  <c r="E79" i="4"/>
  <c r="D381" i="1"/>
  <c r="E381" i="1"/>
  <c r="D14" i="1"/>
  <c r="H47" i="1"/>
  <c r="E197" i="1"/>
  <c r="D181" i="1"/>
  <c r="D201" i="1"/>
  <c r="E198" i="1"/>
  <c r="D84" i="1"/>
  <c r="H103" i="1"/>
  <c r="D104" i="1"/>
  <c r="E99" i="1"/>
  <c r="D74" i="1"/>
  <c r="H72" i="1"/>
  <c r="E55" i="1"/>
  <c r="E49" i="1"/>
  <c r="E375" i="1"/>
  <c r="D197" i="1"/>
  <c r="E103" i="1"/>
  <c r="D49" i="1"/>
  <c r="D72" i="1"/>
  <c r="H105" i="1"/>
  <c r="H188" i="1"/>
  <c r="E176" i="1"/>
  <c r="H175" i="1"/>
  <c r="D200" i="1"/>
  <c r="H174" i="1"/>
  <c r="D102" i="1"/>
  <c r="E105" i="1"/>
  <c r="H101" i="1"/>
  <c r="E85" i="1"/>
  <c r="H88" i="1"/>
  <c r="H60" i="1"/>
  <c r="D51" i="1"/>
  <c r="E48" i="1"/>
  <c r="D198" i="1"/>
  <c r="D375" i="1"/>
  <c r="E200" i="1"/>
  <c r="E188" i="1"/>
  <c r="D176" i="1"/>
  <c r="E175" i="1"/>
  <c r="E174" i="1"/>
  <c r="D105" i="1"/>
  <c r="E101" i="1"/>
  <c r="D85" i="1"/>
  <c r="E88" i="1"/>
  <c r="H73" i="1"/>
  <c r="H56" i="1"/>
  <c r="E60" i="1"/>
  <c r="H50" i="1"/>
  <c r="D48" i="1"/>
  <c r="H376" i="1"/>
  <c r="E177" i="1"/>
  <c r="E87" i="1"/>
  <c r="H51" i="1"/>
  <c r="H189" i="1"/>
  <c r="D188" i="1"/>
  <c r="D175" i="1"/>
  <c r="H202" i="1"/>
  <c r="D174" i="1"/>
  <c r="H86" i="1"/>
  <c r="D101" i="1"/>
  <c r="H83" i="1"/>
  <c r="D88" i="1"/>
  <c r="E56" i="1"/>
  <c r="D60" i="1"/>
  <c r="E50" i="1"/>
  <c r="E376" i="1"/>
  <c r="H200" i="1"/>
  <c r="H102" i="1"/>
  <c r="E72" i="1"/>
  <c r="D177" i="1"/>
  <c r="E102" i="1"/>
  <c r="D87" i="1"/>
  <c r="E51" i="1"/>
  <c r="E189" i="1"/>
  <c r="H181" i="1"/>
  <c r="H201" i="1"/>
  <c r="E202" i="1"/>
  <c r="H84" i="1"/>
  <c r="E86" i="1"/>
  <c r="H104" i="1"/>
  <c r="E83" i="1"/>
  <c r="H74" i="1"/>
  <c r="E73" i="1"/>
  <c r="D56" i="1"/>
  <c r="D50" i="1"/>
  <c r="D376" i="1"/>
  <c r="D99" i="1"/>
  <c r="D103" i="1"/>
  <c r="H197" i="1"/>
  <c r="D189" i="1"/>
  <c r="E181" i="1"/>
  <c r="E201" i="1"/>
  <c r="H198" i="1"/>
  <c r="D202" i="1"/>
  <c r="E84" i="1"/>
  <c r="D86" i="1"/>
  <c r="E104" i="1"/>
  <c r="D83" i="1"/>
  <c r="E74" i="1"/>
  <c r="D73" i="1"/>
  <c r="H55" i="1"/>
  <c r="H53" i="1" s="1"/>
  <c r="H49" i="1"/>
  <c r="H375" i="1"/>
  <c r="D55" i="1"/>
  <c r="H85" i="1"/>
  <c r="H48" i="1"/>
  <c r="D47" i="1"/>
  <c r="E47" i="1"/>
  <c r="H20" i="9"/>
  <c r="H21" i="9" s="1"/>
  <c r="H20" i="8"/>
  <c r="H21" i="8" s="1"/>
  <c r="C48" i="6"/>
  <c r="C47" i="6"/>
  <c r="H20" i="7"/>
  <c r="H21" i="7" s="1"/>
  <c r="C39" i="7"/>
  <c r="H22" i="16" s="1"/>
  <c r="C55" i="6"/>
  <c r="C58" i="6" s="1"/>
  <c r="H197" i="6"/>
  <c r="H171" i="6"/>
  <c r="H173" i="6" s="1"/>
  <c r="H175" i="6" s="1"/>
  <c r="H238" i="1" l="1"/>
  <c r="H92" i="1"/>
  <c r="F16" i="29"/>
  <c r="E17" i="27"/>
  <c r="H45" i="1"/>
  <c r="H97" i="1"/>
  <c r="H107" i="1"/>
  <c r="E15" i="27"/>
  <c r="F14" i="29"/>
  <c r="H82" i="1"/>
  <c r="H80" i="1" s="1"/>
  <c r="F18" i="29" s="1"/>
  <c r="H70" i="1"/>
  <c r="H262" i="1"/>
  <c r="H254" i="1"/>
  <c r="I43" i="16"/>
  <c r="E16" i="26"/>
  <c r="H58" i="1"/>
  <c r="H22" i="9"/>
  <c r="H31" i="9"/>
  <c r="H32" i="9" s="1"/>
  <c r="H22" i="8"/>
  <c r="H31" i="8"/>
  <c r="H32" i="8" s="1"/>
  <c r="C49" i="6"/>
  <c r="C51" i="6" s="1"/>
  <c r="H14" i="6" s="1"/>
  <c r="H36" i="6" s="1"/>
  <c r="H37" i="6" s="1"/>
  <c r="H38" i="6" s="1"/>
  <c r="H39" i="6" s="1"/>
  <c r="H31" i="7"/>
  <c r="H32" i="7" s="1"/>
  <c r="H22" i="7"/>
  <c r="H199" i="6"/>
  <c r="D36" i="5"/>
  <c r="D42" i="5" s="1"/>
  <c r="D44" i="5" s="1"/>
  <c r="C50" i="5"/>
  <c r="C49" i="5"/>
  <c r="H90" i="1" l="1"/>
  <c r="F19" i="29" s="1"/>
  <c r="H389" i="1"/>
  <c r="F13" i="27"/>
  <c r="H13" i="27" s="1"/>
  <c r="N13" i="27" s="1"/>
  <c r="G14" i="29"/>
  <c r="H14" i="29" s="1"/>
  <c r="F13" i="29"/>
  <c r="E14" i="27"/>
  <c r="F14" i="27" s="1"/>
  <c r="I14" i="27" s="1"/>
  <c r="N14" i="27" s="1"/>
  <c r="F15" i="27"/>
  <c r="H15" i="27" s="1"/>
  <c r="N15" i="27" s="1"/>
  <c r="F17" i="27"/>
  <c r="I17" i="27" s="1"/>
  <c r="N17" i="27" s="1"/>
  <c r="F15" i="29"/>
  <c r="E16" i="27"/>
  <c r="F16" i="27" s="1"/>
  <c r="H16" i="27" s="1"/>
  <c r="N16" i="27" s="1"/>
  <c r="G19" i="29"/>
  <c r="L19" i="29" s="1"/>
  <c r="G18" i="29"/>
  <c r="L18" i="29" s="1"/>
  <c r="G16" i="29"/>
  <c r="I16" i="29" s="1"/>
  <c r="H401" i="1"/>
  <c r="F16" i="26"/>
  <c r="H16" i="26" s="1"/>
  <c r="I16" i="26" s="1"/>
  <c r="K16" i="26" s="1"/>
  <c r="M16" i="26" s="1"/>
  <c r="O16" i="26" s="1"/>
  <c r="Q16" i="26" s="1"/>
  <c r="S16" i="26" s="1"/>
  <c r="T16" i="26" s="1"/>
  <c r="H37" i="9"/>
  <c r="H36" i="9"/>
  <c r="H23" i="9"/>
  <c r="H24" i="9" s="1"/>
  <c r="H25" i="9"/>
  <c r="H26" i="9" s="1"/>
  <c r="H23" i="8"/>
  <c r="H24" i="8" s="1"/>
  <c r="H25" i="8" s="1"/>
  <c r="H26" i="8" s="1"/>
  <c r="H37" i="8"/>
  <c r="H36" i="8"/>
  <c r="H32" i="6"/>
  <c r="H15" i="16" s="1"/>
  <c r="H23" i="7"/>
  <c r="H24" i="7" s="1"/>
  <c r="H25" i="7" s="1"/>
  <c r="H26" i="7" s="1"/>
  <c r="H36" i="7"/>
  <c r="H37" i="7"/>
  <c r="H40" i="6"/>
  <c r="H41" i="6" s="1"/>
  <c r="H42" i="6" s="1"/>
  <c r="H43" i="6" s="1"/>
  <c r="H44" i="6" s="1"/>
  <c r="H45" i="6" s="1"/>
  <c r="H50" i="6"/>
  <c r="J6" i="2"/>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C2" i="4"/>
  <c r="H38" i="7" l="1"/>
  <c r="H39" i="7" s="1"/>
  <c r="G15" i="29"/>
  <c r="H15" i="29" s="1"/>
  <c r="G13" i="29"/>
  <c r="I13" i="29" s="1"/>
  <c r="E19" i="26"/>
  <c r="F19" i="26" s="1"/>
  <c r="L19" i="26" s="1"/>
  <c r="E20" i="27"/>
  <c r="F20" i="27" s="1"/>
  <c r="H38" i="9"/>
  <c r="H39" i="9" s="1"/>
  <c r="K3195" i="2"/>
  <c r="C3175" i="2"/>
  <c r="C3160" i="2"/>
  <c r="C3159" i="2"/>
  <c r="C3156" i="2"/>
  <c r="C3155" i="2"/>
  <c r="E3195" i="2"/>
  <c r="K3160" i="2"/>
  <c r="K3159" i="2"/>
  <c r="K3156" i="2"/>
  <c r="K3155" i="2"/>
  <c r="C3195" i="2"/>
  <c r="K3175" i="2"/>
  <c r="G3160" i="2"/>
  <c r="G3159" i="2"/>
  <c r="G3156" i="2"/>
  <c r="G3155" i="2"/>
  <c r="E3175" i="2"/>
  <c r="E3160" i="2"/>
  <c r="E3159" i="2"/>
  <c r="E3156" i="2"/>
  <c r="E3155" i="2"/>
  <c r="G3175" i="2"/>
  <c r="G3195" i="2"/>
  <c r="I3195" i="2" s="1"/>
  <c r="I3207" i="2" s="1"/>
  <c r="K3158" i="2"/>
  <c r="E3158" i="2"/>
  <c r="K3161" i="2"/>
  <c r="C3157" i="2"/>
  <c r="G3162" i="2"/>
  <c r="C3161" i="2"/>
  <c r="K3157" i="2"/>
  <c r="E3161" i="2"/>
  <c r="K3162" i="2"/>
  <c r="E3162" i="2"/>
  <c r="C3158" i="2"/>
  <c r="G3157" i="2"/>
  <c r="G3158" i="2"/>
  <c r="C3162" i="2"/>
  <c r="G3161" i="2"/>
  <c r="E3157" i="2"/>
  <c r="H38" i="8"/>
  <c r="H39" i="8" s="1"/>
  <c r="G169" i="2"/>
  <c r="C174" i="2"/>
  <c r="C167" i="2"/>
  <c r="C165" i="2"/>
  <c r="C163" i="2"/>
  <c r="C161" i="2"/>
  <c r="C159" i="2"/>
  <c r="E169" i="2"/>
  <c r="K173" i="2"/>
  <c r="K166" i="2"/>
  <c r="K164" i="2"/>
  <c r="K162" i="2"/>
  <c r="K160" i="2"/>
  <c r="E120" i="2"/>
  <c r="E117" i="2"/>
  <c r="E34" i="2"/>
  <c r="E57" i="2"/>
  <c r="E54" i="2"/>
  <c r="E76" i="2"/>
  <c r="K55" i="2"/>
  <c r="K75" i="2"/>
  <c r="G33" i="2"/>
  <c r="G55" i="2"/>
  <c r="G78" i="2"/>
  <c r="K120" i="2"/>
  <c r="K57" i="2"/>
  <c r="K76" i="2"/>
  <c r="C169" i="2"/>
  <c r="G173" i="2"/>
  <c r="G166" i="2"/>
  <c r="G164" i="2"/>
  <c r="G162" i="2"/>
  <c r="G160" i="2"/>
  <c r="C120" i="2"/>
  <c r="C117" i="2"/>
  <c r="C34" i="2"/>
  <c r="C57" i="2"/>
  <c r="C54" i="2"/>
  <c r="C76" i="2"/>
  <c r="K170" i="2"/>
  <c r="E173" i="2"/>
  <c r="E166" i="2"/>
  <c r="E164" i="2"/>
  <c r="E162" i="2"/>
  <c r="E160" i="2"/>
  <c r="K118" i="2"/>
  <c r="K36" i="2"/>
  <c r="K33" i="2"/>
  <c r="K78" i="2"/>
  <c r="G118" i="2"/>
  <c r="G36" i="2"/>
  <c r="G75" i="2"/>
  <c r="K117" i="2"/>
  <c r="K34" i="2"/>
  <c r="K54" i="2"/>
  <c r="G170" i="2"/>
  <c r="C173" i="2"/>
  <c r="C166" i="2"/>
  <c r="C164" i="2"/>
  <c r="C162" i="2"/>
  <c r="C160" i="2"/>
  <c r="E170" i="2"/>
  <c r="K174" i="2"/>
  <c r="K167" i="2"/>
  <c r="K165" i="2"/>
  <c r="K163" i="2"/>
  <c r="K161" i="2"/>
  <c r="K159" i="2"/>
  <c r="E118" i="2"/>
  <c r="E36" i="2"/>
  <c r="E33" i="2"/>
  <c r="E55" i="2"/>
  <c r="E78" i="2"/>
  <c r="E75" i="2"/>
  <c r="C36" i="2"/>
  <c r="C78" i="2"/>
  <c r="G117" i="2"/>
  <c r="G34" i="2"/>
  <c r="G57" i="2"/>
  <c r="G76" i="2"/>
  <c r="C170" i="2"/>
  <c r="G174" i="2"/>
  <c r="G167" i="2"/>
  <c r="G165" i="2"/>
  <c r="G163" i="2"/>
  <c r="G161" i="2"/>
  <c r="G159" i="2"/>
  <c r="C118" i="2"/>
  <c r="C33" i="2"/>
  <c r="C55" i="2"/>
  <c r="C75" i="2"/>
  <c r="G120" i="2"/>
  <c r="G54" i="2"/>
  <c r="K169" i="2"/>
  <c r="E174" i="2"/>
  <c r="E167" i="2"/>
  <c r="E165" i="2"/>
  <c r="E163" i="2"/>
  <c r="E161" i="2"/>
  <c r="E159" i="2"/>
  <c r="C171" i="2"/>
  <c r="G35" i="2"/>
  <c r="G168" i="2"/>
  <c r="C175" i="2"/>
  <c r="C35" i="2"/>
  <c r="G176" i="2"/>
  <c r="G77" i="2"/>
  <c r="C176" i="2"/>
  <c r="C168" i="2"/>
  <c r="C56" i="2"/>
  <c r="K175" i="2"/>
  <c r="E119" i="2"/>
  <c r="K77" i="2"/>
  <c r="G172" i="2"/>
  <c r="E171" i="2"/>
  <c r="C119" i="2"/>
  <c r="K168" i="2"/>
  <c r="E35" i="2"/>
  <c r="G119" i="2"/>
  <c r="K171" i="2"/>
  <c r="K176" i="2"/>
  <c r="E176" i="2"/>
  <c r="E56" i="2"/>
  <c r="G56" i="2"/>
  <c r="E172" i="2"/>
  <c r="K172" i="2"/>
  <c r="K119" i="2"/>
  <c r="E77" i="2"/>
  <c r="E175" i="2"/>
  <c r="G171" i="2"/>
  <c r="G175" i="2"/>
  <c r="K35" i="2"/>
  <c r="C77" i="2"/>
  <c r="E168" i="2"/>
  <c r="C172" i="2"/>
  <c r="K56" i="2"/>
  <c r="C142" i="2"/>
  <c r="C140" i="2"/>
  <c r="C138" i="2"/>
  <c r="E98" i="2"/>
  <c r="E96" i="2"/>
  <c r="G3137" i="2"/>
  <c r="E3135" i="2"/>
  <c r="K3137" i="2"/>
  <c r="K3135" i="2"/>
  <c r="K143" i="2"/>
  <c r="K141" i="2"/>
  <c r="K139" i="2"/>
  <c r="C98" i="2"/>
  <c r="C96" i="2"/>
  <c r="E3137" i="2"/>
  <c r="C3135" i="2"/>
  <c r="K3138" i="2"/>
  <c r="K3136" i="2"/>
  <c r="G143" i="2"/>
  <c r="G141" i="2"/>
  <c r="G139" i="2"/>
  <c r="K99" i="2"/>
  <c r="K97" i="2"/>
  <c r="C3137" i="2"/>
  <c r="E143" i="2"/>
  <c r="E141" i="2"/>
  <c r="E139" i="2"/>
  <c r="G99" i="2"/>
  <c r="G97" i="2"/>
  <c r="C3138" i="2"/>
  <c r="C3136" i="2"/>
  <c r="C143" i="2"/>
  <c r="C141" i="2"/>
  <c r="C139" i="2"/>
  <c r="E99" i="2"/>
  <c r="E97" i="2"/>
  <c r="G3138" i="2"/>
  <c r="G3136" i="2"/>
  <c r="K142" i="2"/>
  <c r="K140" i="2"/>
  <c r="K138" i="2"/>
  <c r="C99" i="2"/>
  <c r="C97" i="2"/>
  <c r="E3138" i="2"/>
  <c r="E3136" i="2"/>
  <c r="G142" i="2"/>
  <c r="G140" i="2"/>
  <c r="G138" i="2"/>
  <c r="K98" i="2"/>
  <c r="K96" i="2"/>
  <c r="E142" i="2"/>
  <c r="E140" i="2"/>
  <c r="E138" i="2"/>
  <c r="G98" i="2"/>
  <c r="G96" i="2"/>
  <c r="K3115" i="2"/>
  <c r="E3115" i="2"/>
  <c r="C3115" i="2"/>
  <c r="G3135" i="2"/>
  <c r="G3115" i="2"/>
  <c r="J19" i="26"/>
  <c r="K19" i="26" s="1"/>
  <c r="K1730" i="2"/>
  <c r="E1730" i="2"/>
  <c r="C1730" i="2"/>
  <c r="G1730" i="2"/>
  <c r="E3094" i="2"/>
  <c r="C3073" i="2"/>
  <c r="C3094" i="2"/>
  <c r="K3073" i="2"/>
  <c r="C3031" i="2"/>
  <c r="E3052" i="2"/>
  <c r="E3073" i="2"/>
  <c r="C3052" i="2"/>
  <c r="K3031" i="2"/>
  <c r="K3052" i="2"/>
  <c r="E3031" i="2"/>
  <c r="K3094" i="2"/>
  <c r="G3094" i="2"/>
  <c r="G3073" i="2"/>
  <c r="G3052" i="2"/>
  <c r="G294" i="2"/>
  <c r="E294" i="2"/>
  <c r="C294" i="2"/>
  <c r="K294" i="2"/>
  <c r="K1614" i="2"/>
  <c r="E1614" i="2"/>
  <c r="G1614" i="2"/>
  <c r="C1614" i="2"/>
  <c r="K1613" i="2"/>
  <c r="G1613" i="2"/>
  <c r="E1613" i="2"/>
  <c r="C1613" i="2"/>
  <c r="E306" i="2"/>
  <c r="C306" i="2"/>
  <c r="E305" i="2"/>
  <c r="C303" i="2"/>
  <c r="K302" i="2"/>
  <c r="G300" i="2"/>
  <c r="E300" i="2"/>
  <c r="K305" i="2"/>
  <c r="G305" i="2"/>
  <c r="E303" i="2"/>
  <c r="C301" i="2"/>
  <c r="K300" i="2"/>
  <c r="G298" i="2"/>
  <c r="E298" i="2"/>
  <c r="E302" i="2"/>
  <c r="K303" i="2"/>
  <c r="G303" i="2"/>
  <c r="E301" i="2"/>
  <c r="C299" i="2"/>
  <c r="K298" i="2"/>
  <c r="G296" i="2"/>
  <c r="E296" i="2"/>
  <c r="G302" i="2"/>
  <c r="K301" i="2"/>
  <c r="G301" i="2"/>
  <c r="E299" i="2"/>
  <c r="C297" i="2"/>
  <c r="K296" i="2"/>
  <c r="G306" i="2"/>
  <c r="C300" i="2"/>
  <c r="K304" i="2"/>
  <c r="K299" i="2"/>
  <c r="G299" i="2"/>
  <c r="E297" i="2"/>
  <c r="C295" i="2"/>
  <c r="C302" i="2"/>
  <c r="K306" i="2"/>
  <c r="C298" i="2"/>
  <c r="K297" i="2"/>
  <c r="G297" i="2"/>
  <c r="E295" i="2"/>
  <c r="C307" i="2"/>
  <c r="G307" i="2"/>
  <c r="E307" i="2"/>
  <c r="C305" i="2"/>
  <c r="K295" i="2"/>
  <c r="G295" i="2"/>
  <c r="C304" i="2"/>
  <c r="K307" i="2"/>
  <c r="G304" i="2"/>
  <c r="E304" i="2"/>
  <c r="C296" i="2"/>
  <c r="G3031" i="2"/>
  <c r="C16" i="16"/>
  <c r="E16" i="16"/>
  <c r="E15" i="16"/>
  <c r="C15" i="16"/>
  <c r="C34" i="16"/>
  <c r="F34" i="16"/>
  <c r="D34" i="16"/>
  <c r="E3010" i="2"/>
  <c r="C2989" i="2"/>
  <c r="K2884" i="2"/>
  <c r="C3010" i="2"/>
  <c r="E2884" i="2"/>
  <c r="K2905" i="2"/>
  <c r="K2926" i="2"/>
  <c r="E2905" i="2"/>
  <c r="K2947" i="2"/>
  <c r="E2926" i="2"/>
  <c r="C2905" i="2"/>
  <c r="K2968" i="2"/>
  <c r="E2947" i="2"/>
  <c r="C2926" i="2"/>
  <c r="K2989" i="2"/>
  <c r="E2968" i="2"/>
  <c r="C2947" i="2"/>
  <c r="K3010" i="2"/>
  <c r="E2989" i="2"/>
  <c r="C2968" i="2"/>
  <c r="C2884" i="2"/>
  <c r="G2865" i="2"/>
  <c r="G2863" i="2"/>
  <c r="E2845" i="2"/>
  <c r="C2843" i="2"/>
  <c r="C2865" i="2"/>
  <c r="E2847" i="2"/>
  <c r="K2863" i="2"/>
  <c r="K2845" i="2"/>
  <c r="E2865" i="2"/>
  <c r="E2863" i="2"/>
  <c r="K2847" i="2"/>
  <c r="C2845" i="2"/>
  <c r="K2842" i="2"/>
  <c r="C2863" i="2"/>
  <c r="G2842" i="2"/>
  <c r="E2844" i="2"/>
  <c r="C2864" i="2"/>
  <c r="C2846" i="2"/>
  <c r="K2865" i="2"/>
  <c r="E2843" i="2"/>
  <c r="K2844" i="2"/>
  <c r="C2847" i="2"/>
  <c r="K2864" i="2"/>
  <c r="E2842" i="2"/>
  <c r="G2843" i="2"/>
  <c r="K2866" i="2"/>
  <c r="G2864" i="2"/>
  <c r="K2846" i="2"/>
  <c r="C2844" i="2"/>
  <c r="C2842" i="2"/>
  <c r="E2866" i="2"/>
  <c r="E2864" i="2"/>
  <c r="E2846" i="2"/>
  <c r="K2843" i="2"/>
  <c r="C2866" i="2"/>
  <c r="G2847" i="2"/>
  <c r="G2866" i="2"/>
  <c r="G2845" i="2"/>
  <c r="G2846" i="2"/>
  <c r="G2844" i="2"/>
  <c r="C1611" i="2"/>
  <c r="K1612" i="2"/>
  <c r="G1612" i="2"/>
  <c r="E1612" i="2"/>
  <c r="C1612" i="2"/>
  <c r="K1611" i="2"/>
  <c r="G1611" i="2"/>
  <c r="E1611" i="2"/>
  <c r="G2968" i="2"/>
  <c r="G2989" i="2"/>
  <c r="I2989" i="2" s="1"/>
  <c r="I3002" i="2" s="1"/>
  <c r="G2947" i="2"/>
  <c r="G3010" i="2"/>
  <c r="G2926" i="2"/>
  <c r="G2884" i="2"/>
  <c r="I2884" i="2" s="1"/>
  <c r="I2897" i="2" s="1"/>
  <c r="G2905" i="2"/>
  <c r="E2821" i="2"/>
  <c r="E2801" i="2"/>
  <c r="E2779" i="2"/>
  <c r="E2759" i="2"/>
  <c r="E2737" i="2"/>
  <c r="E2717" i="2"/>
  <c r="C2758" i="2"/>
  <c r="C2738" i="2"/>
  <c r="C2716" i="2"/>
  <c r="G2821" i="2"/>
  <c r="G2717" i="2"/>
  <c r="C2821" i="2"/>
  <c r="C2801" i="2"/>
  <c r="C2779" i="2"/>
  <c r="C2759" i="2"/>
  <c r="C2737" i="2"/>
  <c r="C2717" i="2"/>
  <c r="K2716" i="2"/>
  <c r="C2822" i="2"/>
  <c r="C2780" i="2"/>
  <c r="K2822" i="2"/>
  <c r="K2800" i="2"/>
  <c r="K2780" i="2"/>
  <c r="K2758" i="2"/>
  <c r="K2738" i="2"/>
  <c r="C2800" i="2"/>
  <c r="K2821" i="2"/>
  <c r="K2779" i="2"/>
  <c r="K2737" i="2"/>
  <c r="G2801" i="2"/>
  <c r="G2759" i="2"/>
  <c r="G2822" i="2"/>
  <c r="G2800" i="2"/>
  <c r="G2780" i="2"/>
  <c r="G2758" i="2"/>
  <c r="G2738" i="2"/>
  <c r="G2716" i="2"/>
  <c r="E2716" i="2"/>
  <c r="E2822" i="2"/>
  <c r="E2800" i="2"/>
  <c r="E2780" i="2"/>
  <c r="E2758" i="2"/>
  <c r="E2738" i="2"/>
  <c r="K2801" i="2"/>
  <c r="K2759" i="2"/>
  <c r="K2717" i="2"/>
  <c r="G2779" i="2"/>
  <c r="G2737" i="2"/>
  <c r="K277" i="2"/>
  <c r="K275" i="2"/>
  <c r="K273" i="2"/>
  <c r="K271" i="2"/>
  <c r="G277" i="2"/>
  <c r="G275" i="2"/>
  <c r="G273" i="2"/>
  <c r="G271" i="2"/>
  <c r="C270" i="2"/>
  <c r="E277" i="2"/>
  <c r="E275" i="2"/>
  <c r="E273" i="2"/>
  <c r="E271" i="2"/>
  <c r="C274" i="2"/>
  <c r="C277" i="2"/>
  <c r="C275" i="2"/>
  <c r="C273" i="2"/>
  <c r="C271" i="2"/>
  <c r="K276" i="2"/>
  <c r="K274" i="2"/>
  <c r="K272" i="2"/>
  <c r="K270" i="2"/>
  <c r="G276" i="2"/>
  <c r="G274" i="2"/>
  <c r="G272" i="2"/>
  <c r="G270" i="2"/>
  <c r="C272" i="2"/>
  <c r="E276" i="2"/>
  <c r="E274" i="2"/>
  <c r="E272" i="2"/>
  <c r="E270" i="2"/>
  <c r="C276" i="2"/>
  <c r="G2654" i="2"/>
  <c r="E2634" i="2"/>
  <c r="C2612" i="2"/>
  <c r="G2590" i="2"/>
  <c r="G2570" i="2"/>
  <c r="G2548" i="2"/>
  <c r="G2528" i="2"/>
  <c r="G2506" i="2"/>
  <c r="G2485" i="2"/>
  <c r="G2464" i="2"/>
  <c r="G2443" i="2"/>
  <c r="K2423" i="2"/>
  <c r="K2402" i="2"/>
  <c r="K2380" i="2"/>
  <c r="K2360" i="2"/>
  <c r="K2338" i="2"/>
  <c r="K2318" i="2"/>
  <c r="K2298" i="2"/>
  <c r="K2296" i="2"/>
  <c r="K2276" i="2"/>
  <c r="C2530" i="2"/>
  <c r="E2275" i="2"/>
  <c r="E2654" i="2"/>
  <c r="C2634" i="2"/>
  <c r="E2590" i="2"/>
  <c r="E2570" i="2"/>
  <c r="E2548" i="2"/>
  <c r="E2528" i="2"/>
  <c r="E2506" i="2"/>
  <c r="E2485" i="2"/>
  <c r="E2464" i="2"/>
  <c r="E2443" i="2"/>
  <c r="G2423" i="2"/>
  <c r="G2402" i="2"/>
  <c r="G2380" i="2"/>
  <c r="G2360" i="2"/>
  <c r="G2338" i="2"/>
  <c r="G2318" i="2"/>
  <c r="G2298" i="2"/>
  <c r="G2296" i="2"/>
  <c r="G2276" i="2"/>
  <c r="C2318" i="2"/>
  <c r="C2298" i="2"/>
  <c r="E2381" i="2"/>
  <c r="E2317" i="2"/>
  <c r="C2654" i="2"/>
  <c r="K2633" i="2"/>
  <c r="K2613" i="2"/>
  <c r="C2590" i="2"/>
  <c r="C2570" i="2"/>
  <c r="C2548" i="2"/>
  <c r="C2528" i="2"/>
  <c r="C2506" i="2"/>
  <c r="C2485" i="2"/>
  <c r="C2464" i="2"/>
  <c r="C2443" i="2"/>
  <c r="E2423" i="2"/>
  <c r="E2402" i="2"/>
  <c r="E2380" i="2"/>
  <c r="E2360" i="2"/>
  <c r="E2338" i="2"/>
  <c r="E2318" i="2"/>
  <c r="E2298" i="2"/>
  <c r="E2296" i="2"/>
  <c r="E2276" i="2"/>
  <c r="C2338" i="2"/>
  <c r="C2276" i="2"/>
  <c r="K2275" i="2"/>
  <c r="E2339" i="2"/>
  <c r="K2655" i="2"/>
  <c r="G2633" i="2"/>
  <c r="E2613" i="2"/>
  <c r="K2591" i="2"/>
  <c r="K2569" i="2"/>
  <c r="K2549" i="2"/>
  <c r="K2530" i="2"/>
  <c r="K2527" i="2"/>
  <c r="K2507" i="2"/>
  <c r="K2486" i="2"/>
  <c r="K2465" i="2"/>
  <c r="K2444" i="2"/>
  <c r="C2423" i="2"/>
  <c r="C2402" i="2"/>
  <c r="C2380" i="2"/>
  <c r="C2360" i="2"/>
  <c r="C2296" i="2"/>
  <c r="C2655" i="2"/>
  <c r="G2612" i="2"/>
  <c r="C2465" i="2"/>
  <c r="E2422" i="2"/>
  <c r="E2359" i="2"/>
  <c r="K2675" i="2"/>
  <c r="G2655" i="2"/>
  <c r="E2633" i="2"/>
  <c r="C2613" i="2"/>
  <c r="G2591" i="2"/>
  <c r="G2569" i="2"/>
  <c r="G2549" i="2"/>
  <c r="G2530" i="2"/>
  <c r="G2527" i="2"/>
  <c r="G2507" i="2"/>
  <c r="G2486" i="2"/>
  <c r="G2465" i="2"/>
  <c r="G2444" i="2"/>
  <c r="K2422" i="2"/>
  <c r="K2401" i="2"/>
  <c r="K2381" i="2"/>
  <c r="K2359" i="2"/>
  <c r="K2339" i="2"/>
  <c r="K2317" i="2"/>
  <c r="K2297" i="2"/>
  <c r="C2569" i="2"/>
  <c r="C2527" i="2"/>
  <c r="C2507" i="2"/>
  <c r="G2675" i="2"/>
  <c r="E2655" i="2"/>
  <c r="C2633" i="2"/>
  <c r="K2612" i="2"/>
  <c r="E2591" i="2"/>
  <c r="E2569" i="2"/>
  <c r="E2549" i="2"/>
  <c r="E2530" i="2"/>
  <c r="E2527" i="2"/>
  <c r="E2507" i="2"/>
  <c r="E2486" i="2"/>
  <c r="E2465" i="2"/>
  <c r="E2444" i="2"/>
  <c r="G2422" i="2"/>
  <c r="G2401" i="2"/>
  <c r="G2381" i="2"/>
  <c r="G2359" i="2"/>
  <c r="G2339" i="2"/>
  <c r="G2317" i="2"/>
  <c r="G2297" i="2"/>
  <c r="G2275" i="2"/>
  <c r="E2675" i="2"/>
  <c r="C2549" i="2"/>
  <c r="C2486" i="2"/>
  <c r="C2444" i="2"/>
  <c r="E2401" i="2"/>
  <c r="E2297" i="2"/>
  <c r="C2675" i="2"/>
  <c r="K2654" i="2"/>
  <c r="K2634" i="2"/>
  <c r="E2612" i="2"/>
  <c r="K2590" i="2"/>
  <c r="K2570" i="2"/>
  <c r="K2548" i="2"/>
  <c r="K2528" i="2"/>
  <c r="K2506" i="2"/>
  <c r="K2485" i="2"/>
  <c r="K2464" i="2"/>
  <c r="K2443" i="2"/>
  <c r="C2422" i="2"/>
  <c r="C2401" i="2"/>
  <c r="C2381" i="2"/>
  <c r="C2359" i="2"/>
  <c r="C2339" i="2"/>
  <c r="C2317" i="2"/>
  <c r="C2297" i="2"/>
  <c r="C2275" i="2"/>
  <c r="C2591" i="2"/>
  <c r="K2531" i="2"/>
  <c r="C2255" i="2"/>
  <c r="G2233" i="2"/>
  <c r="G2213" i="2"/>
  <c r="G2191" i="2"/>
  <c r="E2171" i="2"/>
  <c r="E2150" i="2"/>
  <c r="E2129" i="2"/>
  <c r="G2255" i="2"/>
  <c r="C2529" i="2"/>
  <c r="K2254" i="2"/>
  <c r="E2233" i="2"/>
  <c r="E2213" i="2"/>
  <c r="E2191" i="2"/>
  <c r="C2171" i="2"/>
  <c r="C2150" i="2"/>
  <c r="C2129" i="2"/>
  <c r="K2129" i="2"/>
  <c r="G2613" i="2"/>
  <c r="C2531" i="2"/>
  <c r="G2254" i="2"/>
  <c r="C2233" i="2"/>
  <c r="C2213" i="2"/>
  <c r="C2191" i="2"/>
  <c r="K2174" i="2"/>
  <c r="K2170" i="2"/>
  <c r="K2149" i="2"/>
  <c r="K2128" i="2"/>
  <c r="C2212" i="2"/>
  <c r="K2150" i="2"/>
  <c r="E2529" i="2"/>
  <c r="E2254" i="2"/>
  <c r="K2234" i="2"/>
  <c r="K2212" i="2"/>
  <c r="K2192" i="2"/>
  <c r="G2174" i="2"/>
  <c r="G2170" i="2"/>
  <c r="G2149" i="2"/>
  <c r="G2128" i="2"/>
  <c r="C2234" i="2"/>
  <c r="K2171" i="2"/>
  <c r="G2634" i="2"/>
  <c r="E2531" i="2"/>
  <c r="C2254" i="2"/>
  <c r="G2234" i="2"/>
  <c r="G2212" i="2"/>
  <c r="G2192" i="2"/>
  <c r="E2174" i="2"/>
  <c r="E2170" i="2"/>
  <c r="E2149" i="2"/>
  <c r="E2128" i="2"/>
  <c r="G2529" i="2"/>
  <c r="K2255" i="2"/>
  <c r="E2234" i="2"/>
  <c r="E2212" i="2"/>
  <c r="E2192" i="2"/>
  <c r="C2174" i="2"/>
  <c r="C2170" i="2"/>
  <c r="C2149" i="2"/>
  <c r="C2128" i="2"/>
  <c r="G2531" i="2"/>
  <c r="C2192" i="2"/>
  <c r="K2529" i="2"/>
  <c r="E2255" i="2"/>
  <c r="K2233" i="2"/>
  <c r="K2213" i="2"/>
  <c r="K2191" i="2"/>
  <c r="G2171" i="2"/>
  <c r="G2150" i="2"/>
  <c r="G2129" i="2"/>
  <c r="G2695" i="2"/>
  <c r="K2718" i="2"/>
  <c r="C2823" i="2"/>
  <c r="E2695" i="2"/>
  <c r="C2258" i="2"/>
  <c r="K2592" i="2"/>
  <c r="E2424" i="2"/>
  <c r="C2509" i="2"/>
  <c r="E2488" i="2"/>
  <c r="K2468" i="2"/>
  <c r="E2532" i="2"/>
  <c r="E2468" i="2"/>
  <c r="G2468" i="2"/>
  <c r="C2425" i="2"/>
  <c r="C2468" i="2"/>
  <c r="E2319" i="2"/>
  <c r="C2361" i="2"/>
  <c r="G2487" i="2"/>
  <c r="K2301" i="2"/>
  <c r="E2301" i="2"/>
  <c r="K2258" i="2"/>
  <c r="K2447" i="2"/>
  <c r="G2406" i="2"/>
  <c r="C2405" i="2"/>
  <c r="K2383" i="2"/>
  <c r="K2363" i="2"/>
  <c r="K2362" i="2"/>
  <c r="C2300" i="2"/>
  <c r="K2278" i="2"/>
  <c r="G2151" i="2"/>
  <c r="E2131" i="2"/>
  <c r="C1710" i="2"/>
  <c r="C1693" i="2"/>
  <c r="C1691" i="2"/>
  <c r="C1670" i="2"/>
  <c r="C1653" i="2"/>
  <c r="C1651" i="2"/>
  <c r="C1634" i="2"/>
  <c r="C1632" i="2"/>
  <c r="C1630" i="2"/>
  <c r="C1598" i="2"/>
  <c r="C1596" i="2"/>
  <c r="C1594" i="2"/>
  <c r="C1592" i="2"/>
  <c r="C1590" i="2"/>
  <c r="C1577" i="2"/>
  <c r="C1575" i="2"/>
  <c r="C1573" i="2"/>
  <c r="C1571" i="2"/>
  <c r="C1558" i="2"/>
  <c r="C1556" i="2"/>
  <c r="C1554" i="2"/>
  <c r="C1552" i="2"/>
  <c r="C1550" i="2"/>
  <c r="C1533" i="2"/>
  <c r="C1531" i="2"/>
  <c r="C1518" i="2"/>
  <c r="C1516" i="2"/>
  <c r="C1514" i="2"/>
  <c r="C1512" i="2"/>
  <c r="C1510" i="2"/>
  <c r="G2781" i="2"/>
  <c r="K2802" i="2"/>
  <c r="E2739" i="2"/>
  <c r="C2695" i="2"/>
  <c r="K2173" i="2"/>
  <c r="K2193" i="2"/>
  <c r="E2571" i="2"/>
  <c r="E2321" i="2"/>
  <c r="C2489" i="2"/>
  <c r="E2446" i="2"/>
  <c r="K2466" i="2"/>
  <c r="G2508" i="2"/>
  <c r="G2425" i="2"/>
  <c r="K2403" i="2"/>
  <c r="C2342" i="2"/>
  <c r="C2466" i="2"/>
  <c r="E2277" i="2"/>
  <c r="C2674" i="2"/>
  <c r="G2467" i="2"/>
  <c r="E2509" i="2"/>
  <c r="E2508" i="2"/>
  <c r="G2510" i="2"/>
  <c r="G2447" i="2"/>
  <c r="K2404" i="2"/>
  <c r="G2383" i="2"/>
  <c r="E2362" i="2"/>
  <c r="K2320" i="2"/>
  <c r="G2299" i="2"/>
  <c r="G2278" i="2"/>
  <c r="E2257" i="2"/>
  <c r="K2236" i="2"/>
  <c r="K2130" i="2"/>
  <c r="G2172" i="2"/>
  <c r="G2130" i="2"/>
  <c r="G2131" i="2"/>
  <c r="K1711" i="2"/>
  <c r="K1694" i="2"/>
  <c r="K1692" i="2"/>
  <c r="K1690" i="2"/>
  <c r="K1654" i="2"/>
  <c r="K1652" i="2"/>
  <c r="K1650" i="2"/>
  <c r="K1633" i="2"/>
  <c r="K1631" i="2"/>
  <c r="K1610" i="2"/>
  <c r="K1599" i="2"/>
  <c r="K1597" i="2"/>
  <c r="K1595" i="2"/>
  <c r="K1593" i="2"/>
  <c r="K1591" i="2"/>
  <c r="K1578" i="2"/>
  <c r="K1576" i="2"/>
  <c r="K1574" i="2"/>
  <c r="K1572" i="2"/>
  <c r="K1570" i="2"/>
  <c r="K1559" i="2"/>
  <c r="K1557" i="2"/>
  <c r="K1555" i="2"/>
  <c r="K1553" i="2"/>
  <c r="K1551" i="2"/>
  <c r="K1532" i="2"/>
  <c r="K1530" i="2"/>
  <c r="K1517" i="2"/>
  <c r="K1515" i="2"/>
  <c r="K1513" i="2"/>
  <c r="K1511" i="2"/>
  <c r="G2696" i="2"/>
  <c r="E2781" i="2"/>
  <c r="E2823" i="2"/>
  <c r="C2696" i="2"/>
  <c r="E2193" i="2"/>
  <c r="E2258" i="2"/>
  <c r="C2550" i="2"/>
  <c r="C2532" i="2"/>
  <c r="C2487" i="2"/>
  <c r="G2382" i="2"/>
  <c r="K2446" i="2"/>
  <c r="G2466" i="2"/>
  <c r="G2342" i="2"/>
  <c r="K2361" i="2"/>
  <c r="K2674" i="2"/>
  <c r="C2446" i="2"/>
  <c r="E2674" i="2"/>
  <c r="E2653" i="2"/>
  <c r="G2448" i="2"/>
  <c r="E2487" i="2"/>
  <c r="G2403" i="2"/>
  <c r="K2152" i="2"/>
  <c r="E2447" i="2"/>
  <c r="G2404" i="2"/>
  <c r="E2383" i="2"/>
  <c r="E2341" i="2"/>
  <c r="G2363" i="2"/>
  <c r="E2299" i="2"/>
  <c r="C2279" i="2"/>
  <c r="K2257" i="2"/>
  <c r="G2236" i="2"/>
  <c r="G2152" i="2"/>
  <c r="C2130" i="2"/>
  <c r="E2152" i="2"/>
  <c r="C2131" i="2"/>
  <c r="G1711" i="2"/>
  <c r="G1694" i="2"/>
  <c r="G1692" i="2"/>
  <c r="G1690" i="2"/>
  <c r="G1654" i="2"/>
  <c r="G1652" i="2"/>
  <c r="G1650" i="2"/>
  <c r="G1633" i="2"/>
  <c r="G1631" i="2"/>
  <c r="G1610" i="2"/>
  <c r="G1599" i="2"/>
  <c r="G1597" i="2"/>
  <c r="G1595" i="2"/>
  <c r="G1593" i="2"/>
  <c r="G1591" i="2"/>
  <c r="G1578" i="2"/>
  <c r="G1576" i="2"/>
  <c r="G1574" i="2"/>
  <c r="G1572" i="2"/>
  <c r="G1570" i="2"/>
  <c r="G1559" i="2"/>
  <c r="G1557" i="2"/>
  <c r="G1555" i="2"/>
  <c r="G1553" i="2"/>
  <c r="G1551" i="2"/>
  <c r="G1532" i="2"/>
  <c r="G1530" i="2"/>
  <c r="G1517" i="2"/>
  <c r="G1515" i="2"/>
  <c r="G1513" i="2"/>
  <c r="G1511" i="2"/>
  <c r="G2823" i="2"/>
  <c r="C2760" i="2"/>
  <c r="C2802" i="2"/>
  <c r="E2696" i="2"/>
  <c r="K2214" i="2"/>
  <c r="E2173" i="2"/>
  <c r="E2489" i="2"/>
  <c r="G2319" i="2"/>
  <c r="C2467" i="2"/>
  <c r="K2467" i="2"/>
  <c r="C2426" i="2"/>
  <c r="G2446" i="2"/>
  <c r="K2445" i="2"/>
  <c r="K2342" i="2"/>
  <c r="K2653" i="2"/>
  <c r="E2425" i="2"/>
  <c r="E2632" i="2"/>
  <c r="C2632" i="2"/>
  <c r="G2445" i="2"/>
  <c r="E2467" i="2"/>
  <c r="K2448" i="2"/>
  <c r="C2193" i="2"/>
  <c r="C2447" i="2"/>
  <c r="E2404" i="2"/>
  <c r="C2383" i="2"/>
  <c r="E2320" i="2"/>
  <c r="E2363" i="2"/>
  <c r="C2299" i="2"/>
  <c r="E2278" i="2"/>
  <c r="G2257" i="2"/>
  <c r="C2235" i="2"/>
  <c r="G2173" i="2"/>
  <c r="K2151" i="2"/>
  <c r="E1711" i="2"/>
  <c r="E1694" i="2"/>
  <c r="E1692" i="2"/>
  <c r="E1690" i="2"/>
  <c r="E1654" i="2"/>
  <c r="E1652" i="2"/>
  <c r="E1650" i="2"/>
  <c r="E1633" i="2"/>
  <c r="E1631" i="2"/>
  <c r="E1610" i="2"/>
  <c r="E1599" i="2"/>
  <c r="E1597" i="2"/>
  <c r="E1595" i="2"/>
  <c r="E1593" i="2"/>
  <c r="E1591" i="2"/>
  <c r="E1578" i="2"/>
  <c r="E1576" i="2"/>
  <c r="E1574" i="2"/>
  <c r="E1572" i="2"/>
  <c r="E1570" i="2"/>
  <c r="E1559" i="2"/>
  <c r="E1557" i="2"/>
  <c r="E1555" i="2"/>
  <c r="E1553" i="2"/>
  <c r="E1551" i="2"/>
  <c r="E1532" i="2"/>
  <c r="E1530" i="2"/>
  <c r="E1517" i="2"/>
  <c r="E1515" i="2"/>
  <c r="E1513" i="2"/>
  <c r="E1511" i="2"/>
  <c r="G2802" i="2"/>
  <c r="E2718" i="2"/>
  <c r="K2739" i="2"/>
  <c r="K2696" i="2"/>
  <c r="K2237" i="2"/>
  <c r="K2256" i="2"/>
  <c r="E2448" i="2"/>
  <c r="C2319" i="2"/>
  <c r="C2448" i="2"/>
  <c r="C2592" i="2"/>
  <c r="C2424" i="2"/>
  <c r="K2425" i="2"/>
  <c r="C2382" i="2"/>
  <c r="K2319" i="2"/>
  <c r="C2611" i="2"/>
  <c r="E2403" i="2"/>
  <c r="K2550" i="2"/>
  <c r="K2571" i="2"/>
  <c r="K2426" i="2"/>
  <c r="E2445" i="2"/>
  <c r="C2403" i="2"/>
  <c r="E2214" i="2"/>
  <c r="G2469" i="2"/>
  <c r="E2236" i="2"/>
  <c r="E2405" i="2"/>
  <c r="K2384" i="2"/>
  <c r="C2362" i="2"/>
  <c r="C2363" i="2"/>
  <c r="K2300" i="2"/>
  <c r="C2278" i="2"/>
  <c r="C2257" i="2"/>
  <c r="E2235" i="2"/>
  <c r="C2151" i="2"/>
  <c r="K2172" i="2"/>
  <c r="C1711" i="2"/>
  <c r="C1694" i="2"/>
  <c r="C1692" i="2"/>
  <c r="C1690" i="2"/>
  <c r="C1654" i="2"/>
  <c r="C1652" i="2"/>
  <c r="C1650" i="2"/>
  <c r="C1633" i="2"/>
  <c r="C1631" i="2"/>
  <c r="C1610" i="2"/>
  <c r="C1599" i="2"/>
  <c r="C1597" i="2"/>
  <c r="C1595" i="2"/>
  <c r="C1593" i="2"/>
  <c r="C1591" i="2"/>
  <c r="C1578" i="2"/>
  <c r="C1576" i="2"/>
  <c r="C1574" i="2"/>
  <c r="C1572" i="2"/>
  <c r="C1570" i="2"/>
  <c r="C1559" i="2"/>
  <c r="C1557" i="2"/>
  <c r="C1555" i="2"/>
  <c r="C1553" i="2"/>
  <c r="C1551" i="2"/>
  <c r="C1532" i="2"/>
  <c r="C1530" i="2"/>
  <c r="C1517" i="2"/>
  <c r="C1515" i="2"/>
  <c r="C1513" i="2"/>
  <c r="C1511" i="2"/>
  <c r="K2781" i="2"/>
  <c r="K2823" i="2"/>
  <c r="K2760" i="2"/>
  <c r="G2760" i="2"/>
  <c r="E2256" i="2"/>
  <c r="C2237" i="2"/>
  <c r="G2426" i="2"/>
  <c r="E2592" i="2"/>
  <c r="C2445" i="2"/>
  <c r="G2532" i="2"/>
  <c r="C2340" i="2"/>
  <c r="K2382" i="2"/>
  <c r="C2277" i="2"/>
  <c r="E2466" i="2"/>
  <c r="E2510" i="2"/>
  <c r="E2382" i="2"/>
  <c r="K2509" i="2"/>
  <c r="E2550" i="2"/>
  <c r="K2424" i="2"/>
  <c r="G2424" i="2"/>
  <c r="K2131" i="2"/>
  <c r="G2237" i="2"/>
  <c r="K2469" i="2"/>
  <c r="E2406" i="2"/>
  <c r="C2404" i="2"/>
  <c r="G2384" i="2"/>
  <c r="C2341" i="2"/>
  <c r="G2362" i="2"/>
  <c r="K2299" i="2"/>
  <c r="K2279" i="2"/>
  <c r="G2235" i="2"/>
  <c r="C2172" i="2"/>
  <c r="E2130" i="2"/>
  <c r="K1710" i="2"/>
  <c r="K1693" i="2"/>
  <c r="K1691" i="2"/>
  <c r="K1670" i="2"/>
  <c r="K1653" i="2"/>
  <c r="K1651" i="2"/>
  <c r="K1634" i="2"/>
  <c r="K1632" i="2"/>
  <c r="K1630" i="2"/>
  <c r="K1598" i="2"/>
  <c r="K1596" i="2"/>
  <c r="K1594" i="2"/>
  <c r="K1592" i="2"/>
  <c r="K1590" i="2"/>
  <c r="K1577" i="2"/>
  <c r="K1575" i="2"/>
  <c r="K1573" i="2"/>
  <c r="K1571" i="2"/>
  <c r="K1558" i="2"/>
  <c r="K1556" i="2"/>
  <c r="K1554" i="2"/>
  <c r="K1552" i="2"/>
  <c r="K1550" i="2"/>
  <c r="K1533" i="2"/>
  <c r="K1531" i="2"/>
  <c r="K1518" i="2"/>
  <c r="K1516" i="2"/>
  <c r="K1514" i="2"/>
  <c r="K1512" i="2"/>
  <c r="K1510" i="2"/>
  <c r="E2760" i="2"/>
  <c r="E2802" i="2"/>
  <c r="C2718" i="2"/>
  <c r="G2739" i="2"/>
  <c r="C2510" i="2"/>
  <c r="G2258" i="2"/>
  <c r="G2340" i="2"/>
  <c r="C2571" i="2"/>
  <c r="E2340" i="2"/>
  <c r="K2508" i="2"/>
  <c r="C2321" i="2"/>
  <c r="K2277" i="2"/>
  <c r="K2611" i="2"/>
  <c r="G2361" i="2"/>
  <c r="C2508" i="2"/>
  <c r="E2361" i="2"/>
  <c r="K2489" i="2"/>
  <c r="G2509" i="2"/>
  <c r="K2340" i="2"/>
  <c r="G2321" i="2"/>
  <c r="C2214" i="2"/>
  <c r="C2256" i="2"/>
  <c r="E2469" i="2"/>
  <c r="C2406" i="2"/>
  <c r="K2405" i="2"/>
  <c r="C2384" i="2"/>
  <c r="C2320" i="2"/>
  <c r="G2341" i="2"/>
  <c r="G2300" i="2"/>
  <c r="G2279" i="2"/>
  <c r="K2235" i="2"/>
  <c r="E2151" i="2"/>
  <c r="C2152" i="2"/>
  <c r="G1710" i="2"/>
  <c r="G1693" i="2"/>
  <c r="G1691" i="2"/>
  <c r="G1670" i="2"/>
  <c r="G1653" i="2"/>
  <c r="G1651" i="2"/>
  <c r="G1634" i="2"/>
  <c r="G1632" i="2"/>
  <c r="G1630" i="2"/>
  <c r="G1598" i="2"/>
  <c r="G1596" i="2"/>
  <c r="G1594" i="2"/>
  <c r="G1592" i="2"/>
  <c r="G1590" i="2"/>
  <c r="G1577" i="2"/>
  <c r="G1575" i="2"/>
  <c r="G1573" i="2"/>
  <c r="G1571" i="2"/>
  <c r="G1558" i="2"/>
  <c r="G1556" i="2"/>
  <c r="G1554" i="2"/>
  <c r="G1552" i="2"/>
  <c r="G1550" i="2"/>
  <c r="G1533" i="2"/>
  <c r="G1531" i="2"/>
  <c r="G1518" i="2"/>
  <c r="G1516" i="2"/>
  <c r="G1514" i="2"/>
  <c r="G1512" i="2"/>
  <c r="G1510" i="2"/>
  <c r="C2739" i="2"/>
  <c r="C2781" i="2"/>
  <c r="K2695" i="2"/>
  <c r="G2256" i="2"/>
  <c r="C2653" i="2"/>
  <c r="G2301" i="2"/>
  <c r="K2532" i="2"/>
  <c r="E2611" i="2"/>
  <c r="K2488" i="2"/>
  <c r="C2301" i="2"/>
  <c r="K2632" i="2"/>
  <c r="G2488" i="2"/>
  <c r="G2277" i="2"/>
  <c r="C2488" i="2"/>
  <c r="E2342" i="2"/>
  <c r="K2487" i="2"/>
  <c r="G2489" i="2"/>
  <c r="K2321" i="2"/>
  <c r="E2426" i="2"/>
  <c r="E2237" i="2"/>
  <c r="K2510" i="2"/>
  <c r="C2469" i="2"/>
  <c r="K2406" i="2"/>
  <c r="G2405" i="2"/>
  <c r="E2384" i="2"/>
  <c r="K2341" i="2"/>
  <c r="G2320" i="2"/>
  <c r="E2300" i="2"/>
  <c r="E2279" i="2"/>
  <c r="C2236" i="2"/>
  <c r="E2172" i="2"/>
  <c r="C2173" i="2"/>
  <c r="E1710" i="2"/>
  <c r="E1693" i="2"/>
  <c r="E1691" i="2"/>
  <c r="E1670" i="2"/>
  <c r="E1653" i="2"/>
  <c r="E1651" i="2"/>
  <c r="E1634" i="2"/>
  <c r="E1632" i="2"/>
  <c r="E1630" i="2"/>
  <c r="E1598" i="2"/>
  <c r="E1596" i="2"/>
  <c r="E1594" i="2"/>
  <c r="E1592" i="2"/>
  <c r="E1590" i="2"/>
  <c r="E1577" i="2"/>
  <c r="E1575" i="2"/>
  <c r="E1573" i="2"/>
  <c r="E1571" i="2"/>
  <c r="E1558" i="2"/>
  <c r="E1556" i="2"/>
  <c r="E1554" i="2"/>
  <c r="E1552" i="2"/>
  <c r="E1550" i="2"/>
  <c r="E1533" i="2"/>
  <c r="E1531" i="2"/>
  <c r="E1518" i="2"/>
  <c r="E1516" i="2"/>
  <c r="E1514" i="2"/>
  <c r="E1512" i="2"/>
  <c r="E1510" i="2"/>
  <c r="G2653" i="2"/>
  <c r="G2550" i="2"/>
  <c r="G2214" i="2"/>
  <c r="G2718" i="2"/>
  <c r="G2571" i="2"/>
  <c r="G2674" i="2"/>
  <c r="G2632" i="2"/>
  <c r="G2592" i="2"/>
  <c r="I2592" i="2" s="1"/>
  <c r="G2611" i="2"/>
  <c r="G884" i="2"/>
  <c r="G862" i="2"/>
  <c r="G820" i="2"/>
  <c r="G736" i="2"/>
  <c r="G653" i="2"/>
  <c r="G631" i="2"/>
  <c r="G611" i="2"/>
  <c r="G589" i="2"/>
  <c r="G569" i="2"/>
  <c r="G547" i="2"/>
  <c r="G527" i="2"/>
  <c r="G505" i="2"/>
  <c r="G485" i="2"/>
  <c r="G463" i="2"/>
  <c r="G443" i="2"/>
  <c r="C611" i="2"/>
  <c r="C589" i="2"/>
  <c r="C547" i="2"/>
  <c r="C527" i="2"/>
  <c r="C485" i="2"/>
  <c r="E884" i="2"/>
  <c r="E862" i="2"/>
  <c r="E820" i="2"/>
  <c r="E736" i="2"/>
  <c r="E653" i="2"/>
  <c r="E631" i="2"/>
  <c r="E611" i="2"/>
  <c r="E589" i="2"/>
  <c r="E569" i="2"/>
  <c r="E547" i="2"/>
  <c r="E527" i="2"/>
  <c r="E505" i="2"/>
  <c r="E485" i="2"/>
  <c r="E463" i="2"/>
  <c r="E443" i="2"/>
  <c r="C653" i="2"/>
  <c r="C631" i="2"/>
  <c r="C505" i="2"/>
  <c r="C443" i="2"/>
  <c r="C884" i="2"/>
  <c r="C862" i="2"/>
  <c r="C820" i="2"/>
  <c r="C736" i="2"/>
  <c r="K883" i="2"/>
  <c r="K863" i="2"/>
  <c r="K821" i="2"/>
  <c r="K757" i="2"/>
  <c r="K652" i="2"/>
  <c r="K632" i="2"/>
  <c r="K610" i="2"/>
  <c r="K590" i="2"/>
  <c r="K568" i="2"/>
  <c r="K548" i="2"/>
  <c r="K526" i="2"/>
  <c r="K506" i="2"/>
  <c r="K484" i="2"/>
  <c r="K464" i="2"/>
  <c r="K442" i="2"/>
  <c r="G883" i="2"/>
  <c r="G863" i="2"/>
  <c r="G821" i="2"/>
  <c r="G757" i="2"/>
  <c r="G652" i="2"/>
  <c r="G632" i="2"/>
  <c r="G610" i="2"/>
  <c r="G590" i="2"/>
  <c r="G568" i="2"/>
  <c r="G548" i="2"/>
  <c r="G526" i="2"/>
  <c r="G506" i="2"/>
  <c r="G484" i="2"/>
  <c r="G464" i="2"/>
  <c r="G442" i="2"/>
  <c r="K443" i="2"/>
  <c r="E883" i="2"/>
  <c r="E863" i="2"/>
  <c r="E821" i="2"/>
  <c r="E757" i="2"/>
  <c r="E652" i="2"/>
  <c r="E632" i="2"/>
  <c r="E610" i="2"/>
  <c r="E590" i="2"/>
  <c r="E568" i="2"/>
  <c r="E548" i="2"/>
  <c r="E526" i="2"/>
  <c r="E506" i="2"/>
  <c r="E484" i="2"/>
  <c r="E464" i="2"/>
  <c r="E442" i="2"/>
  <c r="K505" i="2"/>
  <c r="C463" i="2"/>
  <c r="C883" i="2"/>
  <c r="C863" i="2"/>
  <c r="C821" i="2"/>
  <c r="C757" i="2"/>
  <c r="C652" i="2"/>
  <c r="C632" i="2"/>
  <c r="C610" i="2"/>
  <c r="C590" i="2"/>
  <c r="C568" i="2"/>
  <c r="C548" i="2"/>
  <c r="C526" i="2"/>
  <c r="C506" i="2"/>
  <c r="C484" i="2"/>
  <c r="C464" i="2"/>
  <c r="C442" i="2"/>
  <c r="K463" i="2"/>
  <c r="K884" i="2"/>
  <c r="K862" i="2"/>
  <c r="K820" i="2"/>
  <c r="K736" i="2"/>
  <c r="K653" i="2"/>
  <c r="K631" i="2"/>
  <c r="K611" i="2"/>
  <c r="K589" i="2"/>
  <c r="K569" i="2"/>
  <c r="K547" i="2"/>
  <c r="K527" i="2"/>
  <c r="K485" i="2"/>
  <c r="C569" i="2"/>
  <c r="G2193" i="2"/>
  <c r="E2112" i="2"/>
  <c r="C2109" i="2"/>
  <c r="C2107" i="2"/>
  <c r="C2088" i="2"/>
  <c r="C2086" i="2"/>
  <c r="G2068" i="2"/>
  <c r="G2066" i="2"/>
  <c r="K2049" i="2"/>
  <c r="K2046" i="2"/>
  <c r="K2044" i="2"/>
  <c r="K2026" i="2"/>
  <c r="K2024" i="2"/>
  <c r="K2007" i="2"/>
  <c r="K2004" i="2"/>
  <c r="K2002" i="2"/>
  <c r="K1984" i="2"/>
  <c r="K1982" i="2"/>
  <c r="K1963" i="2"/>
  <c r="K1961" i="2"/>
  <c r="G1944" i="2"/>
  <c r="G1941" i="2"/>
  <c r="G1939" i="2"/>
  <c r="C1923" i="2"/>
  <c r="E1920" i="2"/>
  <c r="E1918" i="2"/>
  <c r="G1900" i="2"/>
  <c r="G1898" i="2"/>
  <c r="G1881" i="2"/>
  <c r="G1878" i="2"/>
  <c r="G1876" i="2"/>
  <c r="G1858" i="2"/>
  <c r="G1856" i="2"/>
  <c r="G1839" i="2"/>
  <c r="G1836" i="2"/>
  <c r="G1834" i="2"/>
  <c r="G1816" i="2"/>
  <c r="G1814" i="2"/>
  <c r="G1797" i="2"/>
  <c r="G1794" i="2"/>
  <c r="G1792" i="2"/>
  <c r="G1774" i="2"/>
  <c r="G1772" i="2"/>
  <c r="K1753" i="2"/>
  <c r="K1751" i="2"/>
  <c r="C2112" i="2"/>
  <c r="K2108" i="2"/>
  <c r="K2091" i="2"/>
  <c r="K2087" i="2"/>
  <c r="E2068" i="2"/>
  <c r="E2066" i="2"/>
  <c r="G2049" i="2"/>
  <c r="G2046" i="2"/>
  <c r="G2044" i="2"/>
  <c r="G2026" i="2"/>
  <c r="G2024" i="2"/>
  <c r="G2007" i="2"/>
  <c r="G2004" i="2"/>
  <c r="G2002" i="2"/>
  <c r="G1984" i="2"/>
  <c r="G1982" i="2"/>
  <c r="G1963" i="2"/>
  <c r="G1961" i="2"/>
  <c r="E1944" i="2"/>
  <c r="E1941" i="2"/>
  <c r="E1939" i="2"/>
  <c r="C1922" i="2"/>
  <c r="C1920" i="2"/>
  <c r="C1918" i="2"/>
  <c r="E1900" i="2"/>
  <c r="E1898" i="2"/>
  <c r="E1881" i="2"/>
  <c r="E1878" i="2"/>
  <c r="E1876" i="2"/>
  <c r="E1858" i="2"/>
  <c r="E1856" i="2"/>
  <c r="E1839" i="2"/>
  <c r="E1836" i="2"/>
  <c r="E1834" i="2"/>
  <c r="E1816" i="2"/>
  <c r="E1814" i="2"/>
  <c r="E1797" i="2"/>
  <c r="E1794" i="2"/>
  <c r="E1792" i="2"/>
  <c r="E1774" i="2"/>
  <c r="E1772" i="2"/>
  <c r="G1753" i="2"/>
  <c r="G1751" i="2"/>
  <c r="G2107" i="2"/>
  <c r="E2045" i="2"/>
  <c r="E2025" i="2"/>
  <c r="E1986" i="2"/>
  <c r="E1960" i="2"/>
  <c r="C1940" i="2"/>
  <c r="C1897" i="2"/>
  <c r="C1879" i="2"/>
  <c r="C1860" i="2"/>
  <c r="C1813" i="2"/>
  <c r="C1795" i="2"/>
  <c r="E1752" i="2"/>
  <c r="K2110" i="2"/>
  <c r="G2108" i="2"/>
  <c r="G2091" i="2"/>
  <c r="G2087" i="2"/>
  <c r="C2068" i="2"/>
  <c r="C2066" i="2"/>
  <c r="E2049" i="2"/>
  <c r="E2046" i="2"/>
  <c r="E2044" i="2"/>
  <c r="E2026" i="2"/>
  <c r="E2024" i="2"/>
  <c r="E2007" i="2"/>
  <c r="E2004" i="2"/>
  <c r="E2002" i="2"/>
  <c r="E1984" i="2"/>
  <c r="E1982" i="2"/>
  <c r="E1963" i="2"/>
  <c r="E1961" i="2"/>
  <c r="C1944" i="2"/>
  <c r="C1941" i="2"/>
  <c r="C1939" i="2"/>
  <c r="K1921" i="2"/>
  <c r="K1919" i="2"/>
  <c r="C1900" i="2"/>
  <c r="C1898" i="2"/>
  <c r="C1881" i="2"/>
  <c r="C1878" i="2"/>
  <c r="C1876" i="2"/>
  <c r="C1858" i="2"/>
  <c r="C1856" i="2"/>
  <c r="C1839" i="2"/>
  <c r="C1836" i="2"/>
  <c r="C1834" i="2"/>
  <c r="C1816" i="2"/>
  <c r="C1814" i="2"/>
  <c r="C1797" i="2"/>
  <c r="C1794" i="2"/>
  <c r="C1792" i="2"/>
  <c r="C1774" i="2"/>
  <c r="C1772" i="2"/>
  <c r="E1753" i="2"/>
  <c r="E1751" i="2"/>
  <c r="E2110" i="2"/>
  <c r="E2108" i="2"/>
  <c r="E2091" i="2"/>
  <c r="E2087" i="2"/>
  <c r="K2070" i="2"/>
  <c r="K2067" i="2"/>
  <c r="K2065" i="2"/>
  <c r="C2049" i="2"/>
  <c r="C2046" i="2"/>
  <c r="C2044" i="2"/>
  <c r="C2026" i="2"/>
  <c r="C2024" i="2"/>
  <c r="C2007" i="2"/>
  <c r="C2004" i="2"/>
  <c r="C2002" i="2"/>
  <c r="C1984" i="2"/>
  <c r="C1982" i="2"/>
  <c r="C1963" i="2"/>
  <c r="C1961" i="2"/>
  <c r="K1942" i="2"/>
  <c r="K1940" i="2"/>
  <c r="G1921" i="2"/>
  <c r="G1919" i="2"/>
  <c r="K1902" i="2"/>
  <c r="K1899" i="2"/>
  <c r="K1897" i="2"/>
  <c r="K1879" i="2"/>
  <c r="K1877" i="2"/>
  <c r="K1860" i="2"/>
  <c r="K1857" i="2"/>
  <c r="K1855" i="2"/>
  <c r="K1837" i="2"/>
  <c r="K1835" i="2"/>
  <c r="K1818" i="2"/>
  <c r="K1815" i="2"/>
  <c r="K1813" i="2"/>
  <c r="K1795" i="2"/>
  <c r="K1793" i="2"/>
  <c r="K1776" i="2"/>
  <c r="K1773" i="2"/>
  <c r="K1771" i="2"/>
  <c r="K1755" i="2"/>
  <c r="C1753" i="2"/>
  <c r="C1751" i="2"/>
  <c r="G2089" i="2"/>
  <c r="K2112" i="2"/>
  <c r="G2086" i="2"/>
  <c r="C2067" i="2"/>
  <c r="E2028" i="2"/>
  <c r="E2003" i="2"/>
  <c r="E1965" i="2"/>
  <c r="K1920" i="2"/>
  <c r="C1902" i="2"/>
  <c r="C1835" i="2"/>
  <c r="C1818" i="2"/>
  <c r="C1771" i="2"/>
  <c r="C1755" i="2"/>
  <c r="C2110" i="2"/>
  <c r="C2108" i="2"/>
  <c r="C2091" i="2"/>
  <c r="C2087" i="2"/>
  <c r="G2070" i="2"/>
  <c r="G2067" i="2"/>
  <c r="G2065" i="2"/>
  <c r="K2047" i="2"/>
  <c r="K2045" i="2"/>
  <c r="K2028" i="2"/>
  <c r="K2025" i="2"/>
  <c r="K2023" i="2"/>
  <c r="K2005" i="2"/>
  <c r="K2003" i="2"/>
  <c r="K1986" i="2"/>
  <c r="K1983" i="2"/>
  <c r="K1981" i="2"/>
  <c r="K1965" i="2"/>
  <c r="K1962" i="2"/>
  <c r="K1960" i="2"/>
  <c r="G1942" i="2"/>
  <c r="G1940" i="2"/>
  <c r="E1921" i="2"/>
  <c r="E1919" i="2"/>
  <c r="G1902" i="2"/>
  <c r="G1899" i="2"/>
  <c r="G1897" i="2"/>
  <c r="G1879" i="2"/>
  <c r="G1877" i="2"/>
  <c r="G1860" i="2"/>
  <c r="G1857" i="2"/>
  <c r="G1855" i="2"/>
  <c r="G1837" i="2"/>
  <c r="G1835" i="2"/>
  <c r="G1818" i="2"/>
  <c r="G1815" i="2"/>
  <c r="G1813" i="2"/>
  <c r="G1795" i="2"/>
  <c r="G1793" i="2"/>
  <c r="G1776" i="2"/>
  <c r="G1773" i="2"/>
  <c r="G1771" i="2"/>
  <c r="G1755" i="2"/>
  <c r="K1752" i="2"/>
  <c r="K1750" i="2"/>
  <c r="C1899" i="2"/>
  <c r="C1776" i="2"/>
  <c r="E1750" i="2"/>
  <c r="G2110" i="2"/>
  <c r="K2109" i="2"/>
  <c r="K2107" i="2"/>
  <c r="K2088" i="2"/>
  <c r="K2086" i="2"/>
  <c r="E2070" i="2"/>
  <c r="E2067" i="2"/>
  <c r="E2065" i="2"/>
  <c r="G2047" i="2"/>
  <c r="G2045" i="2"/>
  <c r="G2028" i="2"/>
  <c r="G2025" i="2"/>
  <c r="G2023" i="2"/>
  <c r="G2005" i="2"/>
  <c r="G2003" i="2"/>
  <c r="G1986" i="2"/>
  <c r="G1983" i="2"/>
  <c r="G1981" i="2"/>
  <c r="G1965" i="2"/>
  <c r="G1962" i="2"/>
  <c r="G1960" i="2"/>
  <c r="E1942" i="2"/>
  <c r="E1940" i="2"/>
  <c r="K1923" i="2"/>
  <c r="C1921" i="2"/>
  <c r="C1919" i="2"/>
  <c r="E1902" i="2"/>
  <c r="E1899" i="2"/>
  <c r="E1897" i="2"/>
  <c r="E1879" i="2"/>
  <c r="E1877" i="2"/>
  <c r="E1860" i="2"/>
  <c r="E1857" i="2"/>
  <c r="E1855" i="2"/>
  <c r="E1837" i="2"/>
  <c r="E1835" i="2"/>
  <c r="E1818" i="2"/>
  <c r="E1815" i="2"/>
  <c r="E1813" i="2"/>
  <c r="E1795" i="2"/>
  <c r="E1793" i="2"/>
  <c r="E1776" i="2"/>
  <c r="E1773" i="2"/>
  <c r="E1771" i="2"/>
  <c r="E1755" i="2"/>
  <c r="G1752" i="2"/>
  <c r="G1750" i="2"/>
  <c r="G2109" i="2"/>
  <c r="G2088" i="2"/>
  <c r="C2070" i="2"/>
  <c r="C2065" i="2"/>
  <c r="E2047" i="2"/>
  <c r="E2023" i="2"/>
  <c r="E2005" i="2"/>
  <c r="E1981" i="2"/>
  <c r="E1962" i="2"/>
  <c r="C1942" i="2"/>
  <c r="G1923" i="2"/>
  <c r="C1877" i="2"/>
  <c r="C1857" i="2"/>
  <c r="C1837" i="2"/>
  <c r="C1815" i="2"/>
  <c r="C1793" i="2"/>
  <c r="G2112" i="2"/>
  <c r="E2109" i="2"/>
  <c r="E2107" i="2"/>
  <c r="E2088" i="2"/>
  <c r="E2086" i="2"/>
  <c r="K2068" i="2"/>
  <c r="K2066" i="2"/>
  <c r="C2047" i="2"/>
  <c r="C2045" i="2"/>
  <c r="C2028" i="2"/>
  <c r="C2025" i="2"/>
  <c r="C2023" i="2"/>
  <c r="C2005" i="2"/>
  <c r="C2003" i="2"/>
  <c r="C1986" i="2"/>
  <c r="C1983" i="2"/>
  <c r="C1981" i="2"/>
  <c r="C1965" i="2"/>
  <c r="C1962" i="2"/>
  <c r="C1960" i="2"/>
  <c r="K1944" i="2"/>
  <c r="K1941" i="2"/>
  <c r="K1939" i="2"/>
  <c r="E1923" i="2"/>
  <c r="G1920" i="2"/>
  <c r="G1918" i="2"/>
  <c r="K1900" i="2"/>
  <c r="K1898" i="2"/>
  <c r="K1881" i="2"/>
  <c r="K1878" i="2"/>
  <c r="K1876" i="2"/>
  <c r="K1858" i="2"/>
  <c r="K1856" i="2"/>
  <c r="K1839" i="2"/>
  <c r="K1836" i="2"/>
  <c r="K1834" i="2"/>
  <c r="K1816" i="2"/>
  <c r="K1814" i="2"/>
  <c r="K1797" i="2"/>
  <c r="K1794" i="2"/>
  <c r="K1792" i="2"/>
  <c r="K1774" i="2"/>
  <c r="K1772" i="2"/>
  <c r="E1754" i="2"/>
  <c r="C1752" i="2"/>
  <c r="C1750" i="2"/>
  <c r="E1983" i="2"/>
  <c r="K1918" i="2"/>
  <c r="C1855" i="2"/>
  <c r="C1773" i="2"/>
  <c r="C2111" i="2"/>
  <c r="K1754" i="2"/>
  <c r="E1880" i="2"/>
  <c r="C1817" i="2"/>
  <c r="G2048" i="2"/>
  <c r="G1880" i="2"/>
  <c r="K1817" i="2"/>
  <c r="G2090" i="2"/>
  <c r="K1964" i="2"/>
  <c r="E1985" i="2"/>
  <c r="E1859" i="2"/>
  <c r="E1901" i="2"/>
  <c r="E1817" i="2"/>
  <c r="C1838" i="2"/>
  <c r="E2069" i="2"/>
  <c r="G1901" i="2"/>
  <c r="K1838" i="2"/>
  <c r="G2111" i="2"/>
  <c r="C2089" i="2"/>
  <c r="E2006" i="2"/>
  <c r="C1754" i="2"/>
  <c r="K1985" i="2"/>
  <c r="C1859" i="2"/>
  <c r="K2089" i="2"/>
  <c r="E1922" i="2"/>
  <c r="K1859" i="2"/>
  <c r="K1922" i="2"/>
  <c r="K1943" i="2"/>
  <c r="E2027" i="2"/>
  <c r="K2006" i="2"/>
  <c r="C2090" i="2"/>
  <c r="C1880" i="2"/>
  <c r="G1775" i="2"/>
  <c r="C1964" i="2"/>
  <c r="K1880" i="2"/>
  <c r="E1943" i="2"/>
  <c r="C1985" i="2"/>
  <c r="E2048" i="2"/>
  <c r="G2069" i="2"/>
  <c r="E1775" i="2"/>
  <c r="C1901" i="2"/>
  <c r="G1796" i="2"/>
  <c r="K2069" i="2"/>
  <c r="K1901" i="2"/>
  <c r="G1964" i="2"/>
  <c r="C2006" i="2"/>
  <c r="C2069" i="2"/>
  <c r="G1754" i="2"/>
  <c r="E1838" i="2"/>
  <c r="G1985" i="2"/>
  <c r="G1817" i="2"/>
  <c r="E2090" i="2"/>
  <c r="G1922" i="2"/>
  <c r="K2090" i="2"/>
  <c r="C2027" i="2"/>
  <c r="E1796" i="2"/>
  <c r="K1775" i="2"/>
  <c r="C1775" i="2"/>
  <c r="G2006" i="2"/>
  <c r="G1838" i="2"/>
  <c r="E2111" i="2"/>
  <c r="C1943" i="2"/>
  <c r="K2111" i="2"/>
  <c r="C2048" i="2"/>
  <c r="K2048" i="2"/>
  <c r="K2027" i="2"/>
  <c r="C1796" i="2"/>
  <c r="G2027" i="2"/>
  <c r="G1859" i="2"/>
  <c r="K1796" i="2"/>
  <c r="E1964" i="2"/>
  <c r="G1943" i="2"/>
  <c r="E2089" i="2"/>
  <c r="G251" i="2"/>
  <c r="G249" i="2"/>
  <c r="E251" i="2"/>
  <c r="E249" i="2"/>
  <c r="C251" i="2"/>
  <c r="C249" i="2"/>
  <c r="K252" i="2"/>
  <c r="K250" i="2"/>
  <c r="G252" i="2"/>
  <c r="G250" i="2"/>
  <c r="E252" i="2"/>
  <c r="E250" i="2"/>
  <c r="C252" i="2"/>
  <c r="C250" i="2"/>
  <c r="K251" i="2"/>
  <c r="K249" i="2"/>
  <c r="K235" i="2"/>
  <c r="K233" i="2"/>
  <c r="K231" i="2"/>
  <c r="K229" i="2"/>
  <c r="C208" i="2"/>
  <c r="G235" i="2"/>
  <c r="G233" i="2"/>
  <c r="G231" i="2"/>
  <c r="G229" i="2"/>
  <c r="K209" i="2"/>
  <c r="K205" i="2"/>
  <c r="E235" i="2"/>
  <c r="E233" i="2"/>
  <c r="E231" i="2"/>
  <c r="E229" i="2"/>
  <c r="G209" i="2"/>
  <c r="G205" i="2"/>
  <c r="C235" i="2"/>
  <c r="C233" i="2"/>
  <c r="C231" i="2"/>
  <c r="C229" i="2"/>
  <c r="E209" i="2"/>
  <c r="E205" i="2"/>
  <c r="K234" i="2"/>
  <c r="K232" i="2"/>
  <c r="K230" i="2"/>
  <c r="K228" i="2"/>
  <c r="C209" i="2"/>
  <c r="C205" i="2"/>
  <c r="G234" i="2"/>
  <c r="G232" i="2"/>
  <c r="G230" i="2"/>
  <c r="G228" i="2"/>
  <c r="K208" i="2"/>
  <c r="E234" i="2"/>
  <c r="E232" i="2"/>
  <c r="E230" i="2"/>
  <c r="E228" i="2"/>
  <c r="G208" i="2"/>
  <c r="C234" i="2"/>
  <c r="C232" i="2"/>
  <c r="C230" i="2"/>
  <c r="C228" i="2"/>
  <c r="E208" i="2"/>
  <c r="C196" i="2"/>
  <c r="G198" i="2"/>
  <c r="G194" i="2"/>
  <c r="G192" i="2"/>
  <c r="G190" i="2"/>
  <c r="G188" i="2"/>
  <c r="G186" i="2"/>
  <c r="G14" i="2"/>
  <c r="G12" i="2"/>
  <c r="C1498" i="2"/>
  <c r="C1496" i="2"/>
  <c r="C1494" i="2"/>
  <c r="C1492" i="2"/>
  <c r="C1490" i="2"/>
  <c r="C1477" i="2"/>
  <c r="C1475" i="2"/>
  <c r="C1473" i="2"/>
  <c r="C1471" i="2"/>
  <c r="K197" i="2"/>
  <c r="K195" i="2"/>
  <c r="E198" i="2"/>
  <c r="E194" i="2"/>
  <c r="E192" i="2"/>
  <c r="E190" i="2"/>
  <c r="E188" i="2"/>
  <c r="E186" i="2"/>
  <c r="E14" i="2"/>
  <c r="E12" i="2"/>
  <c r="K1497" i="2"/>
  <c r="K1495" i="2"/>
  <c r="K1493" i="2"/>
  <c r="K1491" i="2"/>
  <c r="K1478" i="2"/>
  <c r="K1476" i="2"/>
  <c r="K1474" i="2"/>
  <c r="K1472" i="2"/>
  <c r="K1470" i="2"/>
  <c r="C1431" i="2"/>
  <c r="C1429" i="2"/>
  <c r="K1409" i="2"/>
  <c r="K1407" i="2"/>
  <c r="G1388" i="2"/>
  <c r="E1386" i="2"/>
  <c r="E1367" i="2"/>
  <c r="C1365" i="2"/>
  <c r="C1346" i="2"/>
  <c r="K1326" i="2"/>
  <c r="K1324" i="2"/>
  <c r="G1305" i="2"/>
  <c r="G1303" i="2"/>
  <c r="E1284" i="2"/>
  <c r="E1282" i="2"/>
  <c r="C1263" i="2"/>
  <c r="C1261" i="2"/>
  <c r="K1241" i="2"/>
  <c r="K1239" i="2"/>
  <c r="G1220" i="2"/>
  <c r="E1218" i="2"/>
  <c r="E1199" i="2"/>
  <c r="C1197" i="2"/>
  <c r="C1178" i="2"/>
  <c r="K1158" i="2"/>
  <c r="K1156" i="2"/>
  <c r="G1137" i="2"/>
  <c r="G1135" i="2"/>
  <c r="E1116" i="2"/>
  <c r="E1114" i="2"/>
  <c r="C1095" i="2"/>
  <c r="C1093" i="2"/>
  <c r="K1073" i="2"/>
  <c r="G197" i="2"/>
  <c r="G195" i="2"/>
  <c r="C198" i="2"/>
  <c r="C194" i="2"/>
  <c r="C192" i="2"/>
  <c r="C190" i="2"/>
  <c r="C188" i="2"/>
  <c r="C186" i="2"/>
  <c r="C14" i="2"/>
  <c r="C12" i="2"/>
  <c r="K1499" i="2"/>
  <c r="G1497" i="2"/>
  <c r="G1495" i="2"/>
  <c r="G1493" i="2"/>
  <c r="G1491" i="2"/>
  <c r="G1478" i="2"/>
  <c r="G1476" i="2"/>
  <c r="G1474" i="2"/>
  <c r="G1472" i="2"/>
  <c r="G1470" i="2"/>
  <c r="K1430" i="2"/>
  <c r="K1428" i="2"/>
  <c r="G1409" i="2"/>
  <c r="E1407" i="2"/>
  <c r="E1388" i="2"/>
  <c r="C1386" i="2"/>
  <c r="C1367" i="2"/>
  <c r="K1347" i="2"/>
  <c r="K1345" i="2"/>
  <c r="G1326" i="2"/>
  <c r="G1324" i="2"/>
  <c r="E1305" i="2"/>
  <c r="E1303" i="2"/>
  <c r="C1284" i="2"/>
  <c r="C1282" i="2"/>
  <c r="K1262" i="2"/>
  <c r="K1260" i="2"/>
  <c r="G1241" i="2"/>
  <c r="E1239" i="2"/>
  <c r="E1220" i="2"/>
  <c r="C1218" i="2"/>
  <c r="C1199" i="2"/>
  <c r="K1179" i="2"/>
  <c r="K1177" i="2"/>
  <c r="G1158" i="2"/>
  <c r="G1156" i="2"/>
  <c r="E1137" i="2"/>
  <c r="E1135" i="2"/>
  <c r="C1116" i="2"/>
  <c r="C1114" i="2"/>
  <c r="K1094" i="2"/>
  <c r="K1092" i="2"/>
  <c r="G1073" i="2"/>
  <c r="E1071" i="2"/>
  <c r="E1052" i="2"/>
  <c r="C1050" i="2"/>
  <c r="C1031" i="2"/>
  <c r="K1011" i="2"/>
  <c r="K1009" i="2"/>
  <c r="G990" i="2"/>
  <c r="G988" i="2"/>
  <c r="E969" i="2"/>
  <c r="E967" i="2"/>
  <c r="C948" i="2"/>
  <c r="C946" i="2"/>
  <c r="E927" i="2"/>
  <c r="E925" i="2"/>
  <c r="E904" i="2"/>
  <c r="K1368" i="2"/>
  <c r="E1324" i="2"/>
  <c r="C1303" i="2"/>
  <c r="K1283" i="2"/>
  <c r="G1262" i="2"/>
  <c r="C1239" i="2"/>
  <c r="C1220" i="2"/>
  <c r="K1200" i="2"/>
  <c r="G1179" i="2"/>
  <c r="E1158" i="2"/>
  <c r="C1137" i="2"/>
  <c r="K1115" i="2"/>
  <c r="G1094" i="2"/>
  <c r="C1071" i="2"/>
  <c r="E197" i="2"/>
  <c r="E195" i="2"/>
  <c r="G207" i="2"/>
  <c r="K193" i="2"/>
  <c r="K191" i="2"/>
  <c r="K189" i="2"/>
  <c r="K187" i="2"/>
  <c r="K185" i="2"/>
  <c r="K13" i="2"/>
  <c r="G1499" i="2"/>
  <c r="E1497" i="2"/>
  <c r="E1495" i="2"/>
  <c r="E1493" i="2"/>
  <c r="E1491" i="2"/>
  <c r="E1478" i="2"/>
  <c r="E1476" i="2"/>
  <c r="E1474" i="2"/>
  <c r="E1472" i="2"/>
  <c r="E1470" i="2"/>
  <c r="K1449" i="2"/>
  <c r="G1430" i="2"/>
  <c r="E1428" i="2"/>
  <c r="E1409" i="2"/>
  <c r="C1407" i="2"/>
  <c r="C1388" i="2"/>
  <c r="K1366" i="2"/>
  <c r="G1347" i="2"/>
  <c r="G1345" i="2"/>
  <c r="E1326" i="2"/>
  <c r="C1305" i="2"/>
  <c r="K1281" i="2"/>
  <c r="E1260" i="2"/>
  <c r="E1241" i="2"/>
  <c r="K1198" i="2"/>
  <c r="G1177" i="2"/>
  <c r="E1156" i="2"/>
  <c r="C1135" i="2"/>
  <c r="K1113" i="2"/>
  <c r="E1092" i="2"/>
  <c r="E1073" i="2"/>
  <c r="C197" i="2"/>
  <c r="C195" i="2"/>
  <c r="G204" i="2"/>
  <c r="G193" i="2"/>
  <c r="G191" i="2"/>
  <c r="G189" i="2"/>
  <c r="G187" i="2"/>
  <c r="G185" i="2"/>
  <c r="G13" i="2"/>
  <c r="E1499" i="2"/>
  <c r="C1497" i="2"/>
  <c r="C1495" i="2"/>
  <c r="C1493" i="2"/>
  <c r="C1491" i="2"/>
  <c r="C1478" i="2"/>
  <c r="C1476" i="2"/>
  <c r="C1474" i="2"/>
  <c r="C1472" i="2"/>
  <c r="C1470" i="2"/>
  <c r="E1449" i="2"/>
  <c r="E1430" i="2"/>
  <c r="C1428" i="2"/>
  <c r="C1409" i="2"/>
  <c r="K1389" i="2"/>
  <c r="K1387" i="2"/>
  <c r="G1368" i="2"/>
  <c r="G1366" i="2"/>
  <c r="E1347" i="2"/>
  <c r="E1345" i="2"/>
  <c r="C1326" i="2"/>
  <c r="C1324" i="2"/>
  <c r="K1304" i="2"/>
  <c r="K1302" i="2"/>
  <c r="G1283" i="2"/>
  <c r="E1281" i="2"/>
  <c r="E1262" i="2"/>
  <c r="C1260" i="2"/>
  <c r="C1241" i="2"/>
  <c r="K1221" i="2"/>
  <c r="K1219" i="2"/>
  <c r="G1200" i="2"/>
  <c r="G1198" i="2"/>
  <c r="E1179" i="2"/>
  <c r="E1177" i="2"/>
  <c r="C1158" i="2"/>
  <c r="C1156" i="2"/>
  <c r="K1136" i="2"/>
  <c r="K1134" i="2"/>
  <c r="G1115" i="2"/>
  <c r="E1113" i="2"/>
  <c r="E1094" i="2"/>
  <c r="C1092" i="2"/>
  <c r="C1073" i="2"/>
  <c r="K196" i="2"/>
  <c r="G199" i="2"/>
  <c r="E193" i="2"/>
  <c r="E191" i="2"/>
  <c r="E189" i="2"/>
  <c r="E187" i="2"/>
  <c r="E185" i="2"/>
  <c r="E13" i="2"/>
  <c r="C1499" i="2"/>
  <c r="K1496" i="2"/>
  <c r="K1494" i="2"/>
  <c r="K1492" i="2"/>
  <c r="K1490" i="2"/>
  <c r="K1477" i="2"/>
  <c r="K1475" i="2"/>
  <c r="K1473" i="2"/>
  <c r="K1471" i="2"/>
  <c r="C1449" i="2"/>
  <c r="C1430" i="2"/>
  <c r="K1410" i="2"/>
  <c r="K1408" i="2"/>
  <c r="G1389" i="2"/>
  <c r="G1387" i="2"/>
  <c r="E1368" i="2"/>
  <c r="E1366" i="2"/>
  <c r="C1347" i="2"/>
  <c r="C1345" i="2"/>
  <c r="K1325" i="2"/>
  <c r="K1323" i="2"/>
  <c r="G1304" i="2"/>
  <c r="E1302" i="2"/>
  <c r="E1283" i="2"/>
  <c r="C1281" i="2"/>
  <c r="C1262" i="2"/>
  <c r="K1242" i="2"/>
  <c r="K1240" i="2"/>
  <c r="G1221" i="2"/>
  <c r="G1219" i="2"/>
  <c r="E1200" i="2"/>
  <c r="E1198" i="2"/>
  <c r="C1179" i="2"/>
  <c r="C1177" i="2"/>
  <c r="K1157" i="2"/>
  <c r="K1155" i="2"/>
  <c r="G1136" i="2"/>
  <c r="E1134" i="2"/>
  <c r="E1115" i="2"/>
  <c r="C1113" i="2"/>
  <c r="C1094" i="2"/>
  <c r="K1074" i="2"/>
  <c r="G196" i="2"/>
  <c r="E199" i="2"/>
  <c r="C193" i="2"/>
  <c r="C191" i="2"/>
  <c r="C189" i="2"/>
  <c r="C187" i="2"/>
  <c r="C185" i="2"/>
  <c r="C13" i="2"/>
  <c r="E196" i="2"/>
  <c r="K198" i="2"/>
  <c r="K194" i="2"/>
  <c r="K192" i="2"/>
  <c r="K190" i="2"/>
  <c r="K188" i="2"/>
  <c r="K186" i="2"/>
  <c r="K14" i="2"/>
  <c r="K12" i="2"/>
  <c r="G1492" i="2"/>
  <c r="G1473" i="2"/>
  <c r="G1410" i="2"/>
  <c r="K1388" i="2"/>
  <c r="K1365" i="2"/>
  <c r="G1325" i="2"/>
  <c r="K1303" i="2"/>
  <c r="G1263" i="2"/>
  <c r="G1240" i="2"/>
  <c r="K1218" i="2"/>
  <c r="G1178" i="2"/>
  <c r="E1155" i="2"/>
  <c r="G1116" i="2"/>
  <c r="G1093" i="2"/>
  <c r="C1072" i="2"/>
  <c r="C1052" i="2"/>
  <c r="G1032" i="2"/>
  <c r="E1030" i="2"/>
  <c r="K1010" i="2"/>
  <c r="E1008" i="2"/>
  <c r="C989" i="2"/>
  <c r="G969" i="2"/>
  <c r="C967" i="2"/>
  <c r="G947" i="2"/>
  <c r="C945" i="2"/>
  <c r="E926" i="2"/>
  <c r="C905" i="2"/>
  <c r="C1219" i="2"/>
  <c r="E1492" i="2"/>
  <c r="E1473" i="2"/>
  <c r="E1410" i="2"/>
  <c r="E1387" i="2"/>
  <c r="E1365" i="2"/>
  <c r="E1325" i="2"/>
  <c r="C1302" i="2"/>
  <c r="E1263" i="2"/>
  <c r="E1240" i="2"/>
  <c r="C1200" i="2"/>
  <c r="E1178" i="2"/>
  <c r="C1155" i="2"/>
  <c r="C1115" i="2"/>
  <c r="E1093" i="2"/>
  <c r="K1071" i="2"/>
  <c r="K1051" i="2"/>
  <c r="E1032" i="2"/>
  <c r="C1030" i="2"/>
  <c r="G1010" i="2"/>
  <c r="C1008" i="2"/>
  <c r="K988" i="2"/>
  <c r="C969" i="2"/>
  <c r="K966" i="2"/>
  <c r="E947" i="2"/>
  <c r="C926" i="2"/>
  <c r="K904" i="2"/>
  <c r="E1429" i="2"/>
  <c r="C1344" i="2"/>
  <c r="K1263" i="2"/>
  <c r="K1093" i="2"/>
  <c r="K1032" i="2"/>
  <c r="C1011" i="2"/>
  <c r="K1498" i="2"/>
  <c r="G1490" i="2"/>
  <c r="G1471" i="2"/>
  <c r="K1431" i="2"/>
  <c r="C1410" i="2"/>
  <c r="C1387" i="2"/>
  <c r="K1346" i="2"/>
  <c r="C1325" i="2"/>
  <c r="K1284" i="2"/>
  <c r="K1261" i="2"/>
  <c r="C1240" i="2"/>
  <c r="K1199" i="2"/>
  <c r="K1176" i="2"/>
  <c r="K1137" i="2"/>
  <c r="K1114" i="2"/>
  <c r="G1074" i="2"/>
  <c r="K1053" i="2"/>
  <c r="G1051" i="2"/>
  <c r="C1032" i="2"/>
  <c r="K1029" i="2"/>
  <c r="E1010" i="2"/>
  <c r="K990" i="2"/>
  <c r="E988" i="2"/>
  <c r="K968" i="2"/>
  <c r="E966" i="2"/>
  <c r="C947" i="2"/>
  <c r="K925" i="2"/>
  <c r="G904" i="2"/>
  <c r="C1389" i="2"/>
  <c r="C1304" i="2"/>
  <c r="C1157" i="2"/>
  <c r="G1052" i="2"/>
  <c r="K969" i="2"/>
  <c r="E1498" i="2"/>
  <c r="E1490" i="2"/>
  <c r="E1471" i="2"/>
  <c r="G1431" i="2"/>
  <c r="G1408" i="2"/>
  <c r="K1386" i="2"/>
  <c r="G1346" i="2"/>
  <c r="E1323" i="2"/>
  <c r="G1284" i="2"/>
  <c r="G1261" i="2"/>
  <c r="E1221" i="2"/>
  <c r="G1199" i="2"/>
  <c r="E1176" i="2"/>
  <c r="E1136" i="2"/>
  <c r="G1114" i="2"/>
  <c r="E1074" i="2"/>
  <c r="G1053" i="2"/>
  <c r="E1051" i="2"/>
  <c r="K1031" i="2"/>
  <c r="E1029" i="2"/>
  <c r="C1010" i="2"/>
  <c r="E990" i="2"/>
  <c r="C988" i="2"/>
  <c r="G968" i="2"/>
  <c r="C966" i="2"/>
  <c r="K946" i="2"/>
  <c r="G906" i="2"/>
  <c r="K927" i="2"/>
  <c r="G925" i="2"/>
  <c r="C904" i="2"/>
  <c r="E1494" i="2"/>
  <c r="K1116" i="2"/>
  <c r="G1030" i="2"/>
  <c r="K947" i="2"/>
  <c r="G1496" i="2"/>
  <c r="G1477" i="2"/>
  <c r="E1431" i="2"/>
  <c r="E1408" i="2"/>
  <c r="C1368" i="2"/>
  <c r="E1346" i="2"/>
  <c r="C1323" i="2"/>
  <c r="C1283" i="2"/>
  <c r="E1261" i="2"/>
  <c r="C1221" i="2"/>
  <c r="C1198" i="2"/>
  <c r="C1176" i="2"/>
  <c r="C1136" i="2"/>
  <c r="K1095" i="2"/>
  <c r="C1074" i="2"/>
  <c r="E1053" i="2"/>
  <c r="C1051" i="2"/>
  <c r="G1031" i="2"/>
  <c r="C1029" i="2"/>
  <c r="G1009" i="2"/>
  <c r="C990" i="2"/>
  <c r="K987" i="2"/>
  <c r="E968" i="2"/>
  <c r="K948" i="2"/>
  <c r="G946" i="2"/>
  <c r="G927" i="2"/>
  <c r="C925" i="2"/>
  <c r="E1475" i="2"/>
  <c r="C1366" i="2"/>
  <c r="E945" i="2"/>
  <c r="G926" i="2"/>
  <c r="E1496" i="2"/>
  <c r="E1477" i="2"/>
  <c r="K1429" i="2"/>
  <c r="C1408" i="2"/>
  <c r="K1367" i="2"/>
  <c r="K1344" i="2"/>
  <c r="K1305" i="2"/>
  <c r="K1282" i="2"/>
  <c r="G1242" i="2"/>
  <c r="K1220" i="2"/>
  <c r="K1197" i="2"/>
  <c r="G1157" i="2"/>
  <c r="K1135" i="2"/>
  <c r="G1095" i="2"/>
  <c r="K1072" i="2"/>
  <c r="C1053" i="2"/>
  <c r="K1050" i="2"/>
  <c r="E1031" i="2"/>
  <c r="G1011" i="2"/>
  <c r="E1009" i="2"/>
  <c r="K989" i="2"/>
  <c r="E987" i="2"/>
  <c r="C968" i="2"/>
  <c r="G948" i="2"/>
  <c r="E946" i="2"/>
  <c r="C927" i="2"/>
  <c r="K905" i="2"/>
  <c r="C1242" i="2"/>
  <c r="E1072" i="2"/>
  <c r="K1008" i="2"/>
  <c r="E989" i="2"/>
  <c r="E905" i="2"/>
  <c r="G1494" i="2"/>
  <c r="G1475" i="2"/>
  <c r="G1429" i="2"/>
  <c r="E1389" i="2"/>
  <c r="G1367" i="2"/>
  <c r="E1344" i="2"/>
  <c r="E1304" i="2"/>
  <c r="G1282" i="2"/>
  <c r="E1242" i="2"/>
  <c r="E1219" i="2"/>
  <c r="E1197" i="2"/>
  <c r="E1157" i="2"/>
  <c r="C1134" i="2"/>
  <c r="E1095" i="2"/>
  <c r="G1072" i="2"/>
  <c r="K1052" i="2"/>
  <c r="E1050" i="2"/>
  <c r="K1030" i="2"/>
  <c r="E1011" i="2"/>
  <c r="C1009" i="2"/>
  <c r="G989" i="2"/>
  <c r="C987" i="2"/>
  <c r="K967" i="2"/>
  <c r="E948" i="2"/>
  <c r="K945" i="2"/>
  <c r="K926" i="2"/>
  <c r="G905" i="2"/>
  <c r="K1178" i="2"/>
  <c r="G967" i="2"/>
  <c r="C213" i="2"/>
  <c r="K202" i="2"/>
  <c r="C206" i="2"/>
  <c r="K213" i="2"/>
  <c r="E214" i="2"/>
  <c r="G203" i="2"/>
  <c r="K212" i="2"/>
  <c r="G15" i="2"/>
  <c r="C219" i="2"/>
  <c r="E903" i="2"/>
  <c r="E924" i="2"/>
  <c r="E200" i="2"/>
  <c r="E217" i="2"/>
  <c r="C201" i="2"/>
  <c r="E210" i="2"/>
  <c r="E216" i="2"/>
  <c r="K206" i="2"/>
  <c r="K903" i="2"/>
  <c r="G1449" i="2"/>
  <c r="G217" i="2"/>
  <c r="K15" i="2"/>
  <c r="E219" i="2"/>
  <c r="K217" i="2"/>
  <c r="C203" i="2"/>
  <c r="E212" i="2"/>
  <c r="C15" i="2"/>
  <c r="G218" i="2"/>
  <c r="K201" i="2"/>
  <c r="C211" i="2"/>
  <c r="K924" i="2"/>
  <c r="E906" i="2"/>
  <c r="C199" i="2"/>
  <c r="C215" i="2"/>
  <c r="G200" i="2"/>
  <c r="E215" i="2"/>
  <c r="K219" i="2"/>
  <c r="E206" i="2"/>
  <c r="G214" i="2"/>
  <c r="K203" i="2"/>
  <c r="C204" i="2"/>
  <c r="C906" i="2"/>
  <c r="G202" i="2"/>
  <c r="G219" i="2"/>
  <c r="E211" i="2"/>
  <c r="E213" i="2"/>
  <c r="K215" i="2"/>
  <c r="C218" i="2"/>
  <c r="E201" i="2"/>
  <c r="G210" i="2"/>
  <c r="G216" i="2"/>
  <c r="C207" i="2"/>
  <c r="K199" i="2"/>
  <c r="K200" i="2"/>
  <c r="E204" i="2"/>
  <c r="K211" i="2"/>
  <c r="G213" i="2"/>
  <c r="C214" i="2"/>
  <c r="E203" i="2"/>
  <c r="G212" i="2"/>
  <c r="E15" i="2"/>
  <c r="K218" i="2"/>
  <c r="C202" i="2"/>
  <c r="K906" i="2"/>
  <c r="C200" i="2"/>
  <c r="G215" i="2"/>
  <c r="E207" i="2"/>
  <c r="K204" i="2"/>
  <c r="C210" i="2"/>
  <c r="C216" i="2"/>
  <c r="G206" i="2"/>
  <c r="K214" i="2"/>
  <c r="C903" i="2"/>
  <c r="G211" i="2"/>
  <c r="E202" i="2"/>
  <c r="K207" i="2"/>
  <c r="C212" i="2"/>
  <c r="G1498" i="2"/>
  <c r="E218" i="2"/>
  <c r="G201" i="2"/>
  <c r="K210" i="2"/>
  <c r="K216" i="2"/>
  <c r="C217" i="2"/>
  <c r="C924" i="2"/>
  <c r="E345" i="2"/>
  <c r="E343" i="2"/>
  <c r="E340" i="2"/>
  <c r="K339" i="2"/>
  <c r="C345" i="2"/>
  <c r="C343" i="2"/>
  <c r="C340" i="2"/>
  <c r="K344" i="2"/>
  <c r="G344" i="2"/>
  <c r="G342" i="2"/>
  <c r="G339" i="2"/>
  <c r="K345" i="2"/>
  <c r="K340" i="2"/>
  <c r="E344" i="2"/>
  <c r="E342" i="2"/>
  <c r="E339" i="2"/>
  <c r="K343" i="2"/>
  <c r="C344" i="2"/>
  <c r="C342" i="2"/>
  <c r="C339" i="2"/>
  <c r="G345" i="2"/>
  <c r="G343" i="2"/>
  <c r="G340" i="2"/>
  <c r="K342" i="2"/>
  <c r="K861" i="2"/>
  <c r="E504" i="2"/>
  <c r="E399" i="2"/>
  <c r="C861" i="2"/>
  <c r="K378" i="2"/>
  <c r="E567" i="2"/>
  <c r="K609" i="2"/>
  <c r="C756" i="2"/>
  <c r="E798" i="2"/>
  <c r="E483" i="2"/>
  <c r="K504" i="2"/>
  <c r="G651" i="2"/>
  <c r="G756" i="2"/>
  <c r="G861" i="2"/>
  <c r="E462" i="2"/>
  <c r="E840" i="2"/>
  <c r="C483" i="2"/>
  <c r="C672" i="2"/>
  <c r="K735" i="2"/>
  <c r="C357" i="2"/>
  <c r="C546" i="2"/>
  <c r="E588" i="2"/>
  <c r="K630" i="2"/>
  <c r="C777" i="2"/>
  <c r="C462" i="2"/>
  <c r="G609" i="2"/>
  <c r="G546" i="2"/>
  <c r="G777" i="2"/>
  <c r="G525" i="2"/>
  <c r="C819" i="2"/>
  <c r="K357" i="2"/>
  <c r="K546" i="2"/>
  <c r="E714" i="2"/>
  <c r="K420" i="2"/>
  <c r="C567" i="2"/>
  <c r="E609" i="2"/>
  <c r="K651" i="2"/>
  <c r="K840" i="2"/>
  <c r="G714" i="2"/>
  <c r="G420" i="2"/>
  <c r="G462" i="2"/>
  <c r="G672" i="2"/>
  <c r="C714" i="2"/>
  <c r="G567" i="2"/>
  <c r="K693" i="2"/>
  <c r="K882" i="2"/>
  <c r="E525" i="2"/>
  <c r="C693" i="2"/>
  <c r="C882" i="2"/>
  <c r="E378" i="2"/>
  <c r="K441" i="2"/>
  <c r="C588" i="2"/>
  <c r="E630" i="2"/>
  <c r="E819" i="2"/>
  <c r="G630" i="2"/>
  <c r="G441" i="2"/>
  <c r="C651" i="2"/>
  <c r="K798" i="2"/>
  <c r="G819" i="2"/>
  <c r="K399" i="2"/>
  <c r="E861" i="2"/>
  <c r="C504" i="2"/>
  <c r="C399" i="2"/>
  <c r="K756" i="2"/>
  <c r="E420" i="2"/>
  <c r="K462" i="2"/>
  <c r="C609" i="2"/>
  <c r="C798" i="2"/>
  <c r="G588" i="2"/>
  <c r="G840" i="2"/>
  <c r="G735" i="2"/>
  <c r="G378" i="2"/>
  <c r="E756" i="2"/>
  <c r="E651" i="2"/>
  <c r="E672" i="2"/>
  <c r="C840" i="2"/>
  <c r="E357" i="2"/>
  <c r="K567" i="2"/>
  <c r="E735" i="2"/>
  <c r="K777" i="2"/>
  <c r="C378" i="2"/>
  <c r="E441" i="2"/>
  <c r="K483" i="2"/>
  <c r="K672" i="2"/>
  <c r="G504" i="2"/>
  <c r="G693" i="2"/>
  <c r="G399" i="2"/>
  <c r="G357" i="2"/>
  <c r="E546" i="2"/>
  <c r="G882" i="2"/>
  <c r="K525" i="2"/>
  <c r="E693" i="2"/>
  <c r="E882" i="2"/>
  <c r="C525" i="2"/>
  <c r="K588" i="2"/>
  <c r="C735" i="2"/>
  <c r="E777" i="2"/>
  <c r="K819" i="2"/>
  <c r="C441" i="2"/>
  <c r="C630" i="2"/>
  <c r="G798" i="2"/>
  <c r="G483" i="2"/>
  <c r="K714" i="2"/>
  <c r="C420" i="2"/>
  <c r="F32" i="16"/>
  <c r="G32" i="16" s="1"/>
  <c r="I32" i="16" s="1"/>
  <c r="D32" i="16"/>
  <c r="C32" i="16"/>
  <c r="D31" i="16"/>
  <c r="F31" i="16"/>
  <c r="C31" i="16"/>
  <c r="C24" i="16"/>
  <c r="C23" i="16"/>
  <c r="E24" i="16"/>
  <c r="E23" i="16"/>
  <c r="E22" i="16"/>
  <c r="C22" i="16"/>
  <c r="E338" i="2"/>
  <c r="C338" i="2"/>
  <c r="K341" i="2"/>
  <c r="K337" i="2"/>
  <c r="G341" i="2"/>
  <c r="G337" i="2"/>
  <c r="E341" i="2"/>
  <c r="E337" i="2"/>
  <c r="C341" i="2"/>
  <c r="C337" i="2"/>
  <c r="G338" i="2"/>
  <c r="K338" i="2"/>
  <c r="C318" i="2"/>
  <c r="C316" i="2"/>
  <c r="K319" i="2"/>
  <c r="K317" i="2"/>
  <c r="G317" i="2"/>
  <c r="E317" i="2"/>
  <c r="E316" i="2"/>
  <c r="C317" i="2"/>
  <c r="K316" i="2"/>
  <c r="G316" i="2"/>
  <c r="E319" i="2"/>
  <c r="E318" i="2"/>
  <c r="G318" i="2"/>
  <c r="K318" i="2"/>
  <c r="C319" i="2"/>
  <c r="H29" i="9"/>
  <c r="H27" i="9"/>
  <c r="H28" i="9"/>
  <c r="H29" i="8"/>
  <c r="H28" i="8"/>
  <c r="H27" i="8"/>
  <c r="H30" i="8" s="1"/>
  <c r="H27" i="7"/>
  <c r="H28" i="7"/>
  <c r="H29" i="7"/>
  <c r="H52" i="6"/>
  <c r="H51" i="6"/>
  <c r="H47" i="6"/>
  <c r="H48" i="6"/>
  <c r="H46" i="6"/>
  <c r="H30" i="7" l="1"/>
  <c r="L20" i="27"/>
  <c r="N20" i="27" s="1"/>
  <c r="I3175" i="2"/>
  <c r="I3187" i="2" s="1"/>
  <c r="H3157" i="2"/>
  <c r="I3157" i="2"/>
  <c r="J3157" i="2"/>
  <c r="J3161" i="2"/>
  <c r="H3161" i="2"/>
  <c r="I3161" i="2"/>
  <c r="H3155" i="2"/>
  <c r="I3155" i="2"/>
  <c r="J3155" i="2"/>
  <c r="J3156" i="2"/>
  <c r="I3156" i="2"/>
  <c r="H3156" i="2"/>
  <c r="J3162" i="2"/>
  <c r="I3162" i="2"/>
  <c r="H3162" i="2"/>
  <c r="H3158" i="2"/>
  <c r="J3158" i="2"/>
  <c r="I3158" i="2"/>
  <c r="J3175" i="2"/>
  <c r="J3187" i="2" s="1"/>
  <c r="H3175" i="2"/>
  <c r="H3187" i="2" s="1"/>
  <c r="J3159" i="2"/>
  <c r="H3159" i="2"/>
  <c r="I3159" i="2"/>
  <c r="J3195" i="2"/>
  <c r="J3207" i="2" s="1"/>
  <c r="H3195" i="2"/>
  <c r="H3207" i="2" s="1"/>
  <c r="H30" i="9"/>
  <c r="J3160" i="2"/>
  <c r="H3160" i="2"/>
  <c r="I3160" i="2"/>
  <c r="J56" i="2"/>
  <c r="H56" i="2"/>
  <c r="I56" i="2"/>
  <c r="H171" i="2"/>
  <c r="I171" i="2"/>
  <c r="J171" i="2"/>
  <c r="J167" i="2"/>
  <c r="I167" i="2"/>
  <c r="H167" i="2"/>
  <c r="J33" i="2"/>
  <c r="H33" i="2"/>
  <c r="I33" i="2"/>
  <c r="J170" i="2"/>
  <c r="H170" i="2"/>
  <c r="I170" i="2"/>
  <c r="J119" i="2"/>
  <c r="H119" i="2"/>
  <c r="I119" i="2"/>
  <c r="J175" i="2"/>
  <c r="H175" i="2"/>
  <c r="I175" i="2"/>
  <c r="H174" i="2"/>
  <c r="J174" i="2"/>
  <c r="I174" i="2"/>
  <c r="J54" i="2"/>
  <c r="H54" i="2"/>
  <c r="I54" i="2"/>
  <c r="H36" i="2"/>
  <c r="J36" i="2"/>
  <c r="I36" i="2"/>
  <c r="J172" i="2"/>
  <c r="I172" i="2"/>
  <c r="H172" i="2"/>
  <c r="J169" i="2"/>
  <c r="H169" i="2"/>
  <c r="I169" i="2"/>
  <c r="J34" i="2"/>
  <c r="H34" i="2"/>
  <c r="I34" i="2"/>
  <c r="I118" i="2"/>
  <c r="H118" i="2"/>
  <c r="J118" i="2"/>
  <c r="H168" i="2"/>
  <c r="I168" i="2"/>
  <c r="J168" i="2"/>
  <c r="J117" i="2"/>
  <c r="H117" i="2"/>
  <c r="I117" i="2"/>
  <c r="J75" i="2"/>
  <c r="I75" i="2"/>
  <c r="H75" i="2"/>
  <c r="J160" i="2"/>
  <c r="H160" i="2"/>
  <c r="I160" i="2"/>
  <c r="H35" i="2"/>
  <c r="J35" i="2"/>
  <c r="I35" i="2"/>
  <c r="I159" i="2"/>
  <c r="H159" i="2"/>
  <c r="J159" i="2"/>
  <c r="I55" i="2"/>
  <c r="H55" i="2"/>
  <c r="J55" i="2"/>
  <c r="I162" i="2"/>
  <c r="J162" i="2"/>
  <c r="H162" i="2"/>
  <c r="J161" i="2"/>
  <c r="H161" i="2"/>
  <c r="I161" i="2"/>
  <c r="J76" i="2"/>
  <c r="H76" i="2"/>
  <c r="I76" i="2"/>
  <c r="J164" i="2"/>
  <c r="H164" i="2"/>
  <c r="I164" i="2"/>
  <c r="I163" i="2"/>
  <c r="J163" i="2"/>
  <c r="H163" i="2"/>
  <c r="H57" i="2"/>
  <c r="J57" i="2"/>
  <c r="I57" i="2"/>
  <c r="J166" i="2"/>
  <c r="I166" i="2"/>
  <c r="H166" i="2"/>
  <c r="H176" i="2"/>
  <c r="I176" i="2"/>
  <c r="J176" i="2"/>
  <c r="J77" i="2"/>
  <c r="H77" i="2"/>
  <c r="I77" i="2"/>
  <c r="J165" i="2"/>
  <c r="H165" i="2"/>
  <c r="I165" i="2"/>
  <c r="H78" i="2"/>
  <c r="I78" i="2"/>
  <c r="J78" i="2"/>
  <c r="H120" i="2"/>
  <c r="I120" i="2"/>
  <c r="J120" i="2"/>
  <c r="H173" i="2"/>
  <c r="J173" i="2"/>
  <c r="I173" i="2"/>
  <c r="I3135" i="2"/>
  <c r="I3115" i="2"/>
  <c r="I3127" i="2" s="1"/>
  <c r="J3115" i="2"/>
  <c r="J3127" i="2" s="1"/>
  <c r="H3115" i="2"/>
  <c r="H3127" i="2" s="1"/>
  <c r="J140" i="2"/>
  <c r="I140" i="2"/>
  <c r="H140" i="2"/>
  <c r="H3137" i="2"/>
  <c r="J3137" i="2"/>
  <c r="I3137" i="2"/>
  <c r="I142" i="2"/>
  <c r="H142" i="2"/>
  <c r="J142" i="2"/>
  <c r="I97" i="2"/>
  <c r="J97" i="2"/>
  <c r="H97" i="2"/>
  <c r="H99" i="2"/>
  <c r="I99" i="2"/>
  <c r="J99" i="2"/>
  <c r="J139" i="2"/>
  <c r="I139" i="2"/>
  <c r="H139" i="2"/>
  <c r="H141" i="2"/>
  <c r="J141" i="2"/>
  <c r="I141" i="2"/>
  <c r="J96" i="2"/>
  <c r="H96" i="2"/>
  <c r="I96" i="2"/>
  <c r="J3136" i="2"/>
  <c r="H3136" i="2"/>
  <c r="I3136" i="2"/>
  <c r="I143" i="2"/>
  <c r="J143" i="2"/>
  <c r="H143" i="2"/>
  <c r="J98" i="2"/>
  <c r="I98" i="2"/>
  <c r="H98" i="2"/>
  <c r="J138" i="2"/>
  <c r="H138" i="2"/>
  <c r="I138" i="2"/>
  <c r="I3138" i="2"/>
  <c r="H3138" i="2"/>
  <c r="J3138" i="2"/>
  <c r="J3135" i="2"/>
  <c r="H3135" i="2"/>
  <c r="I3031" i="2"/>
  <c r="I3044" i="2" s="1"/>
  <c r="M19" i="26"/>
  <c r="O19" i="26" s="1"/>
  <c r="Q19" i="26" s="1"/>
  <c r="S19" i="26" s="1"/>
  <c r="T19" i="26" s="1"/>
  <c r="I1730" i="2"/>
  <c r="I1742" i="2" s="1"/>
  <c r="J1730" i="2"/>
  <c r="J1742" i="2" s="1"/>
  <c r="H1730" i="2"/>
  <c r="H1742" i="2" s="1"/>
  <c r="I3073" i="2"/>
  <c r="I3086" i="2" s="1"/>
  <c r="I2968" i="2"/>
  <c r="I2981" i="2" s="1"/>
  <c r="J296" i="2"/>
  <c r="I296" i="2"/>
  <c r="H296" i="2"/>
  <c r="H298" i="2"/>
  <c r="J298" i="2"/>
  <c r="I298" i="2"/>
  <c r="H300" i="2"/>
  <c r="I300" i="2"/>
  <c r="J300" i="2"/>
  <c r="I3052" i="2"/>
  <c r="I3065" i="2" s="1"/>
  <c r="I302" i="2"/>
  <c r="H302" i="2"/>
  <c r="J302" i="2"/>
  <c r="J306" i="2"/>
  <c r="H306" i="2"/>
  <c r="I306" i="2"/>
  <c r="I1613" i="2"/>
  <c r="H1613" i="2"/>
  <c r="J1613" i="2"/>
  <c r="I307" i="2"/>
  <c r="H307" i="2"/>
  <c r="J307" i="2"/>
  <c r="J1614" i="2"/>
  <c r="H1614" i="2"/>
  <c r="I1614" i="2"/>
  <c r="J3094" i="2"/>
  <c r="J3107" i="2" s="1"/>
  <c r="H3094" i="2"/>
  <c r="H3107" i="2" s="1"/>
  <c r="I3094" i="2"/>
  <c r="I3107" i="2" s="1"/>
  <c r="J3073" i="2"/>
  <c r="J3086" i="2" s="1"/>
  <c r="H3073" i="2"/>
  <c r="H3086" i="2" s="1"/>
  <c r="I299" i="2"/>
  <c r="H299" i="2"/>
  <c r="J299" i="2"/>
  <c r="J301" i="2"/>
  <c r="I301" i="2"/>
  <c r="H301" i="2"/>
  <c r="J303" i="2"/>
  <c r="I303" i="2"/>
  <c r="H303" i="2"/>
  <c r="H305" i="2"/>
  <c r="I305" i="2"/>
  <c r="J305" i="2"/>
  <c r="I294" i="2"/>
  <c r="H294" i="2"/>
  <c r="J294" i="2"/>
  <c r="I297" i="2"/>
  <c r="H297" i="2"/>
  <c r="J297" i="2"/>
  <c r="H304" i="2"/>
  <c r="J304" i="2"/>
  <c r="I304" i="2"/>
  <c r="J3052" i="2"/>
  <c r="J3065" i="2" s="1"/>
  <c r="H3052" i="2"/>
  <c r="H3065" i="2" s="1"/>
  <c r="I295" i="2"/>
  <c r="H295" i="2"/>
  <c r="J295" i="2"/>
  <c r="J3031" i="2"/>
  <c r="J3044" i="2" s="1"/>
  <c r="H3031" i="2"/>
  <c r="H3044" i="2" s="1"/>
  <c r="I3010" i="2"/>
  <c r="I3023" i="2" s="1"/>
  <c r="D15" i="16"/>
  <c r="G15" i="16"/>
  <c r="I15" i="16" s="1"/>
  <c r="G16" i="16"/>
  <c r="I16" i="16" s="1"/>
  <c r="D16" i="16"/>
  <c r="I2947" i="2"/>
  <c r="I2960" i="2" s="1"/>
  <c r="I2905" i="2"/>
  <c r="I2918" i="2" s="1"/>
  <c r="I2847" i="2"/>
  <c r="I2193" i="2"/>
  <c r="I2926" i="2"/>
  <c r="I2939" i="2" s="1"/>
  <c r="I2866" i="2"/>
  <c r="J2865" i="2"/>
  <c r="H2865" i="2"/>
  <c r="I2865" i="2"/>
  <c r="J2847" i="2"/>
  <c r="H2847" i="2"/>
  <c r="H1612" i="2"/>
  <c r="I1612" i="2"/>
  <c r="J1612" i="2"/>
  <c r="I2843" i="2"/>
  <c r="J2843" i="2"/>
  <c r="H2843" i="2"/>
  <c r="J2866" i="2"/>
  <c r="H2866" i="2"/>
  <c r="J2989" i="2"/>
  <c r="J3002" i="2" s="1"/>
  <c r="H2989" i="2"/>
  <c r="H3002" i="2" s="1"/>
  <c r="J2926" i="2"/>
  <c r="J2939" i="2" s="1"/>
  <c r="H2926" i="2"/>
  <c r="H2939" i="2" s="1"/>
  <c r="H2905" i="2"/>
  <c r="H2918" i="2" s="1"/>
  <c r="J2905" i="2"/>
  <c r="J2918" i="2" s="1"/>
  <c r="J2845" i="2"/>
  <c r="I2845" i="2"/>
  <c r="H2845" i="2"/>
  <c r="I2846" i="2"/>
  <c r="J2864" i="2"/>
  <c r="I2864" i="2"/>
  <c r="H2864" i="2"/>
  <c r="J2863" i="2"/>
  <c r="I2863" i="2"/>
  <c r="H2863" i="2"/>
  <c r="J2968" i="2"/>
  <c r="J2981" i="2" s="1"/>
  <c r="H2968" i="2"/>
  <c r="H2981" i="2" s="1"/>
  <c r="J1611" i="2"/>
  <c r="H1611" i="2"/>
  <c r="I1611" i="2"/>
  <c r="J2884" i="2"/>
  <c r="J2897" i="2" s="1"/>
  <c r="H2884" i="2"/>
  <c r="H2897" i="2" s="1"/>
  <c r="J2844" i="2"/>
  <c r="I2844" i="2"/>
  <c r="H2844" i="2"/>
  <c r="J2842" i="2"/>
  <c r="H2842" i="2"/>
  <c r="I2842" i="2"/>
  <c r="J3010" i="2"/>
  <c r="J3023" i="2" s="1"/>
  <c r="H3010" i="2"/>
  <c r="H3023" i="2" s="1"/>
  <c r="G34" i="16"/>
  <c r="H2846" i="2"/>
  <c r="J2846" i="2"/>
  <c r="J2947" i="2"/>
  <c r="J2960" i="2" s="1"/>
  <c r="H2947" i="2"/>
  <c r="H2960" i="2" s="1"/>
  <c r="I2611" i="2"/>
  <c r="I2760" i="2"/>
  <c r="J631" i="2"/>
  <c r="I631" i="2"/>
  <c r="H631" i="2"/>
  <c r="J464" i="2"/>
  <c r="H464" i="2"/>
  <c r="I464" i="2"/>
  <c r="H632" i="2"/>
  <c r="J632" i="2"/>
  <c r="I632" i="2"/>
  <c r="J2487" i="2"/>
  <c r="I2487" i="2"/>
  <c r="H2487" i="2"/>
  <c r="J2235" i="2"/>
  <c r="I2235" i="2"/>
  <c r="H2235" i="2"/>
  <c r="I1512" i="2"/>
  <c r="H1512" i="2"/>
  <c r="J1512" i="2"/>
  <c r="J1554" i="2"/>
  <c r="H1554" i="2"/>
  <c r="I1554" i="2"/>
  <c r="H1592" i="2"/>
  <c r="I1592" i="2"/>
  <c r="J1592" i="2"/>
  <c r="I1653" i="2"/>
  <c r="H1653" i="2"/>
  <c r="J1653" i="2"/>
  <c r="I2279" i="2"/>
  <c r="J2279" i="2"/>
  <c r="H2279" i="2"/>
  <c r="J2653" i="2"/>
  <c r="H2653" i="2"/>
  <c r="I2653" i="2"/>
  <c r="I1553" i="2"/>
  <c r="J1553" i="2"/>
  <c r="H1553" i="2"/>
  <c r="J1578" i="2"/>
  <c r="I1578" i="2"/>
  <c r="H1578" i="2"/>
  <c r="I1633" i="2"/>
  <c r="J1633" i="2"/>
  <c r="H1633" i="2"/>
  <c r="I2320" i="2"/>
  <c r="J2320" i="2"/>
  <c r="H2320" i="2"/>
  <c r="J2466" i="2"/>
  <c r="H2466" i="2"/>
  <c r="I2466" i="2"/>
  <c r="J2150" i="2"/>
  <c r="H2150" i="2"/>
  <c r="I2150" i="2"/>
  <c r="I2464" i="2"/>
  <c r="J2464" i="2"/>
  <c r="H2464" i="2"/>
  <c r="J2634" i="2"/>
  <c r="H2634" i="2"/>
  <c r="J2465" i="2"/>
  <c r="I2465" i="2"/>
  <c r="H2465" i="2"/>
  <c r="J2613" i="2"/>
  <c r="H2613" i="2"/>
  <c r="J2338" i="2"/>
  <c r="I2338" i="2"/>
  <c r="H2338" i="2"/>
  <c r="J2758" i="2"/>
  <c r="H2758" i="2"/>
  <c r="I2758" i="2"/>
  <c r="J653" i="2"/>
  <c r="I653" i="2"/>
  <c r="H653" i="2"/>
  <c r="J484" i="2"/>
  <c r="H484" i="2"/>
  <c r="I484" i="2"/>
  <c r="I652" i="2"/>
  <c r="H652" i="2"/>
  <c r="J652" i="2"/>
  <c r="I2406" i="2"/>
  <c r="H2406" i="2"/>
  <c r="J2406" i="2"/>
  <c r="J2532" i="2"/>
  <c r="H2532" i="2"/>
  <c r="I2532" i="2"/>
  <c r="J1514" i="2"/>
  <c r="I1514" i="2"/>
  <c r="H1514" i="2"/>
  <c r="H1556" i="2"/>
  <c r="I1556" i="2"/>
  <c r="J1556" i="2"/>
  <c r="J1594" i="2"/>
  <c r="H1594" i="2"/>
  <c r="I1594" i="2"/>
  <c r="J1670" i="2"/>
  <c r="J1682" i="2" s="1"/>
  <c r="I1670" i="2"/>
  <c r="I1682" i="2" s="1"/>
  <c r="H1670" i="2"/>
  <c r="H1682" i="2" s="1"/>
  <c r="H2299" i="2"/>
  <c r="I2299" i="2"/>
  <c r="J2299" i="2"/>
  <c r="H2131" i="2"/>
  <c r="J2131" i="2"/>
  <c r="I2131" i="2"/>
  <c r="I2319" i="2"/>
  <c r="J2319" i="2"/>
  <c r="H2319" i="2"/>
  <c r="J2256" i="2"/>
  <c r="I2256" i="2"/>
  <c r="H2256" i="2"/>
  <c r="H2342" i="2"/>
  <c r="J2342" i="2"/>
  <c r="I2342" i="2"/>
  <c r="I1511" i="2"/>
  <c r="H1511" i="2"/>
  <c r="J1511" i="2"/>
  <c r="J1555" i="2"/>
  <c r="H1555" i="2"/>
  <c r="I1555" i="2"/>
  <c r="J1591" i="2"/>
  <c r="H1591" i="2"/>
  <c r="I1591" i="2"/>
  <c r="J1650" i="2"/>
  <c r="I1650" i="2"/>
  <c r="H1650" i="2"/>
  <c r="J2802" i="2"/>
  <c r="H2802" i="2"/>
  <c r="I2802" i="2"/>
  <c r="I2531" i="2"/>
  <c r="J2255" i="2"/>
  <c r="I2255" i="2"/>
  <c r="H2255" i="2"/>
  <c r="J2485" i="2"/>
  <c r="I2485" i="2"/>
  <c r="H2485" i="2"/>
  <c r="I2654" i="2"/>
  <c r="J2654" i="2"/>
  <c r="H2654" i="2"/>
  <c r="J2297" i="2"/>
  <c r="H2297" i="2"/>
  <c r="I2297" i="2"/>
  <c r="J2486" i="2"/>
  <c r="I2486" i="2"/>
  <c r="H2486" i="2"/>
  <c r="I2633" i="2"/>
  <c r="H2633" i="2"/>
  <c r="J2633" i="2"/>
  <c r="J2360" i="2"/>
  <c r="H2360" i="2"/>
  <c r="I2360" i="2"/>
  <c r="I2780" i="2"/>
  <c r="J2780" i="2"/>
  <c r="H2780" i="2"/>
  <c r="H485" i="2"/>
  <c r="I485" i="2"/>
  <c r="J485" i="2"/>
  <c r="J736" i="2"/>
  <c r="I736" i="2"/>
  <c r="H736" i="2"/>
  <c r="J506" i="2"/>
  <c r="H506" i="2"/>
  <c r="I506" i="2"/>
  <c r="J757" i="2"/>
  <c r="I757" i="2"/>
  <c r="H757" i="2"/>
  <c r="H2611" i="2"/>
  <c r="J2611" i="2"/>
  <c r="J1516" i="2"/>
  <c r="H1516" i="2"/>
  <c r="I1516" i="2"/>
  <c r="J1558" i="2"/>
  <c r="H1558" i="2"/>
  <c r="I1558" i="2"/>
  <c r="J1596" i="2"/>
  <c r="I1596" i="2"/>
  <c r="H1596" i="2"/>
  <c r="H1691" i="2"/>
  <c r="I1691" i="2"/>
  <c r="J1691" i="2"/>
  <c r="J2382" i="2"/>
  <c r="I2382" i="2"/>
  <c r="H2382" i="2"/>
  <c r="I2300" i="2"/>
  <c r="J2300" i="2"/>
  <c r="H2300" i="2"/>
  <c r="H2237" i="2"/>
  <c r="I2237" i="2"/>
  <c r="J2237" i="2"/>
  <c r="H2448" i="2"/>
  <c r="I2448" i="2"/>
  <c r="J2448" i="2"/>
  <c r="I2445" i="2"/>
  <c r="H2445" i="2"/>
  <c r="J2445" i="2"/>
  <c r="J2214" i="2"/>
  <c r="H2214" i="2"/>
  <c r="I2214" i="2"/>
  <c r="J2674" i="2"/>
  <c r="I2674" i="2"/>
  <c r="H2674" i="2"/>
  <c r="J1513" i="2"/>
  <c r="H1513" i="2"/>
  <c r="I1513" i="2"/>
  <c r="J1557" i="2"/>
  <c r="H1557" i="2"/>
  <c r="I1557" i="2"/>
  <c r="I1593" i="2"/>
  <c r="H1593" i="2"/>
  <c r="J1593" i="2"/>
  <c r="H1652" i="2"/>
  <c r="J1652" i="2"/>
  <c r="I1652" i="2"/>
  <c r="I2447" i="2"/>
  <c r="H2447" i="2"/>
  <c r="J2447" i="2"/>
  <c r="J2592" i="2"/>
  <c r="H2592" i="2"/>
  <c r="J2128" i="2"/>
  <c r="H2128" i="2"/>
  <c r="I2128" i="2"/>
  <c r="J2506" i="2"/>
  <c r="I2506" i="2"/>
  <c r="H2506" i="2"/>
  <c r="I2612" i="2"/>
  <c r="H2612" i="2"/>
  <c r="J2612" i="2"/>
  <c r="J2317" i="2"/>
  <c r="H2317" i="2"/>
  <c r="I2317" i="2"/>
  <c r="J2507" i="2"/>
  <c r="H2507" i="2"/>
  <c r="I2507" i="2"/>
  <c r="J2655" i="2"/>
  <c r="I2655" i="2"/>
  <c r="H2655" i="2"/>
  <c r="J2380" i="2"/>
  <c r="I2380" i="2"/>
  <c r="H2380" i="2"/>
  <c r="J270" i="2"/>
  <c r="P289" i="2" s="1"/>
  <c r="H270" i="2"/>
  <c r="I270" i="2"/>
  <c r="J2717" i="2"/>
  <c r="I2717" i="2"/>
  <c r="H2717" i="2"/>
  <c r="J2800" i="2"/>
  <c r="I2800" i="2"/>
  <c r="H2800" i="2"/>
  <c r="J527" i="2"/>
  <c r="H527" i="2"/>
  <c r="I527" i="2"/>
  <c r="J820" i="2"/>
  <c r="H820" i="2"/>
  <c r="I820" i="2"/>
  <c r="H526" i="2"/>
  <c r="J526" i="2"/>
  <c r="I526" i="2"/>
  <c r="H821" i="2"/>
  <c r="I821" i="2"/>
  <c r="J821" i="2"/>
  <c r="J2510" i="2"/>
  <c r="I2510" i="2"/>
  <c r="H2510" i="2"/>
  <c r="J2277" i="2"/>
  <c r="I2277" i="2"/>
  <c r="H2277" i="2"/>
  <c r="J1518" i="2"/>
  <c r="H1518" i="2"/>
  <c r="I1518" i="2"/>
  <c r="J1571" i="2"/>
  <c r="H1571" i="2"/>
  <c r="I1571" i="2"/>
  <c r="J1598" i="2"/>
  <c r="I1598" i="2"/>
  <c r="H1598" i="2"/>
  <c r="I1693" i="2"/>
  <c r="J1693" i="2"/>
  <c r="H1693" i="2"/>
  <c r="J2424" i="2"/>
  <c r="I2424" i="2"/>
  <c r="H2424" i="2"/>
  <c r="J2760" i="2"/>
  <c r="H2760" i="2"/>
  <c r="H2425" i="2"/>
  <c r="J2425" i="2"/>
  <c r="I2425" i="2"/>
  <c r="I2696" i="2"/>
  <c r="J2696" i="2"/>
  <c r="H2696" i="2"/>
  <c r="H2257" i="2"/>
  <c r="J2257" i="2"/>
  <c r="I2257" i="2"/>
  <c r="H2152" i="2"/>
  <c r="J2152" i="2"/>
  <c r="I2152" i="2"/>
  <c r="H2361" i="2"/>
  <c r="J2361" i="2"/>
  <c r="I2361" i="2"/>
  <c r="J1515" i="2"/>
  <c r="I1515" i="2"/>
  <c r="H1515" i="2"/>
  <c r="H1559" i="2"/>
  <c r="J1559" i="2"/>
  <c r="I1559" i="2"/>
  <c r="J1595" i="2"/>
  <c r="I1595" i="2"/>
  <c r="H1595" i="2"/>
  <c r="J1654" i="2"/>
  <c r="I1654" i="2"/>
  <c r="H1654" i="2"/>
  <c r="J2130" i="2"/>
  <c r="I2130" i="2"/>
  <c r="H2130" i="2"/>
  <c r="H2404" i="2"/>
  <c r="I2404" i="2"/>
  <c r="J2404" i="2"/>
  <c r="H2278" i="2"/>
  <c r="I2278" i="2"/>
  <c r="J2278" i="2"/>
  <c r="I2258" i="2"/>
  <c r="H2258" i="2"/>
  <c r="J2258" i="2"/>
  <c r="J2191" i="2"/>
  <c r="H2191" i="2"/>
  <c r="I2191" i="2"/>
  <c r="J2192" i="2"/>
  <c r="H2192" i="2"/>
  <c r="I2192" i="2"/>
  <c r="J2149" i="2"/>
  <c r="I2149" i="2"/>
  <c r="H2149" i="2"/>
  <c r="I2613" i="2"/>
  <c r="J2254" i="2"/>
  <c r="H2254" i="2"/>
  <c r="I2254" i="2"/>
  <c r="I2528" i="2"/>
  <c r="H2528" i="2"/>
  <c r="J2528" i="2"/>
  <c r="I2339" i="2"/>
  <c r="J2339" i="2"/>
  <c r="H2339" i="2"/>
  <c r="J2527" i="2"/>
  <c r="I2527" i="2"/>
  <c r="H2527" i="2"/>
  <c r="I2402" i="2"/>
  <c r="H2402" i="2"/>
  <c r="J2402" i="2"/>
  <c r="J272" i="2"/>
  <c r="H272" i="2"/>
  <c r="I272" i="2"/>
  <c r="I2759" i="2"/>
  <c r="J2759" i="2"/>
  <c r="H2759" i="2"/>
  <c r="J2737" i="2"/>
  <c r="H2737" i="2"/>
  <c r="I2737" i="2"/>
  <c r="J2822" i="2"/>
  <c r="I2822" i="2"/>
  <c r="H2822" i="2"/>
  <c r="J547" i="2"/>
  <c r="H547" i="2"/>
  <c r="I547" i="2"/>
  <c r="J862" i="2"/>
  <c r="H862" i="2"/>
  <c r="I862" i="2"/>
  <c r="H548" i="2"/>
  <c r="I548" i="2"/>
  <c r="J548" i="2"/>
  <c r="J863" i="2"/>
  <c r="H863" i="2"/>
  <c r="I863" i="2"/>
  <c r="J2340" i="2"/>
  <c r="I2340" i="2"/>
  <c r="H2340" i="2"/>
  <c r="J1531" i="2"/>
  <c r="H1531" i="2"/>
  <c r="I1531" i="2"/>
  <c r="I1573" i="2"/>
  <c r="H1573" i="2"/>
  <c r="J1573" i="2"/>
  <c r="J1630" i="2"/>
  <c r="H1630" i="2"/>
  <c r="I1630" i="2"/>
  <c r="J1710" i="2"/>
  <c r="H1710" i="2"/>
  <c r="I1710" i="2"/>
  <c r="H2823" i="2"/>
  <c r="I2823" i="2"/>
  <c r="J2823" i="2"/>
  <c r="J2426" i="2"/>
  <c r="I2426" i="2"/>
  <c r="H2426" i="2"/>
  <c r="I2739" i="2"/>
  <c r="J2739" i="2"/>
  <c r="H2739" i="2"/>
  <c r="J1517" i="2"/>
  <c r="H1517" i="2"/>
  <c r="I1517" i="2"/>
  <c r="J1570" i="2"/>
  <c r="I1570" i="2"/>
  <c r="H1570" i="2"/>
  <c r="H1597" i="2"/>
  <c r="I1597" i="2"/>
  <c r="J1597" i="2"/>
  <c r="J1690" i="2"/>
  <c r="H1690" i="2"/>
  <c r="I1690" i="2"/>
  <c r="H2236" i="2"/>
  <c r="I2236" i="2"/>
  <c r="J2236" i="2"/>
  <c r="I2213" i="2"/>
  <c r="H2213" i="2"/>
  <c r="J2213" i="2"/>
  <c r="I2634" i="2"/>
  <c r="J2212" i="2"/>
  <c r="I2212" i="2"/>
  <c r="H2212" i="2"/>
  <c r="J2170" i="2"/>
  <c r="H2170" i="2"/>
  <c r="I2170" i="2"/>
  <c r="I2129" i="2"/>
  <c r="H2129" i="2"/>
  <c r="J2129" i="2"/>
  <c r="J2548" i="2"/>
  <c r="H2548" i="2"/>
  <c r="I2548" i="2"/>
  <c r="J2359" i="2"/>
  <c r="I2359" i="2"/>
  <c r="H2359" i="2"/>
  <c r="H2675" i="2"/>
  <c r="J2675" i="2"/>
  <c r="I2675" i="2"/>
  <c r="H2530" i="2"/>
  <c r="J2530" i="2"/>
  <c r="I2530" i="2"/>
  <c r="J2275" i="2"/>
  <c r="I2275" i="2"/>
  <c r="H2275" i="2"/>
  <c r="J2276" i="2"/>
  <c r="H2276" i="2"/>
  <c r="I2276" i="2"/>
  <c r="J2423" i="2"/>
  <c r="H2423" i="2"/>
  <c r="I2423" i="2"/>
  <c r="H274" i="2"/>
  <c r="J274" i="2"/>
  <c r="I274" i="2"/>
  <c r="J271" i="2"/>
  <c r="H271" i="2"/>
  <c r="I271" i="2"/>
  <c r="I2801" i="2"/>
  <c r="H2801" i="2"/>
  <c r="J2801" i="2"/>
  <c r="J2779" i="2"/>
  <c r="I2779" i="2"/>
  <c r="H2779" i="2"/>
  <c r="H569" i="2"/>
  <c r="J569" i="2"/>
  <c r="I569" i="2"/>
  <c r="J884" i="2"/>
  <c r="I884" i="2"/>
  <c r="H884" i="2"/>
  <c r="J568" i="2"/>
  <c r="H568" i="2"/>
  <c r="I568" i="2"/>
  <c r="H883" i="2"/>
  <c r="I883" i="2"/>
  <c r="J883" i="2"/>
  <c r="J2632" i="2"/>
  <c r="H2632" i="2"/>
  <c r="I2632" i="2"/>
  <c r="H2695" i="2"/>
  <c r="J2695" i="2"/>
  <c r="I2695" i="2"/>
  <c r="J2508" i="2"/>
  <c r="H2508" i="2"/>
  <c r="I2508" i="2"/>
  <c r="H1533" i="2"/>
  <c r="I1533" i="2"/>
  <c r="J1533" i="2"/>
  <c r="J1575" i="2"/>
  <c r="H1575" i="2"/>
  <c r="I1575" i="2"/>
  <c r="H1632" i="2"/>
  <c r="I1632" i="2"/>
  <c r="J1632" i="2"/>
  <c r="H2509" i="2"/>
  <c r="I2509" i="2"/>
  <c r="J2509" i="2"/>
  <c r="J2781" i="2"/>
  <c r="H2781" i="2"/>
  <c r="I2781" i="2"/>
  <c r="H2172" i="2"/>
  <c r="I2172" i="2"/>
  <c r="J2172" i="2"/>
  <c r="I2384" i="2"/>
  <c r="H2384" i="2"/>
  <c r="J2384" i="2"/>
  <c r="I2571" i="2"/>
  <c r="J2571" i="2"/>
  <c r="H2571" i="2"/>
  <c r="H2467" i="2"/>
  <c r="J2467" i="2"/>
  <c r="I2467" i="2"/>
  <c r="J1530" i="2"/>
  <c r="H1530" i="2"/>
  <c r="I1530" i="2"/>
  <c r="I1572" i="2"/>
  <c r="H1572" i="2"/>
  <c r="J1572" i="2"/>
  <c r="J1599" i="2"/>
  <c r="I1599" i="2"/>
  <c r="H1599" i="2"/>
  <c r="H1692" i="2"/>
  <c r="I1692" i="2"/>
  <c r="J1692" i="2"/>
  <c r="J2403" i="2"/>
  <c r="I2403" i="2"/>
  <c r="H2403" i="2"/>
  <c r="J2193" i="2"/>
  <c r="H2193" i="2"/>
  <c r="J2362" i="2"/>
  <c r="H2362" i="2"/>
  <c r="I2362" i="2"/>
  <c r="J2301" i="2"/>
  <c r="H2301" i="2"/>
  <c r="I2301" i="2"/>
  <c r="J2233" i="2"/>
  <c r="H2233" i="2"/>
  <c r="I2233" i="2"/>
  <c r="J2171" i="2"/>
  <c r="H2171" i="2"/>
  <c r="I2171" i="2"/>
  <c r="J2234" i="2"/>
  <c r="H2234" i="2"/>
  <c r="I2234" i="2"/>
  <c r="I2174" i="2"/>
  <c r="H2174" i="2"/>
  <c r="J2174" i="2"/>
  <c r="H2531" i="2"/>
  <c r="J2531" i="2"/>
  <c r="I2570" i="2"/>
  <c r="H2570" i="2"/>
  <c r="J2570" i="2"/>
  <c r="J2381" i="2"/>
  <c r="H2381" i="2"/>
  <c r="I2381" i="2"/>
  <c r="J2549" i="2"/>
  <c r="I2549" i="2"/>
  <c r="H2549" i="2"/>
  <c r="J2296" i="2"/>
  <c r="I2296" i="2"/>
  <c r="H2296" i="2"/>
  <c r="J276" i="2"/>
  <c r="I276" i="2"/>
  <c r="H276" i="2"/>
  <c r="H273" i="2"/>
  <c r="I273" i="2"/>
  <c r="J273" i="2"/>
  <c r="J2821" i="2"/>
  <c r="H2821" i="2"/>
  <c r="I2821" i="2"/>
  <c r="J589" i="2"/>
  <c r="I589" i="2"/>
  <c r="H589" i="2"/>
  <c r="J463" i="2"/>
  <c r="H463" i="2"/>
  <c r="I463" i="2"/>
  <c r="I590" i="2"/>
  <c r="J590" i="2"/>
  <c r="H590" i="2"/>
  <c r="H2341" i="2"/>
  <c r="I2341" i="2"/>
  <c r="J2341" i="2"/>
  <c r="H2321" i="2"/>
  <c r="J2321" i="2"/>
  <c r="I2321" i="2"/>
  <c r="I2405" i="2"/>
  <c r="J2405" i="2"/>
  <c r="H2405" i="2"/>
  <c r="J2489" i="2"/>
  <c r="I2489" i="2"/>
  <c r="H2489" i="2"/>
  <c r="J1550" i="2"/>
  <c r="H1550" i="2"/>
  <c r="I1550" i="2"/>
  <c r="H1577" i="2"/>
  <c r="J1577" i="2"/>
  <c r="I1577" i="2"/>
  <c r="I1634" i="2"/>
  <c r="J1634" i="2"/>
  <c r="H1634" i="2"/>
  <c r="I2550" i="2"/>
  <c r="J2550" i="2"/>
  <c r="H2550" i="2"/>
  <c r="H2151" i="2"/>
  <c r="J2151" i="2"/>
  <c r="I2151" i="2"/>
  <c r="H2446" i="2"/>
  <c r="I2446" i="2"/>
  <c r="J2446" i="2"/>
  <c r="H1532" i="2"/>
  <c r="J1532" i="2"/>
  <c r="I1532" i="2"/>
  <c r="J1574" i="2"/>
  <c r="I1574" i="2"/>
  <c r="H1574" i="2"/>
  <c r="J1610" i="2"/>
  <c r="I1610" i="2"/>
  <c r="H1610" i="2"/>
  <c r="J1694" i="2"/>
  <c r="H1694" i="2"/>
  <c r="I1694" i="2"/>
  <c r="H2173" i="2"/>
  <c r="J2173" i="2"/>
  <c r="I2173" i="2"/>
  <c r="H2363" i="2"/>
  <c r="J2363" i="2"/>
  <c r="I2363" i="2"/>
  <c r="H2468" i="2"/>
  <c r="I2468" i="2"/>
  <c r="J2468" i="2"/>
  <c r="I2718" i="2"/>
  <c r="J2718" i="2"/>
  <c r="H2718" i="2"/>
  <c r="J2590" i="2"/>
  <c r="H2590" i="2"/>
  <c r="I2590" i="2"/>
  <c r="J2401" i="2"/>
  <c r="H2401" i="2"/>
  <c r="I2401" i="2"/>
  <c r="J2569" i="2"/>
  <c r="I2569" i="2"/>
  <c r="H2569" i="2"/>
  <c r="J2298" i="2"/>
  <c r="H2298" i="2"/>
  <c r="I2298" i="2"/>
  <c r="J275" i="2"/>
  <c r="I275" i="2"/>
  <c r="H275" i="2"/>
  <c r="I2716" i="2"/>
  <c r="H2716" i="2"/>
  <c r="J2716" i="2"/>
  <c r="H611" i="2"/>
  <c r="I611" i="2"/>
  <c r="J611" i="2"/>
  <c r="J505" i="2"/>
  <c r="I505" i="2"/>
  <c r="H505" i="2"/>
  <c r="J443" i="2"/>
  <c r="H443" i="2"/>
  <c r="I443" i="2"/>
  <c r="J442" i="2"/>
  <c r="I442" i="2"/>
  <c r="H442" i="2"/>
  <c r="J610" i="2"/>
  <c r="H610" i="2"/>
  <c r="I610" i="2"/>
  <c r="H2488" i="2"/>
  <c r="J2488" i="2"/>
  <c r="I2488" i="2"/>
  <c r="J1510" i="2"/>
  <c r="H1510" i="2"/>
  <c r="I1510" i="2"/>
  <c r="J1552" i="2"/>
  <c r="H1552" i="2"/>
  <c r="I1552" i="2"/>
  <c r="J1590" i="2"/>
  <c r="H1590" i="2"/>
  <c r="I1590" i="2"/>
  <c r="J1651" i="2"/>
  <c r="H1651" i="2"/>
  <c r="I1651" i="2"/>
  <c r="J2469" i="2"/>
  <c r="H2469" i="2"/>
  <c r="I2469" i="2"/>
  <c r="I1551" i="2"/>
  <c r="H1551" i="2"/>
  <c r="J1551" i="2"/>
  <c r="H1576" i="2"/>
  <c r="I1576" i="2"/>
  <c r="J1576" i="2"/>
  <c r="J1631" i="2"/>
  <c r="I1631" i="2"/>
  <c r="H1631" i="2"/>
  <c r="J1711" i="2"/>
  <c r="H1711" i="2"/>
  <c r="I1711" i="2"/>
  <c r="H2383" i="2"/>
  <c r="I2383" i="2"/>
  <c r="J2383" i="2"/>
  <c r="J2529" i="2"/>
  <c r="I2529" i="2"/>
  <c r="H2529" i="2"/>
  <c r="J2443" i="2"/>
  <c r="H2443" i="2"/>
  <c r="I2443" i="2"/>
  <c r="I2422" i="2"/>
  <c r="J2422" i="2"/>
  <c r="H2422" i="2"/>
  <c r="J2444" i="2"/>
  <c r="H2444" i="2"/>
  <c r="I2444" i="2"/>
  <c r="I2591" i="2"/>
  <c r="H2591" i="2"/>
  <c r="J2591" i="2"/>
  <c r="J2318" i="2"/>
  <c r="I2318" i="2"/>
  <c r="H2318" i="2"/>
  <c r="J277" i="2"/>
  <c r="H277" i="2"/>
  <c r="I277" i="2"/>
  <c r="I2738" i="2"/>
  <c r="H2738" i="2"/>
  <c r="J2738" i="2"/>
  <c r="J2048" i="2"/>
  <c r="H2048" i="2"/>
  <c r="I2048" i="2"/>
  <c r="J1775" i="2"/>
  <c r="H1775" i="2"/>
  <c r="I1775" i="2"/>
  <c r="H1838" i="2"/>
  <c r="J1838" i="2"/>
  <c r="I1838" i="2"/>
  <c r="H1964" i="2"/>
  <c r="J1964" i="2"/>
  <c r="I1964" i="2"/>
  <c r="I1772" i="2"/>
  <c r="J1772" i="2"/>
  <c r="H1772" i="2"/>
  <c r="J1836" i="2"/>
  <c r="H1836" i="2"/>
  <c r="I1836" i="2"/>
  <c r="H1900" i="2"/>
  <c r="I1900" i="2"/>
  <c r="J1900" i="2"/>
  <c r="J2109" i="2"/>
  <c r="I2109" i="2"/>
  <c r="H2109" i="2"/>
  <c r="J1965" i="2"/>
  <c r="H1965" i="2"/>
  <c r="I1965" i="2"/>
  <c r="J2028" i="2"/>
  <c r="H2028" i="2"/>
  <c r="I2028" i="2"/>
  <c r="J1815" i="2"/>
  <c r="H1815" i="2"/>
  <c r="I1815" i="2"/>
  <c r="H1879" i="2"/>
  <c r="I1879" i="2"/>
  <c r="J1879" i="2"/>
  <c r="I2087" i="2"/>
  <c r="J2087" i="2"/>
  <c r="H2087" i="2"/>
  <c r="H1984" i="2"/>
  <c r="I1984" i="2"/>
  <c r="J1984" i="2"/>
  <c r="J2049" i="2"/>
  <c r="H2049" i="2"/>
  <c r="I2049" i="2"/>
  <c r="H2089" i="2"/>
  <c r="I2089" i="2"/>
  <c r="J2089" i="2"/>
  <c r="H1774" i="2"/>
  <c r="I1774" i="2"/>
  <c r="J1774" i="2"/>
  <c r="J1839" i="2"/>
  <c r="I1839" i="2"/>
  <c r="H1839" i="2"/>
  <c r="J1981" i="2"/>
  <c r="I1981" i="2"/>
  <c r="H1981" i="2"/>
  <c r="J2045" i="2"/>
  <c r="I2045" i="2"/>
  <c r="H2045" i="2"/>
  <c r="J1755" i="2"/>
  <c r="H1755" i="2"/>
  <c r="I1755" i="2"/>
  <c r="J1818" i="2"/>
  <c r="H1818" i="2"/>
  <c r="I1818" i="2"/>
  <c r="J1897" i="2"/>
  <c r="I1897" i="2"/>
  <c r="H1897" i="2"/>
  <c r="J2091" i="2"/>
  <c r="H2091" i="2"/>
  <c r="I2091" i="2"/>
  <c r="J2002" i="2"/>
  <c r="H2002" i="2"/>
  <c r="I2002" i="2"/>
  <c r="J2111" i="2"/>
  <c r="I2111" i="2"/>
  <c r="H2111" i="2"/>
  <c r="H1817" i="2"/>
  <c r="I1817" i="2"/>
  <c r="J1817" i="2"/>
  <c r="J1792" i="2"/>
  <c r="H1792" i="2"/>
  <c r="I1792" i="2"/>
  <c r="J1856" i="2"/>
  <c r="H1856" i="2"/>
  <c r="I1856" i="2"/>
  <c r="J1923" i="2"/>
  <c r="H1923" i="2"/>
  <c r="I1923" i="2"/>
  <c r="J1983" i="2"/>
  <c r="H1983" i="2"/>
  <c r="I1983" i="2"/>
  <c r="H2047" i="2"/>
  <c r="J2047" i="2"/>
  <c r="I2047" i="2"/>
  <c r="J1771" i="2"/>
  <c r="H1771" i="2"/>
  <c r="I1771" i="2"/>
  <c r="J1835" i="2"/>
  <c r="I1835" i="2"/>
  <c r="H1835" i="2"/>
  <c r="J1899" i="2"/>
  <c r="I1899" i="2"/>
  <c r="H1899" i="2"/>
  <c r="J2108" i="2"/>
  <c r="I2108" i="2"/>
  <c r="H2108" i="2"/>
  <c r="J2004" i="2"/>
  <c r="H2004" i="2"/>
  <c r="I2004" i="2"/>
  <c r="J1796" i="2"/>
  <c r="H1796" i="2"/>
  <c r="I1796" i="2"/>
  <c r="J2090" i="2"/>
  <c r="H2090" i="2"/>
  <c r="I2090" i="2"/>
  <c r="H2006" i="2"/>
  <c r="I2006" i="2"/>
  <c r="J2006" i="2"/>
  <c r="H1985" i="2"/>
  <c r="J1985" i="2"/>
  <c r="I1985" i="2"/>
  <c r="J1918" i="2"/>
  <c r="I1918" i="2"/>
  <c r="H1918" i="2"/>
  <c r="J1794" i="2"/>
  <c r="H1794" i="2"/>
  <c r="I1794" i="2"/>
  <c r="H1858" i="2"/>
  <c r="I1858" i="2"/>
  <c r="J1858" i="2"/>
  <c r="J1986" i="2"/>
  <c r="H1986" i="2"/>
  <c r="I1986" i="2"/>
  <c r="J1773" i="2"/>
  <c r="I1773" i="2"/>
  <c r="H1773" i="2"/>
  <c r="H1837" i="2"/>
  <c r="J1837" i="2"/>
  <c r="I1837" i="2"/>
  <c r="J1902" i="2"/>
  <c r="H1902" i="2"/>
  <c r="I1902" i="2"/>
  <c r="J2007" i="2"/>
  <c r="I2007" i="2"/>
  <c r="H2007" i="2"/>
  <c r="J1797" i="2"/>
  <c r="I1797" i="2"/>
  <c r="H1797" i="2"/>
  <c r="J1876" i="2"/>
  <c r="I1876" i="2"/>
  <c r="H1876" i="2"/>
  <c r="J1939" i="2"/>
  <c r="H1939" i="2"/>
  <c r="I1939" i="2"/>
  <c r="J2066" i="2"/>
  <c r="H2066" i="2"/>
  <c r="I2066" i="2"/>
  <c r="J2003" i="2"/>
  <c r="H2003" i="2"/>
  <c r="I2003" i="2"/>
  <c r="J1776" i="2"/>
  <c r="H1776" i="2"/>
  <c r="I1776" i="2"/>
  <c r="J1855" i="2"/>
  <c r="I1855" i="2"/>
  <c r="H1855" i="2"/>
  <c r="J2065" i="2"/>
  <c r="H2065" i="2"/>
  <c r="I2065" i="2"/>
  <c r="H2110" i="2"/>
  <c r="J2110" i="2"/>
  <c r="I2110" i="2"/>
  <c r="J1751" i="2"/>
  <c r="I1751" i="2"/>
  <c r="H1751" i="2"/>
  <c r="J2024" i="2"/>
  <c r="H2024" i="2"/>
  <c r="I2024" i="2"/>
  <c r="J1901" i="2"/>
  <c r="H1901" i="2"/>
  <c r="I1901" i="2"/>
  <c r="J1943" i="2"/>
  <c r="H1943" i="2"/>
  <c r="I1943" i="2"/>
  <c r="J1814" i="2"/>
  <c r="I1814" i="2"/>
  <c r="H1814" i="2"/>
  <c r="J1878" i="2"/>
  <c r="I1878" i="2"/>
  <c r="H1878" i="2"/>
  <c r="J1941" i="2"/>
  <c r="I1941" i="2"/>
  <c r="H1941" i="2"/>
  <c r="H2068" i="2"/>
  <c r="I2068" i="2"/>
  <c r="J2068" i="2"/>
  <c r="J2086" i="2"/>
  <c r="H2086" i="2"/>
  <c r="I2086" i="2"/>
  <c r="J1750" i="2"/>
  <c r="I1750" i="2"/>
  <c r="H1750" i="2"/>
  <c r="H2005" i="2"/>
  <c r="J2005" i="2"/>
  <c r="I2005" i="2"/>
  <c r="J2112" i="2"/>
  <c r="H2112" i="2"/>
  <c r="I2112" i="2"/>
  <c r="J1793" i="2"/>
  <c r="I1793" i="2"/>
  <c r="H1793" i="2"/>
  <c r="J1857" i="2"/>
  <c r="H1857" i="2"/>
  <c r="I1857" i="2"/>
  <c r="J2067" i="2"/>
  <c r="I2067" i="2"/>
  <c r="H2067" i="2"/>
  <c r="H1753" i="2"/>
  <c r="I1753" i="2"/>
  <c r="J1753" i="2"/>
  <c r="J1961" i="2"/>
  <c r="H1961" i="2"/>
  <c r="I1961" i="2"/>
  <c r="H2026" i="2"/>
  <c r="J2026" i="2"/>
  <c r="I2026" i="2"/>
  <c r="H2069" i="2"/>
  <c r="J2069" i="2"/>
  <c r="I2069" i="2"/>
  <c r="I1880" i="2"/>
  <c r="H1880" i="2"/>
  <c r="J1880" i="2"/>
  <c r="J1922" i="2"/>
  <c r="H1922" i="2"/>
  <c r="I1922" i="2"/>
  <c r="H1816" i="2"/>
  <c r="J1816" i="2"/>
  <c r="I1816" i="2"/>
  <c r="J1881" i="2"/>
  <c r="H1881" i="2"/>
  <c r="I1881" i="2"/>
  <c r="J1944" i="2"/>
  <c r="H1944" i="2"/>
  <c r="I1944" i="2"/>
  <c r="J2088" i="2"/>
  <c r="H2088" i="2"/>
  <c r="I2088" i="2"/>
  <c r="H1752" i="2"/>
  <c r="I1752" i="2"/>
  <c r="J1752" i="2"/>
  <c r="J1960" i="2"/>
  <c r="I1960" i="2"/>
  <c r="H1960" i="2"/>
  <c r="J2023" i="2"/>
  <c r="H2023" i="2"/>
  <c r="I2023" i="2"/>
  <c r="H1795" i="2"/>
  <c r="I1795" i="2"/>
  <c r="J1795" i="2"/>
  <c r="J1860" i="2"/>
  <c r="H1860" i="2"/>
  <c r="I1860" i="2"/>
  <c r="J1940" i="2"/>
  <c r="I1940" i="2"/>
  <c r="H1940" i="2"/>
  <c r="J2070" i="2"/>
  <c r="H2070" i="2"/>
  <c r="I2070" i="2"/>
  <c r="J1919" i="2"/>
  <c r="H1919" i="2"/>
  <c r="I1919" i="2"/>
  <c r="H1963" i="2"/>
  <c r="I1963" i="2"/>
  <c r="J1963" i="2"/>
  <c r="J2044" i="2"/>
  <c r="H2044" i="2"/>
  <c r="I2044" i="2"/>
  <c r="I2027" i="2"/>
  <c r="J2027" i="2"/>
  <c r="H2027" i="2"/>
  <c r="J1859" i="2"/>
  <c r="H1859" i="2"/>
  <c r="I1859" i="2"/>
  <c r="J1754" i="2"/>
  <c r="H1754" i="2"/>
  <c r="I1754" i="2"/>
  <c r="J1834" i="2"/>
  <c r="H1834" i="2"/>
  <c r="I1834" i="2"/>
  <c r="I1898" i="2"/>
  <c r="J1898" i="2"/>
  <c r="H1898" i="2"/>
  <c r="J2107" i="2"/>
  <c r="H2107" i="2"/>
  <c r="I2107" i="2"/>
  <c r="J1962" i="2"/>
  <c r="I1962" i="2"/>
  <c r="H1962" i="2"/>
  <c r="J2025" i="2"/>
  <c r="I2025" i="2"/>
  <c r="H2025" i="2"/>
  <c r="J1920" i="2"/>
  <c r="I1920" i="2"/>
  <c r="H1920" i="2"/>
  <c r="J1813" i="2"/>
  <c r="H1813" i="2"/>
  <c r="I1813" i="2"/>
  <c r="J1877" i="2"/>
  <c r="I1877" i="2"/>
  <c r="H1877" i="2"/>
  <c r="H1942" i="2"/>
  <c r="J1942" i="2"/>
  <c r="I1942" i="2"/>
  <c r="H1921" i="2"/>
  <c r="I1921" i="2"/>
  <c r="J1921" i="2"/>
  <c r="J1982" i="2"/>
  <c r="H1982" i="2"/>
  <c r="I1982" i="2"/>
  <c r="J2046" i="2"/>
  <c r="I2046" i="2"/>
  <c r="H2046" i="2"/>
  <c r="I249" i="2"/>
  <c r="J249" i="2"/>
  <c r="H249" i="2"/>
  <c r="J250" i="2"/>
  <c r="H250" i="2"/>
  <c r="I250" i="2"/>
  <c r="H251" i="2"/>
  <c r="J251" i="2"/>
  <c r="I251" i="2"/>
  <c r="H252" i="2"/>
  <c r="J252" i="2"/>
  <c r="I252" i="2"/>
  <c r="I1498" i="2"/>
  <c r="H234" i="2"/>
  <c r="I234" i="2"/>
  <c r="J234" i="2"/>
  <c r="J229" i="2"/>
  <c r="I229" i="2"/>
  <c r="H229" i="2"/>
  <c r="J228" i="2"/>
  <c r="H228" i="2"/>
  <c r="I228" i="2"/>
  <c r="J205" i="2"/>
  <c r="H205" i="2"/>
  <c r="I205" i="2"/>
  <c r="H231" i="2"/>
  <c r="J231" i="2"/>
  <c r="I231" i="2"/>
  <c r="J208" i="2"/>
  <c r="I208" i="2"/>
  <c r="H208" i="2"/>
  <c r="I230" i="2"/>
  <c r="H230" i="2"/>
  <c r="J230" i="2"/>
  <c r="J209" i="2"/>
  <c r="H209" i="2"/>
  <c r="I209" i="2"/>
  <c r="H233" i="2"/>
  <c r="I233" i="2"/>
  <c r="J233" i="2"/>
  <c r="H232" i="2"/>
  <c r="I232" i="2"/>
  <c r="J232" i="2"/>
  <c r="I235" i="2"/>
  <c r="J235" i="2"/>
  <c r="H235" i="2"/>
  <c r="I735" i="2"/>
  <c r="J345" i="2"/>
  <c r="H345" i="2"/>
  <c r="I345" i="2"/>
  <c r="H339" i="2"/>
  <c r="I339" i="2"/>
  <c r="J339" i="2"/>
  <c r="J215" i="2"/>
  <c r="H215" i="2"/>
  <c r="I215" i="2"/>
  <c r="J924" i="2"/>
  <c r="H924" i="2"/>
  <c r="J926" i="2"/>
  <c r="I926" i="2"/>
  <c r="H926" i="2"/>
  <c r="J1030" i="2"/>
  <c r="H1030" i="2"/>
  <c r="I1030" i="2"/>
  <c r="I1220" i="2"/>
  <c r="H1220" i="2"/>
  <c r="J1220" i="2"/>
  <c r="J1031" i="2"/>
  <c r="I1031" i="2"/>
  <c r="H1031" i="2"/>
  <c r="J1029" i="2"/>
  <c r="H1029" i="2"/>
  <c r="I1199" i="2"/>
  <c r="H1199" i="2"/>
  <c r="J1199" i="2"/>
  <c r="H1431" i="2"/>
  <c r="J1431" i="2"/>
  <c r="I1431" i="2"/>
  <c r="J12" i="2"/>
  <c r="H12" i="2"/>
  <c r="I12" i="2"/>
  <c r="I1157" i="2"/>
  <c r="H1157" i="2"/>
  <c r="J1157" i="2"/>
  <c r="H1242" i="2"/>
  <c r="I1242" i="2"/>
  <c r="J1242" i="2"/>
  <c r="J1494" i="2"/>
  <c r="H1494" i="2"/>
  <c r="I1494" i="2"/>
  <c r="J1134" i="2"/>
  <c r="H1134" i="2"/>
  <c r="J1219" i="2"/>
  <c r="I1219" i="2"/>
  <c r="H1219" i="2"/>
  <c r="J1304" i="2"/>
  <c r="I1304" i="2"/>
  <c r="H1304" i="2"/>
  <c r="H1389" i="2"/>
  <c r="J1389" i="2"/>
  <c r="I1389" i="2"/>
  <c r="J185" i="2"/>
  <c r="H185" i="2"/>
  <c r="I185" i="2"/>
  <c r="H1011" i="2"/>
  <c r="I1011" i="2"/>
  <c r="J1011" i="2"/>
  <c r="J1239" i="2"/>
  <c r="H1239" i="2"/>
  <c r="J1324" i="2"/>
  <c r="I1324" i="2"/>
  <c r="H1324" i="2"/>
  <c r="J1409" i="2"/>
  <c r="H1409" i="2"/>
  <c r="I1409" i="2"/>
  <c r="J1491" i="2"/>
  <c r="I1491" i="2"/>
  <c r="H1491" i="2"/>
  <c r="H15" i="2"/>
  <c r="J15" i="2"/>
  <c r="I15" i="2"/>
  <c r="H206" i="2"/>
  <c r="I206" i="2"/>
  <c r="J206" i="2"/>
  <c r="J212" i="2"/>
  <c r="H212" i="2"/>
  <c r="I212" i="2"/>
  <c r="J945" i="2"/>
  <c r="H945" i="2"/>
  <c r="J1050" i="2"/>
  <c r="H1050" i="2"/>
  <c r="H948" i="2"/>
  <c r="I948" i="2"/>
  <c r="J948" i="2"/>
  <c r="I947" i="2"/>
  <c r="H947" i="2"/>
  <c r="J947" i="2"/>
  <c r="J946" i="2"/>
  <c r="I946" i="2"/>
  <c r="H946" i="2"/>
  <c r="J925" i="2"/>
  <c r="H925" i="2"/>
  <c r="I925" i="2"/>
  <c r="J1303" i="2"/>
  <c r="H1303" i="2"/>
  <c r="I1303" i="2"/>
  <c r="H14" i="2"/>
  <c r="I14" i="2"/>
  <c r="J14" i="2"/>
  <c r="H1074" i="2"/>
  <c r="I1074" i="2"/>
  <c r="J1074" i="2"/>
  <c r="J1496" i="2"/>
  <c r="H1496" i="2"/>
  <c r="I1496" i="2"/>
  <c r="I1136" i="2"/>
  <c r="H1136" i="2"/>
  <c r="J1136" i="2"/>
  <c r="H1221" i="2"/>
  <c r="J1221" i="2"/>
  <c r="I1221" i="2"/>
  <c r="J1281" i="2"/>
  <c r="H1281" i="2"/>
  <c r="I187" i="2"/>
  <c r="J187" i="2"/>
  <c r="H187" i="2"/>
  <c r="J1156" i="2"/>
  <c r="I1156" i="2"/>
  <c r="H1156" i="2"/>
  <c r="I1241" i="2"/>
  <c r="H1241" i="2"/>
  <c r="J1241" i="2"/>
  <c r="H1326" i="2"/>
  <c r="J1326" i="2"/>
  <c r="I1326" i="2"/>
  <c r="I1493" i="2"/>
  <c r="H1493" i="2"/>
  <c r="J1493" i="2"/>
  <c r="J203" i="2"/>
  <c r="H203" i="2"/>
  <c r="I203" i="2"/>
  <c r="H201" i="2"/>
  <c r="I201" i="2"/>
  <c r="J201" i="2"/>
  <c r="I1052" i="2"/>
  <c r="J1052" i="2"/>
  <c r="H1052" i="2"/>
  <c r="J1282" i="2"/>
  <c r="H1282" i="2"/>
  <c r="I1282" i="2"/>
  <c r="I1261" i="2"/>
  <c r="H1261" i="2"/>
  <c r="J1261" i="2"/>
  <c r="J904" i="2"/>
  <c r="H904" i="2"/>
  <c r="I904" i="2"/>
  <c r="J186" i="2"/>
  <c r="I186" i="2"/>
  <c r="H186" i="2"/>
  <c r="J1471" i="2"/>
  <c r="H1471" i="2"/>
  <c r="I1471" i="2"/>
  <c r="I196" i="2"/>
  <c r="H196" i="2"/>
  <c r="J196" i="2"/>
  <c r="J1113" i="2"/>
  <c r="H1113" i="2"/>
  <c r="I189" i="2"/>
  <c r="H189" i="2"/>
  <c r="J189" i="2"/>
  <c r="I1115" i="2"/>
  <c r="H1115" i="2"/>
  <c r="J1115" i="2"/>
  <c r="I1283" i="2"/>
  <c r="H1283" i="2"/>
  <c r="J1283" i="2"/>
  <c r="J1073" i="2"/>
  <c r="I1073" i="2"/>
  <c r="H1073" i="2"/>
  <c r="H1158" i="2"/>
  <c r="I1158" i="2"/>
  <c r="J1158" i="2"/>
  <c r="J1495" i="2"/>
  <c r="I1495" i="2"/>
  <c r="H1495" i="2"/>
  <c r="H343" i="2"/>
  <c r="I343" i="2"/>
  <c r="J343" i="2"/>
  <c r="H906" i="2"/>
  <c r="J906" i="2"/>
  <c r="I906" i="2"/>
  <c r="I211" i="2"/>
  <c r="H211" i="2"/>
  <c r="J211" i="2"/>
  <c r="J967" i="2"/>
  <c r="I967" i="2"/>
  <c r="H967" i="2"/>
  <c r="J1072" i="2"/>
  <c r="H1072" i="2"/>
  <c r="I1072" i="2"/>
  <c r="H1305" i="2"/>
  <c r="J1305" i="2"/>
  <c r="I1305" i="2"/>
  <c r="J987" i="2"/>
  <c r="H987" i="2"/>
  <c r="H1095" i="2"/>
  <c r="J1095" i="2"/>
  <c r="I1095" i="2"/>
  <c r="H1116" i="2"/>
  <c r="I1116" i="2"/>
  <c r="J1116" i="2"/>
  <c r="H969" i="2"/>
  <c r="J969" i="2"/>
  <c r="I969" i="2"/>
  <c r="H1053" i="2"/>
  <c r="I1053" i="2"/>
  <c r="J1053" i="2"/>
  <c r="H1284" i="2"/>
  <c r="J1284" i="2"/>
  <c r="I1284" i="2"/>
  <c r="J1498" i="2"/>
  <c r="H1498" i="2"/>
  <c r="J1365" i="2"/>
  <c r="H1365" i="2"/>
  <c r="H188" i="2"/>
  <c r="J188" i="2"/>
  <c r="I188" i="2"/>
  <c r="I1473" i="2"/>
  <c r="J1473" i="2"/>
  <c r="H1473" i="2"/>
  <c r="J191" i="2"/>
  <c r="H191" i="2"/>
  <c r="I191" i="2"/>
  <c r="J1470" i="2"/>
  <c r="H1470" i="2"/>
  <c r="I1470" i="2"/>
  <c r="J1497" i="2"/>
  <c r="H1497" i="2"/>
  <c r="I1497" i="2"/>
  <c r="J342" i="2"/>
  <c r="H342" i="2"/>
  <c r="I342" i="2"/>
  <c r="J344" i="2"/>
  <c r="I344" i="2"/>
  <c r="H344" i="2"/>
  <c r="J207" i="2"/>
  <c r="H207" i="2"/>
  <c r="I207" i="2"/>
  <c r="I204" i="2"/>
  <c r="H204" i="2"/>
  <c r="J204" i="2"/>
  <c r="H213" i="2"/>
  <c r="J213" i="2"/>
  <c r="I213" i="2"/>
  <c r="J1008" i="2"/>
  <c r="H1008" i="2"/>
  <c r="J1344" i="2"/>
  <c r="H1344" i="2"/>
  <c r="J968" i="2"/>
  <c r="H968" i="2"/>
  <c r="I968" i="2"/>
  <c r="J1051" i="2"/>
  <c r="H1051" i="2"/>
  <c r="I1051" i="2"/>
  <c r="I1388" i="2"/>
  <c r="H1388" i="2"/>
  <c r="J1388" i="2"/>
  <c r="J190" i="2"/>
  <c r="I190" i="2"/>
  <c r="H190" i="2"/>
  <c r="J1475" i="2"/>
  <c r="H1475" i="2"/>
  <c r="I1475" i="2"/>
  <c r="J1449" i="2"/>
  <c r="J1462" i="2" s="1"/>
  <c r="H1449" i="2"/>
  <c r="H1462" i="2" s="1"/>
  <c r="I1449" i="2"/>
  <c r="I1462" i="2" s="1"/>
  <c r="J193" i="2"/>
  <c r="I193" i="2"/>
  <c r="H193" i="2"/>
  <c r="J1428" i="2"/>
  <c r="H1428" i="2"/>
  <c r="J1472" i="2"/>
  <c r="H1472" i="2"/>
  <c r="I1472" i="2"/>
  <c r="I195" i="2"/>
  <c r="H195" i="2"/>
  <c r="J195" i="2"/>
  <c r="J218" i="2"/>
  <c r="H218" i="2"/>
  <c r="I218" i="2"/>
  <c r="J200" i="2"/>
  <c r="H200" i="2"/>
  <c r="I200" i="2"/>
  <c r="J989" i="2"/>
  <c r="H989" i="2"/>
  <c r="I989" i="2"/>
  <c r="J1135" i="2"/>
  <c r="H1135" i="2"/>
  <c r="I1135" i="2"/>
  <c r="J1367" i="2"/>
  <c r="I1367" i="2"/>
  <c r="H1367" i="2"/>
  <c r="J1386" i="2"/>
  <c r="H1386" i="2"/>
  <c r="J1114" i="2"/>
  <c r="H1114" i="2"/>
  <c r="I1114" i="2"/>
  <c r="J1346" i="2"/>
  <c r="I1346" i="2"/>
  <c r="H1346" i="2"/>
  <c r="H1032" i="2"/>
  <c r="I1032" i="2"/>
  <c r="J1032" i="2"/>
  <c r="J966" i="2"/>
  <c r="H966" i="2"/>
  <c r="J1071" i="2"/>
  <c r="H1071" i="2"/>
  <c r="J1010" i="2"/>
  <c r="H1010" i="2"/>
  <c r="I1010" i="2"/>
  <c r="J192" i="2"/>
  <c r="I192" i="2"/>
  <c r="H192" i="2"/>
  <c r="I1477" i="2"/>
  <c r="J1477" i="2"/>
  <c r="H1477" i="2"/>
  <c r="J1368" i="2"/>
  <c r="I1368" i="2"/>
  <c r="H1368" i="2"/>
  <c r="J1260" i="2"/>
  <c r="H1260" i="2"/>
  <c r="I1345" i="2"/>
  <c r="H1345" i="2"/>
  <c r="J1345" i="2"/>
  <c r="I1430" i="2"/>
  <c r="H1430" i="2"/>
  <c r="J1430" i="2"/>
  <c r="J1474" i="2"/>
  <c r="H1474" i="2"/>
  <c r="I1474" i="2"/>
  <c r="J197" i="2"/>
  <c r="H197" i="2"/>
  <c r="I197" i="2"/>
  <c r="J216" i="2"/>
  <c r="H216" i="2"/>
  <c r="I216" i="2"/>
  <c r="H214" i="2"/>
  <c r="I214" i="2"/>
  <c r="J214" i="2"/>
  <c r="I199" i="2"/>
  <c r="J199" i="2"/>
  <c r="H199" i="2"/>
  <c r="I202" i="2"/>
  <c r="J202" i="2"/>
  <c r="H202" i="2"/>
  <c r="H1178" i="2"/>
  <c r="J1178" i="2"/>
  <c r="I1178" i="2"/>
  <c r="H990" i="2"/>
  <c r="I990" i="2"/>
  <c r="J990" i="2"/>
  <c r="H1137" i="2"/>
  <c r="J1137" i="2"/>
  <c r="I1137" i="2"/>
  <c r="J1093" i="2"/>
  <c r="I1093" i="2"/>
  <c r="H1093" i="2"/>
  <c r="J1218" i="2"/>
  <c r="H1218" i="2"/>
  <c r="I194" i="2"/>
  <c r="J194" i="2"/>
  <c r="H194" i="2"/>
  <c r="J1323" i="2"/>
  <c r="H1323" i="2"/>
  <c r="J1408" i="2"/>
  <c r="H1408" i="2"/>
  <c r="I1408" i="2"/>
  <c r="J1490" i="2"/>
  <c r="H1490" i="2"/>
  <c r="I1490" i="2"/>
  <c r="J1198" i="2"/>
  <c r="I1198" i="2"/>
  <c r="H1198" i="2"/>
  <c r="J1366" i="2"/>
  <c r="I1366" i="2"/>
  <c r="H1366" i="2"/>
  <c r="H1200" i="2"/>
  <c r="I1200" i="2"/>
  <c r="J1200" i="2"/>
  <c r="J1092" i="2"/>
  <c r="H1092" i="2"/>
  <c r="J1177" i="2"/>
  <c r="H1177" i="2"/>
  <c r="I1177" i="2"/>
  <c r="J1262" i="2"/>
  <c r="H1262" i="2"/>
  <c r="I1262" i="2"/>
  <c r="H1347" i="2"/>
  <c r="I1347" i="2"/>
  <c r="J1347" i="2"/>
  <c r="J1476" i="2"/>
  <c r="H1476" i="2"/>
  <c r="I1476" i="2"/>
  <c r="I340" i="2"/>
  <c r="H340" i="2"/>
  <c r="J340" i="2"/>
  <c r="I210" i="2"/>
  <c r="H210" i="2"/>
  <c r="J210" i="2"/>
  <c r="J219" i="2"/>
  <c r="H219" i="2"/>
  <c r="I219" i="2"/>
  <c r="H217" i="2"/>
  <c r="J217" i="2"/>
  <c r="I217" i="2"/>
  <c r="H903" i="2"/>
  <c r="J903" i="2"/>
  <c r="J905" i="2"/>
  <c r="I905" i="2"/>
  <c r="H905" i="2"/>
  <c r="J1197" i="2"/>
  <c r="H1197" i="2"/>
  <c r="J1429" i="2"/>
  <c r="H1429" i="2"/>
  <c r="I1429" i="2"/>
  <c r="H927" i="2"/>
  <c r="I927" i="2"/>
  <c r="J927" i="2"/>
  <c r="J1176" i="2"/>
  <c r="H1176" i="2"/>
  <c r="J1263" i="2"/>
  <c r="I1263" i="2"/>
  <c r="H1263" i="2"/>
  <c r="J988" i="2"/>
  <c r="I988" i="2"/>
  <c r="H988" i="2"/>
  <c r="I198" i="2"/>
  <c r="J198" i="2"/>
  <c r="H198" i="2"/>
  <c r="J1155" i="2"/>
  <c r="H1155" i="2"/>
  <c r="J1240" i="2"/>
  <c r="H1240" i="2"/>
  <c r="I1240" i="2"/>
  <c r="J1325" i="2"/>
  <c r="I1325" i="2"/>
  <c r="H1325" i="2"/>
  <c r="H1410" i="2"/>
  <c r="J1410" i="2"/>
  <c r="I1410" i="2"/>
  <c r="J1492" i="2"/>
  <c r="I1492" i="2"/>
  <c r="H1492" i="2"/>
  <c r="J1302" i="2"/>
  <c r="H1302" i="2"/>
  <c r="J1387" i="2"/>
  <c r="H1387" i="2"/>
  <c r="I1387" i="2"/>
  <c r="J13" i="2"/>
  <c r="I13" i="2"/>
  <c r="H13" i="2"/>
  <c r="J1009" i="2"/>
  <c r="H1009" i="2"/>
  <c r="I1009" i="2"/>
  <c r="I1094" i="2"/>
  <c r="H1094" i="2"/>
  <c r="J1094" i="2"/>
  <c r="H1179" i="2"/>
  <c r="I1179" i="2"/>
  <c r="J1179" i="2"/>
  <c r="J1499" i="2"/>
  <c r="H1499" i="2"/>
  <c r="I1499" i="2"/>
  <c r="J1407" i="2"/>
  <c r="H1407" i="2"/>
  <c r="J1478" i="2"/>
  <c r="I1478" i="2"/>
  <c r="H1478" i="2"/>
  <c r="I378" i="2"/>
  <c r="I391" i="2" s="1"/>
  <c r="I882" i="2"/>
  <c r="I357" i="2"/>
  <c r="I370" i="2" s="1"/>
  <c r="I840" i="2"/>
  <c r="I853" i="2" s="1"/>
  <c r="I483" i="2"/>
  <c r="I798" i="2"/>
  <c r="I811" i="2" s="1"/>
  <c r="I609" i="2"/>
  <c r="I630" i="2"/>
  <c r="I399" i="2"/>
  <c r="I412" i="2" s="1"/>
  <c r="I861" i="2"/>
  <c r="I420" i="2"/>
  <c r="I433" i="2" s="1"/>
  <c r="I693" i="2"/>
  <c r="I706" i="2" s="1"/>
  <c r="J819" i="2"/>
  <c r="H819" i="2"/>
  <c r="J462" i="2"/>
  <c r="H462" i="2"/>
  <c r="I819" i="2"/>
  <c r="J693" i="2"/>
  <c r="J706" i="2" s="1"/>
  <c r="H693" i="2"/>
  <c r="H706" i="2" s="1"/>
  <c r="J651" i="2"/>
  <c r="H651" i="2"/>
  <c r="H714" i="2"/>
  <c r="H727" i="2" s="1"/>
  <c r="J714" i="2"/>
  <c r="J727" i="2" s="1"/>
  <c r="I714" i="2"/>
  <c r="I727" i="2" s="1"/>
  <c r="J798" i="2"/>
  <c r="J811" i="2" s="1"/>
  <c r="H798" i="2"/>
  <c r="H811" i="2" s="1"/>
  <c r="I567" i="2"/>
  <c r="I525" i="2"/>
  <c r="J630" i="2"/>
  <c r="H630" i="2"/>
  <c r="J609" i="2"/>
  <c r="H609" i="2"/>
  <c r="J777" i="2"/>
  <c r="J790" i="2" s="1"/>
  <c r="H777" i="2"/>
  <c r="H790" i="2" s="1"/>
  <c r="J441" i="2"/>
  <c r="H441" i="2"/>
  <c r="H588" i="2"/>
  <c r="J588" i="2"/>
  <c r="J756" i="2"/>
  <c r="H756" i="2"/>
  <c r="I441" i="2"/>
  <c r="I672" i="2"/>
  <c r="I685" i="2" s="1"/>
  <c r="J420" i="2"/>
  <c r="J433" i="2" s="1"/>
  <c r="H420" i="2"/>
  <c r="H433" i="2" s="1"/>
  <c r="I777" i="2"/>
  <c r="I790" i="2" s="1"/>
  <c r="I756" i="2"/>
  <c r="J378" i="2"/>
  <c r="J391" i="2" s="1"/>
  <c r="H378" i="2"/>
  <c r="H391" i="2" s="1"/>
  <c r="J567" i="2"/>
  <c r="H567" i="2"/>
  <c r="I462" i="2"/>
  <c r="I546" i="2"/>
  <c r="I651" i="2"/>
  <c r="I588" i="2"/>
  <c r="J735" i="2"/>
  <c r="H735" i="2"/>
  <c r="I504" i="2"/>
  <c r="H504" i="2"/>
  <c r="J504" i="2"/>
  <c r="J672" i="2"/>
  <c r="J685" i="2" s="1"/>
  <c r="H672" i="2"/>
  <c r="H685" i="2" s="1"/>
  <c r="J546" i="2"/>
  <c r="H546" i="2"/>
  <c r="H525" i="2"/>
  <c r="J525" i="2"/>
  <c r="J483" i="2"/>
  <c r="H483" i="2"/>
  <c r="J399" i="2"/>
  <c r="J412" i="2" s="1"/>
  <c r="H399" i="2"/>
  <c r="H412" i="2" s="1"/>
  <c r="H882" i="2"/>
  <c r="J882" i="2"/>
  <c r="J840" i="2"/>
  <c r="J853" i="2" s="1"/>
  <c r="H840" i="2"/>
  <c r="H853" i="2" s="1"/>
  <c r="J357" i="2"/>
  <c r="J370" i="2" s="1"/>
  <c r="H357" i="2"/>
  <c r="H370" i="2" s="1"/>
  <c r="H861" i="2"/>
  <c r="J861" i="2"/>
  <c r="G31" i="16"/>
  <c r="I31" i="16" s="1"/>
  <c r="G22" i="16"/>
  <c r="D22" i="16"/>
  <c r="D23" i="16"/>
  <c r="G23" i="16"/>
  <c r="I23" i="16" s="1"/>
  <c r="D24" i="16"/>
  <c r="G24" i="16"/>
  <c r="I24" i="16" s="1"/>
  <c r="J318" i="2"/>
  <c r="I318" i="2"/>
  <c r="H318" i="2"/>
  <c r="J317" i="2"/>
  <c r="I317" i="2"/>
  <c r="H317" i="2"/>
  <c r="H319" i="2"/>
  <c r="J319" i="2"/>
  <c r="J338" i="2"/>
  <c r="H338" i="2"/>
  <c r="I338" i="2"/>
  <c r="J316" i="2"/>
  <c r="H316" i="2"/>
  <c r="I316" i="2"/>
  <c r="J337" i="2"/>
  <c r="I337" i="2"/>
  <c r="H337" i="2"/>
  <c r="I341" i="2"/>
  <c r="H341" i="2"/>
  <c r="J341" i="2"/>
  <c r="H49" i="6"/>
  <c r="H55" i="6"/>
  <c r="H56" i="6"/>
  <c r="J5" i="2"/>
  <c r="J3" i="2"/>
  <c r="I5" i="2"/>
  <c r="I4" i="2"/>
  <c r="I3" i="2"/>
  <c r="I2" i="2"/>
  <c r="H57" i="6" l="1"/>
  <c r="H58" i="6" s="1"/>
  <c r="J3208" i="2"/>
  <c r="J3209" i="2" s="1"/>
  <c r="J3210" i="2" s="1"/>
  <c r="Q3210" i="2" s="1"/>
  <c r="F4503" i="3" s="1"/>
  <c r="G334" i="1" s="1"/>
  <c r="J3188" i="2"/>
  <c r="J3189" i="2" s="1"/>
  <c r="J3190" i="2" s="1"/>
  <c r="Q3190" i="2" s="1"/>
  <c r="F4502" i="3" s="1"/>
  <c r="H3167" i="2"/>
  <c r="J3167" i="2"/>
  <c r="I3167" i="2"/>
  <c r="A3189" i="2"/>
  <c r="A3209" i="2"/>
  <c r="G3189" i="2"/>
  <c r="G3209" i="2"/>
  <c r="J46" i="2"/>
  <c r="A179" i="2"/>
  <c r="A3169" i="2"/>
  <c r="G179" i="2"/>
  <c r="G3169" i="2"/>
  <c r="H46" i="2"/>
  <c r="I46" i="2"/>
  <c r="J88" i="2"/>
  <c r="J130" i="2"/>
  <c r="J177" i="2"/>
  <c r="H177" i="2"/>
  <c r="I67" i="2"/>
  <c r="I88" i="2"/>
  <c r="I177" i="2"/>
  <c r="I130" i="2"/>
  <c r="H67" i="2"/>
  <c r="H88" i="2"/>
  <c r="H130" i="2"/>
  <c r="J67" i="2"/>
  <c r="G48" i="2"/>
  <c r="G132" i="2"/>
  <c r="A48" i="2"/>
  <c r="A132" i="2"/>
  <c r="G90" i="2"/>
  <c r="G69" i="2"/>
  <c r="A90" i="2"/>
  <c r="A69" i="2"/>
  <c r="J3128" i="2"/>
  <c r="J3129" i="2" s="1"/>
  <c r="J3130" i="2" s="1"/>
  <c r="Q3130" i="2" s="1"/>
  <c r="H151" i="2"/>
  <c r="I3147" i="2"/>
  <c r="H3147" i="2"/>
  <c r="J3147" i="2"/>
  <c r="J109" i="2"/>
  <c r="J151" i="2"/>
  <c r="I109" i="2"/>
  <c r="H109" i="2"/>
  <c r="I151" i="2"/>
  <c r="A111" i="2"/>
  <c r="A153" i="2"/>
  <c r="G111" i="2"/>
  <c r="G153" i="2"/>
  <c r="G3149" i="2"/>
  <c r="A3149" i="2"/>
  <c r="G1744" i="2"/>
  <c r="G3129" i="2"/>
  <c r="A1744" i="2"/>
  <c r="A3129" i="2"/>
  <c r="J1743" i="2"/>
  <c r="J1744" i="2" s="1"/>
  <c r="J1745" i="2" s="1"/>
  <c r="Q1745" i="2" s="1"/>
  <c r="F4434" i="3" s="1"/>
  <c r="J3087" i="2"/>
  <c r="J3088" i="2" s="1"/>
  <c r="J3089" i="2" s="1"/>
  <c r="Q3089" i="2" s="1"/>
  <c r="J3045" i="2"/>
  <c r="J3046" i="2" s="1"/>
  <c r="J3047" i="2" s="1"/>
  <c r="Q3047" i="2" s="1"/>
  <c r="J3066" i="2"/>
  <c r="J3067" i="2" s="1"/>
  <c r="J3068" i="2" s="1"/>
  <c r="Q3068" i="2" s="1"/>
  <c r="J308" i="2"/>
  <c r="H308" i="2"/>
  <c r="I308" i="2"/>
  <c r="J3108" i="2"/>
  <c r="J3109" i="2" s="1"/>
  <c r="J3110" i="2" s="1"/>
  <c r="Q3110" i="2" s="1"/>
  <c r="A3088" i="2"/>
  <c r="A3109" i="2"/>
  <c r="G3088" i="2"/>
  <c r="G3109" i="2"/>
  <c r="A3046" i="2"/>
  <c r="A3067" i="2"/>
  <c r="G3046" i="2"/>
  <c r="G3067" i="2"/>
  <c r="J895" i="2"/>
  <c r="J769" i="2"/>
  <c r="H1622" i="2"/>
  <c r="A310" i="2"/>
  <c r="A288" i="2"/>
  <c r="G310" i="2"/>
  <c r="G288" i="2"/>
  <c r="I14" i="16"/>
  <c r="I22" i="16"/>
  <c r="I25" i="16" s="1"/>
  <c r="I1622" i="2"/>
  <c r="J1622" i="2"/>
  <c r="H769" i="2"/>
  <c r="J748" i="2"/>
  <c r="I832" i="2"/>
  <c r="J475" i="2"/>
  <c r="I34" i="16"/>
  <c r="I33" i="16" s="1"/>
  <c r="J2940" i="2"/>
  <c r="J2941" i="2" s="1"/>
  <c r="J2942" i="2" s="1"/>
  <c r="Q2942" i="2" s="1"/>
  <c r="F4490" i="3" s="1"/>
  <c r="I664" i="2"/>
  <c r="I643" i="2"/>
  <c r="I2876" i="2"/>
  <c r="J3024" i="2"/>
  <c r="J3025" i="2" s="1"/>
  <c r="J3026" i="2" s="1"/>
  <c r="Q3026" i="2" s="1"/>
  <c r="J2982" i="2"/>
  <c r="J2983" i="2" s="1"/>
  <c r="J2984" i="2" s="1"/>
  <c r="Q2984" i="2" s="1"/>
  <c r="J3003" i="2"/>
  <c r="J3004" i="2" s="1"/>
  <c r="J3005" i="2" s="1"/>
  <c r="Q3005" i="2" s="1"/>
  <c r="J2919" i="2"/>
  <c r="J2920" i="2" s="1"/>
  <c r="J2921" i="2" s="1"/>
  <c r="Q2921" i="2" s="1"/>
  <c r="F4489" i="3" s="1"/>
  <c r="J2855" i="2"/>
  <c r="J2898" i="2"/>
  <c r="J2899" i="2" s="1"/>
  <c r="J2900" i="2" s="1"/>
  <c r="Q2900" i="2" s="1"/>
  <c r="F4488" i="3" s="1"/>
  <c r="J2961" i="2"/>
  <c r="J2962" i="2" s="1"/>
  <c r="J2963" i="2" s="1"/>
  <c r="Q2963" i="2" s="1"/>
  <c r="H2876" i="2"/>
  <c r="H2855" i="2"/>
  <c r="J2876" i="2"/>
  <c r="I2855" i="2"/>
  <c r="H748" i="2"/>
  <c r="J559" i="2"/>
  <c r="A3025" i="2"/>
  <c r="G3025" i="2"/>
  <c r="A2983" i="2"/>
  <c r="A3004" i="2"/>
  <c r="G2983" i="2"/>
  <c r="G3004" i="2"/>
  <c r="A2941" i="2"/>
  <c r="A2962" i="2"/>
  <c r="G2941" i="2"/>
  <c r="G2962" i="2"/>
  <c r="A2899" i="2"/>
  <c r="A2920" i="2"/>
  <c r="G2899" i="2"/>
  <c r="G2920" i="2"/>
  <c r="J517" i="2"/>
  <c r="J664" i="2"/>
  <c r="I748" i="2"/>
  <c r="H475" i="2"/>
  <c r="J622" i="2"/>
  <c r="A2857" i="2"/>
  <c r="A2878" i="2"/>
  <c r="G2857" i="2"/>
  <c r="G2878" i="2"/>
  <c r="J2708" i="2"/>
  <c r="I769" i="2"/>
  <c r="J643" i="2"/>
  <c r="I2771" i="2"/>
  <c r="I2708" i="2"/>
  <c r="H895" i="2"/>
  <c r="J601" i="2"/>
  <c r="H2792" i="2"/>
  <c r="I559" i="2"/>
  <c r="I622" i="2"/>
  <c r="H832" i="2"/>
  <c r="J580" i="2"/>
  <c r="H538" i="2"/>
  <c r="J454" i="2"/>
  <c r="I2792" i="2"/>
  <c r="I874" i="2"/>
  <c r="I475" i="2"/>
  <c r="H664" i="2"/>
  <c r="J2435" i="2"/>
  <c r="J2792" i="2"/>
  <c r="I2645" i="2"/>
  <c r="I895" i="2"/>
  <c r="I2204" i="2"/>
  <c r="I601" i="2"/>
  <c r="I2435" i="2"/>
  <c r="J2561" i="2"/>
  <c r="H874" i="2"/>
  <c r="I2456" i="2"/>
  <c r="H2729" i="2"/>
  <c r="H2204" i="2"/>
  <c r="H643" i="2"/>
  <c r="J496" i="2"/>
  <c r="J832" i="2"/>
  <c r="I496" i="2"/>
  <c r="I2267" i="2"/>
  <c r="I454" i="2"/>
  <c r="J1522" i="2"/>
  <c r="H2414" i="2"/>
  <c r="J2645" i="2"/>
  <c r="I2603" i="2"/>
  <c r="J1683" i="2"/>
  <c r="J1684" i="2" s="1"/>
  <c r="J1685" i="2" s="1"/>
  <c r="Q1685" i="2" s="1"/>
  <c r="F4431" i="3" s="1"/>
  <c r="G159" i="1" s="1"/>
  <c r="I2561" i="2"/>
  <c r="H1562" i="2"/>
  <c r="H2309" i="2"/>
  <c r="J1542" i="2"/>
  <c r="H1582" i="2"/>
  <c r="H1722" i="2"/>
  <c r="J2162" i="2"/>
  <c r="H2141" i="2"/>
  <c r="I2624" i="2"/>
  <c r="J2603" i="2"/>
  <c r="H2687" i="2"/>
  <c r="H2456" i="2"/>
  <c r="J2225" i="2"/>
  <c r="H2288" i="2"/>
  <c r="I2351" i="2"/>
  <c r="J2666" i="2"/>
  <c r="H2246" i="2"/>
  <c r="H496" i="2"/>
  <c r="I1522" i="2"/>
  <c r="J2729" i="2"/>
  <c r="J1562" i="2"/>
  <c r="I2309" i="2"/>
  <c r="J2246" i="2"/>
  <c r="H2708" i="2"/>
  <c r="I1582" i="2"/>
  <c r="J1722" i="2"/>
  <c r="J283" i="2"/>
  <c r="H2519" i="2"/>
  <c r="I2687" i="2"/>
  <c r="J2351" i="2"/>
  <c r="H2477" i="2"/>
  <c r="H517" i="2"/>
  <c r="H580" i="2"/>
  <c r="J2456" i="2"/>
  <c r="H1522" i="2"/>
  <c r="I2414" i="2"/>
  <c r="I2729" i="2"/>
  <c r="J2309" i="2"/>
  <c r="I1702" i="2"/>
  <c r="J1582" i="2"/>
  <c r="I1642" i="2"/>
  <c r="H2393" i="2"/>
  <c r="I2519" i="2"/>
  <c r="J2687" i="2"/>
  <c r="J2624" i="2"/>
  <c r="I2813" i="2"/>
  <c r="J2477" i="2"/>
  <c r="H283" i="2"/>
  <c r="J538" i="2"/>
  <c r="I517" i="2"/>
  <c r="H454" i="2"/>
  <c r="I538" i="2"/>
  <c r="I1602" i="2"/>
  <c r="H2645" i="2"/>
  <c r="H1702" i="2"/>
  <c r="H1642" i="2"/>
  <c r="H2267" i="2"/>
  <c r="I2393" i="2"/>
  <c r="I2330" i="2"/>
  <c r="J2519" i="2"/>
  <c r="I2225" i="2"/>
  <c r="H2624" i="2"/>
  <c r="H2498" i="2"/>
  <c r="H2813" i="2"/>
  <c r="J2141" i="2"/>
  <c r="I2477" i="2"/>
  <c r="I580" i="2"/>
  <c r="H1602" i="2"/>
  <c r="J2414" i="2"/>
  <c r="H2582" i="2"/>
  <c r="I2288" i="2"/>
  <c r="H2372" i="2"/>
  <c r="J1702" i="2"/>
  <c r="J2834" i="2"/>
  <c r="J1642" i="2"/>
  <c r="J2267" i="2"/>
  <c r="J2393" i="2"/>
  <c r="H2330" i="2"/>
  <c r="I2141" i="2"/>
  <c r="H2225" i="2"/>
  <c r="I2498" i="2"/>
  <c r="J2813" i="2"/>
  <c r="I2540" i="2"/>
  <c r="I2750" i="2"/>
  <c r="H559" i="2"/>
  <c r="H2435" i="2"/>
  <c r="J1602" i="2"/>
  <c r="J2582" i="2"/>
  <c r="J2288" i="2"/>
  <c r="I2372" i="2"/>
  <c r="I2183" i="2"/>
  <c r="I2834" i="2"/>
  <c r="J2330" i="2"/>
  <c r="J2498" i="2"/>
  <c r="H1662" i="2"/>
  <c r="H2540" i="2"/>
  <c r="J2372" i="2"/>
  <c r="H2183" i="2"/>
  <c r="H2750" i="2"/>
  <c r="H2834" i="2"/>
  <c r="H2162" i="2"/>
  <c r="J2204" i="2"/>
  <c r="H2771" i="2"/>
  <c r="I1662" i="2"/>
  <c r="J2540" i="2"/>
  <c r="I2666" i="2"/>
  <c r="H2561" i="2"/>
  <c r="I1542" i="2"/>
  <c r="I2582" i="2"/>
  <c r="J874" i="2"/>
  <c r="H601" i="2"/>
  <c r="H622" i="2"/>
  <c r="I1562" i="2"/>
  <c r="I2246" i="2"/>
  <c r="H1542" i="2"/>
  <c r="J2183" i="2"/>
  <c r="J2750" i="2"/>
  <c r="I1722" i="2"/>
  <c r="I2162" i="2"/>
  <c r="J2771" i="2"/>
  <c r="I283" i="2"/>
  <c r="H2603" i="2"/>
  <c r="J1662" i="2"/>
  <c r="H2351" i="2"/>
  <c r="H2666" i="2"/>
  <c r="G2815" i="2"/>
  <c r="G2836" i="2"/>
  <c r="A2815" i="2"/>
  <c r="A2836" i="2"/>
  <c r="G2773" i="2"/>
  <c r="G2794" i="2"/>
  <c r="A2773" i="2"/>
  <c r="A2794" i="2"/>
  <c r="G2731" i="2"/>
  <c r="G2752" i="2"/>
  <c r="A2731" i="2"/>
  <c r="A2752" i="2"/>
  <c r="G2710" i="2"/>
  <c r="G285" i="2"/>
  <c r="A2710" i="2"/>
  <c r="A285" i="2"/>
  <c r="G2689" i="2"/>
  <c r="A2689" i="2"/>
  <c r="G2668" i="2"/>
  <c r="A2668" i="2"/>
  <c r="G2626" i="2"/>
  <c r="G2647" i="2"/>
  <c r="A2626" i="2"/>
  <c r="A2647" i="2"/>
  <c r="A2605" i="2"/>
  <c r="G2605" i="2"/>
  <c r="A2563" i="2"/>
  <c r="A2584" i="2"/>
  <c r="G2563" i="2"/>
  <c r="G2584" i="2"/>
  <c r="G2521" i="2"/>
  <c r="G2542" i="2"/>
  <c r="A2521" i="2"/>
  <c r="A2542" i="2"/>
  <c r="G2479" i="2"/>
  <c r="G2500" i="2"/>
  <c r="A2479" i="2"/>
  <c r="A2500" i="2"/>
  <c r="G2437" i="2"/>
  <c r="G2458" i="2"/>
  <c r="A2437" i="2"/>
  <c r="A2458" i="2"/>
  <c r="A2395" i="2"/>
  <c r="A2416" i="2"/>
  <c r="G2395" i="2"/>
  <c r="G2416" i="2"/>
  <c r="A2353" i="2"/>
  <c r="A2374" i="2"/>
  <c r="G2353" i="2"/>
  <c r="G2374" i="2"/>
  <c r="A2311" i="2"/>
  <c r="A2332" i="2"/>
  <c r="G2311" i="2"/>
  <c r="G2332" i="2"/>
  <c r="A2290" i="2"/>
  <c r="G2290" i="2"/>
  <c r="A2269" i="2"/>
  <c r="G2269" i="2"/>
  <c r="A2227" i="2"/>
  <c r="A2248" i="2"/>
  <c r="G2227" i="2"/>
  <c r="G2248" i="2"/>
  <c r="A2185" i="2"/>
  <c r="A2206" i="2"/>
  <c r="G2185" i="2"/>
  <c r="G2206" i="2"/>
  <c r="A2143" i="2"/>
  <c r="A2164" i="2"/>
  <c r="G2143" i="2"/>
  <c r="G2164" i="2"/>
  <c r="H1847" i="2"/>
  <c r="J2120" i="2"/>
  <c r="I2057" i="2"/>
  <c r="H1973" i="2"/>
  <c r="I2078" i="2"/>
  <c r="H2057" i="2"/>
  <c r="H1826" i="2"/>
  <c r="H1889" i="2"/>
  <c r="J1784" i="2"/>
  <c r="J2036" i="2"/>
  <c r="I1889" i="2"/>
  <c r="I1826" i="2"/>
  <c r="I1994" i="2"/>
  <c r="J2099" i="2"/>
  <c r="J1847" i="2"/>
  <c r="I1910" i="2"/>
  <c r="J1994" i="2"/>
  <c r="J2078" i="2"/>
  <c r="H1910" i="2"/>
  <c r="J1868" i="2"/>
  <c r="H2120" i="2"/>
  <c r="I1868" i="2"/>
  <c r="J2057" i="2"/>
  <c r="I1931" i="2"/>
  <c r="J1910" i="2"/>
  <c r="I2120" i="2"/>
  <c r="H1868" i="2"/>
  <c r="H1931" i="2"/>
  <c r="H1763" i="2"/>
  <c r="J1931" i="2"/>
  <c r="H2099" i="2"/>
  <c r="I1973" i="2"/>
  <c r="I1763" i="2"/>
  <c r="H1952" i="2"/>
  <c r="I1784" i="2"/>
  <c r="H1805" i="2"/>
  <c r="I2015" i="2"/>
  <c r="J1973" i="2"/>
  <c r="I2036" i="2"/>
  <c r="J1889" i="2"/>
  <c r="J1763" i="2"/>
  <c r="I1952" i="2"/>
  <c r="H2078" i="2"/>
  <c r="J1952" i="2"/>
  <c r="I1805" i="2"/>
  <c r="H1784" i="2"/>
  <c r="J1805" i="2"/>
  <c r="H2015" i="2"/>
  <c r="H2036" i="2"/>
  <c r="I2099" i="2"/>
  <c r="J1826" i="2"/>
  <c r="J2015" i="2"/>
  <c r="H1994" i="2"/>
  <c r="I1847" i="2"/>
  <c r="G2101" i="2"/>
  <c r="G2122" i="2"/>
  <c r="A2101" i="2"/>
  <c r="A2122" i="2"/>
  <c r="A2059" i="2"/>
  <c r="A2080" i="2"/>
  <c r="G2059" i="2"/>
  <c r="G2080" i="2"/>
  <c r="G2017" i="2"/>
  <c r="G2038" i="2"/>
  <c r="A2017" i="2"/>
  <c r="A2038" i="2"/>
  <c r="G1975" i="2"/>
  <c r="G1996" i="2"/>
  <c r="A1975" i="2"/>
  <c r="A1996" i="2"/>
  <c r="G1933" i="2"/>
  <c r="G1954" i="2"/>
  <c r="A1933" i="2"/>
  <c r="A1954" i="2"/>
  <c r="G1891" i="2"/>
  <c r="G1912" i="2"/>
  <c r="A1891" i="2"/>
  <c r="A1912" i="2"/>
  <c r="G1849" i="2"/>
  <c r="G1870" i="2"/>
  <c r="A1849" i="2"/>
  <c r="A1870" i="2"/>
  <c r="G1807" i="2"/>
  <c r="G1828" i="2"/>
  <c r="A1807" i="2"/>
  <c r="A1828" i="2"/>
  <c r="G1765" i="2"/>
  <c r="G1786" i="2"/>
  <c r="A1765" i="2"/>
  <c r="A1786" i="2"/>
  <c r="H262" i="2"/>
  <c r="J262" i="2"/>
  <c r="I262" i="2"/>
  <c r="A264" i="2"/>
  <c r="G264" i="2"/>
  <c r="A1724" i="2"/>
  <c r="G1724" i="2"/>
  <c r="G1684" i="2"/>
  <c r="G1704" i="2"/>
  <c r="A1684" i="2"/>
  <c r="A1704" i="2"/>
  <c r="A1644" i="2"/>
  <c r="A1664" i="2"/>
  <c r="G1644" i="2"/>
  <c r="G1664" i="2"/>
  <c r="G1604" i="2"/>
  <c r="G1624" i="2"/>
  <c r="A1604" i="2"/>
  <c r="A1624" i="2"/>
  <c r="A1564" i="2"/>
  <c r="A1584" i="2"/>
  <c r="G1564" i="2"/>
  <c r="G1584" i="2"/>
  <c r="A1524" i="2"/>
  <c r="A1544" i="2"/>
  <c r="G1524" i="2"/>
  <c r="G1544" i="2"/>
  <c r="J241" i="2"/>
  <c r="H241" i="2"/>
  <c r="I241" i="2"/>
  <c r="G222" i="2"/>
  <c r="G243" i="2"/>
  <c r="A222" i="2"/>
  <c r="A243" i="2"/>
  <c r="H220" i="2"/>
  <c r="J1315" i="2"/>
  <c r="J1231" i="2"/>
  <c r="H1231" i="2"/>
  <c r="J1084" i="2"/>
  <c r="J1168" i="2"/>
  <c r="H1168" i="2"/>
  <c r="H1315" i="2"/>
  <c r="J1420" i="2"/>
  <c r="H1210" i="2"/>
  <c r="H979" i="2"/>
  <c r="H1420" i="2"/>
  <c r="H1189" i="2"/>
  <c r="H916" i="2"/>
  <c r="J1463" i="2"/>
  <c r="J1464" i="2" s="1"/>
  <c r="J1465" i="2" s="1"/>
  <c r="Q1465" i="2" s="1"/>
  <c r="F4420" i="3" s="1"/>
  <c r="G381" i="1" s="1"/>
  <c r="H1441" i="2"/>
  <c r="J1336" i="2"/>
  <c r="H1502" i="2"/>
  <c r="J1021" i="2"/>
  <c r="J958" i="2"/>
  <c r="J25" i="2"/>
  <c r="H1147" i="2"/>
  <c r="J916" i="2"/>
  <c r="J1502" i="2"/>
  <c r="J979" i="2"/>
  <c r="J1378" i="2"/>
  <c r="J1147" i="2"/>
  <c r="H1294" i="2"/>
  <c r="J1189" i="2"/>
  <c r="I1482" i="2"/>
  <c r="H1000" i="2"/>
  <c r="H1063" i="2"/>
  <c r="I220" i="2"/>
  <c r="J1210" i="2"/>
  <c r="H1105" i="2"/>
  <c r="H1399" i="2"/>
  <c r="H1357" i="2"/>
  <c r="H1482" i="2"/>
  <c r="J1294" i="2"/>
  <c r="H25" i="2"/>
  <c r="J1105" i="2"/>
  <c r="H1084" i="2"/>
  <c r="J1399" i="2"/>
  <c r="J1441" i="2"/>
  <c r="J1357" i="2"/>
  <c r="J1482" i="2"/>
  <c r="J1000" i="2"/>
  <c r="H1126" i="2"/>
  <c r="J1063" i="2"/>
  <c r="J220" i="2"/>
  <c r="H1042" i="2"/>
  <c r="H937" i="2"/>
  <c r="H1336" i="2"/>
  <c r="H1273" i="2"/>
  <c r="H1021" i="2"/>
  <c r="H1252" i="2"/>
  <c r="J1042" i="2"/>
  <c r="J937" i="2"/>
  <c r="I1502" i="2"/>
  <c r="J1273" i="2"/>
  <c r="H1378" i="2"/>
  <c r="J1126" i="2"/>
  <c r="H958" i="2"/>
  <c r="I25" i="2"/>
  <c r="J1252" i="2"/>
  <c r="A1504" i="2"/>
  <c r="A27" i="2"/>
  <c r="G1504" i="2"/>
  <c r="G27" i="2"/>
  <c r="A1464" i="2"/>
  <c r="A1484" i="2"/>
  <c r="G1464" i="2"/>
  <c r="G1484" i="2"/>
  <c r="G1422" i="2"/>
  <c r="G1443" i="2"/>
  <c r="A1422" i="2"/>
  <c r="A1443" i="2"/>
  <c r="A1380" i="2"/>
  <c r="A1401" i="2"/>
  <c r="G1380" i="2"/>
  <c r="G1401" i="2"/>
  <c r="G1338" i="2"/>
  <c r="G1359" i="2"/>
  <c r="A1338" i="2"/>
  <c r="A1359" i="2"/>
  <c r="A1296" i="2"/>
  <c r="A1317" i="2"/>
  <c r="G1296" i="2"/>
  <c r="G1317" i="2"/>
  <c r="G1254" i="2"/>
  <c r="G1275" i="2"/>
  <c r="A1254" i="2"/>
  <c r="A1275" i="2"/>
  <c r="G1212" i="2"/>
  <c r="G1233" i="2"/>
  <c r="A1212" i="2"/>
  <c r="A1233" i="2"/>
  <c r="G1170" i="2"/>
  <c r="G1191" i="2"/>
  <c r="A1170" i="2"/>
  <c r="A1191" i="2"/>
  <c r="G1128" i="2"/>
  <c r="G1149" i="2"/>
  <c r="A1128" i="2"/>
  <c r="A1149" i="2"/>
  <c r="A1086" i="2"/>
  <c r="A1107" i="2"/>
  <c r="G1086" i="2"/>
  <c r="G1107" i="2"/>
  <c r="G1044" i="2"/>
  <c r="G1065" i="2"/>
  <c r="A1044" i="2"/>
  <c r="A1065" i="2"/>
  <c r="G1002" i="2"/>
  <c r="G1023" i="2"/>
  <c r="A1002" i="2"/>
  <c r="A1023" i="2"/>
  <c r="G960" i="2"/>
  <c r="G981" i="2"/>
  <c r="A960" i="2"/>
  <c r="A981" i="2"/>
  <c r="G918" i="2"/>
  <c r="G939" i="2"/>
  <c r="A918" i="2"/>
  <c r="A939" i="2"/>
  <c r="J413" i="2"/>
  <c r="J414" i="2" s="1"/>
  <c r="J415" i="2" s="1"/>
  <c r="Q415" i="2" s="1"/>
  <c r="F4370" i="3" s="1"/>
  <c r="J686" i="2"/>
  <c r="J687" i="2" s="1"/>
  <c r="J688" i="2" s="1"/>
  <c r="Q688" i="2" s="1"/>
  <c r="F4383" i="3" s="1"/>
  <c r="G131" i="1" s="1"/>
  <c r="J392" i="2"/>
  <c r="J393" i="2" s="1"/>
  <c r="J394" i="2" s="1"/>
  <c r="Q394" i="2" s="1"/>
  <c r="F4369" i="3" s="1"/>
  <c r="J707" i="2"/>
  <c r="J708" i="2" s="1"/>
  <c r="J709" i="2" s="1"/>
  <c r="Q709" i="2" s="1"/>
  <c r="F4384" i="3" s="1"/>
  <c r="J812" i="2"/>
  <c r="J813" i="2" s="1"/>
  <c r="J814" i="2" s="1"/>
  <c r="Q814" i="2" s="1"/>
  <c r="F4389" i="3" s="1"/>
  <c r="J728" i="2"/>
  <c r="J729" i="2" s="1"/>
  <c r="J730" i="2" s="1"/>
  <c r="Q730" i="2" s="1"/>
  <c r="F4385" i="3" s="1"/>
  <c r="G133" i="1" s="1"/>
  <c r="J791" i="2"/>
  <c r="J792" i="2" s="1"/>
  <c r="J793" i="2" s="1"/>
  <c r="Q793" i="2" s="1"/>
  <c r="F4388" i="3" s="1"/>
  <c r="J371" i="2"/>
  <c r="J372" i="2" s="1"/>
  <c r="J373" i="2" s="1"/>
  <c r="Q373" i="2" s="1"/>
  <c r="F4368" i="3" s="1"/>
  <c r="J854" i="2"/>
  <c r="J855" i="2" s="1"/>
  <c r="J856" i="2" s="1"/>
  <c r="Q856" i="2" s="1"/>
  <c r="F4391" i="3" s="1"/>
  <c r="J434" i="2"/>
  <c r="J435" i="2" s="1"/>
  <c r="J436" i="2" s="1"/>
  <c r="Q436" i="2" s="1"/>
  <c r="F4371" i="3" s="1"/>
  <c r="G855" i="2"/>
  <c r="G897" i="2"/>
  <c r="G834" i="2"/>
  <c r="G876" i="2"/>
  <c r="A813" i="2"/>
  <c r="A855" i="2"/>
  <c r="A897" i="2"/>
  <c r="A834" i="2"/>
  <c r="A876" i="2"/>
  <c r="G792" i="2"/>
  <c r="G813" i="2"/>
  <c r="A771" i="2"/>
  <c r="A792" i="2"/>
  <c r="G750" i="2"/>
  <c r="G771" i="2"/>
  <c r="A729" i="2"/>
  <c r="A750" i="2"/>
  <c r="G708" i="2"/>
  <c r="G729" i="2"/>
  <c r="A414" i="2"/>
  <c r="A708" i="2"/>
  <c r="G687" i="2"/>
  <c r="G414" i="2"/>
  <c r="A666" i="2"/>
  <c r="A687" i="2"/>
  <c r="G645" i="2"/>
  <c r="G666" i="2"/>
  <c r="A624" i="2"/>
  <c r="A645" i="2"/>
  <c r="G603" i="2"/>
  <c r="G624" i="2"/>
  <c r="A582" i="2"/>
  <c r="A603" i="2"/>
  <c r="G561" i="2"/>
  <c r="G582" i="2"/>
  <c r="A540" i="2"/>
  <c r="A561" i="2"/>
  <c r="G519" i="2"/>
  <c r="G540" i="2"/>
  <c r="A498" i="2"/>
  <c r="A519" i="2"/>
  <c r="G477" i="2"/>
  <c r="G498" i="2"/>
  <c r="A456" i="2"/>
  <c r="A477" i="2"/>
  <c r="G435" i="2"/>
  <c r="G456" i="2"/>
  <c r="A393" i="2"/>
  <c r="A435" i="2"/>
  <c r="G372" i="2"/>
  <c r="G393" i="2"/>
  <c r="A372" i="2"/>
  <c r="I30" i="16"/>
  <c r="G351" i="2"/>
  <c r="G331" i="2"/>
  <c r="A351" i="2"/>
  <c r="A331" i="2"/>
  <c r="H349" i="2"/>
  <c r="J349" i="2"/>
  <c r="J329" i="2"/>
  <c r="I349" i="2"/>
  <c r="H329" i="2"/>
  <c r="H385" i="1" l="1"/>
  <c r="H383" i="1" s="1"/>
  <c r="G274" i="1"/>
  <c r="F4499" i="3"/>
  <c r="J3168" i="2"/>
  <c r="J3169" i="2" s="1"/>
  <c r="J3170" i="2" s="1"/>
  <c r="Q3170" i="2" s="1"/>
  <c r="J47" i="2"/>
  <c r="J48" i="2" s="1"/>
  <c r="J49" i="2" s="1"/>
  <c r="Q49" i="2" s="1"/>
  <c r="F4340" i="3" s="1"/>
  <c r="G139" i="1" s="1"/>
  <c r="J89" i="2"/>
  <c r="J90" i="2" s="1"/>
  <c r="J91" i="2" s="1"/>
  <c r="Q91" i="2" s="1"/>
  <c r="F4342" i="3" s="1"/>
  <c r="G141" i="1" s="1"/>
  <c r="J68" i="2"/>
  <c r="J69" i="2" s="1"/>
  <c r="J70" i="2" s="1"/>
  <c r="Q70" i="2" s="1"/>
  <c r="F4341" i="3" s="1"/>
  <c r="G140" i="1" s="1"/>
  <c r="J178" i="2"/>
  <c r="J179" i="2" s="1"/>
  <c r="J180" i="2" s="1"/>
  <c r="Q180" i="2" s="1"/>
  <c r="F4346" i="3" s="1"/>
  <c r="G170" i="1" s="1"/>
  <c r="J131" i="2"/>
  <c r="J132" i="2" s="1"/>
  <c r="J133" i="2" s="1"/>
  <c r="Q133" i="2" s="1"/>
  <c r="F4344" i="3" s="1"/>
  <c r="G143" i="1" s="1"/>
  <c r="J110" i="2"/>
  <c r="J111" i="2" s="1"/>
  <c r="J112" i="2" s="1"/>
  <c r="Q112" i="2" s="1"/>
  <c r="F4343" i="3" s="1"/>
  <c r="G142" i="1" s="1"/>
  <c r="J3148" i="2"/>
  <c r="J3149" i="2" s="1"/>
  <c r="J3150" i="2" s="1"/>
  <c r="Q3150" i="2" s="1"/>
  <c r="J152" i="2"/>
  <c r="J153" i="2" s="1"/>
  <c r="J154" i="2" s="1"/>
  <c r="Q154" i="2" s="1"/>
  <c r="J1623" i="2"/>
  <c r="J1624" i="2" s="1"/>
  <c r="J1625" i="2" s="1"/>
  <c r="Q1625" i="2" s="1"/>
  <c r="F4428" i="3" s="1"/>
  <c r="G154" i="1" s="1"/>
  <c r="J770" i="2"/>
  <c r="J771" i="2" s="1"/>
  <c r="J772" i="2" s="1"/>
  <c r="Q772" i="2" s="1"/>
  <c r="F4387" i="3" s="1"/>
  <c r="J309" i="2"/>
  <c r="J310" i="2" s="1"/>
  <c r="J311" i="2" s="1"/>
  <c r="Q311" i="2" s="1"/>
  <c r="F4350" i="3" s="1"/>
  <c r="G26" i="1" s="1"/>
  <c r="F4493" i="3"/>
  <c r="F4497" i="3"/>
  <c r="F4492" i="3"/>
  <c r="F4496" i="3"/>
  <c r="F4494" i="3"/>
  <c r="F4498" i="3"/>
  <c r="F4491" i="3"/>
  <c r="F4495" i="3"/>
  <c r="G115" i="1" s="1"/>
  <c r="J896" i="2"/>
  <c r="J897" i="2" s="1"/>
  <c r="J898" i="2" s="1"/>
  <c r="Q898" i="2" s="1"/>
  <c r="F4393" i="3" s="1"/>
  <c r="J1543" i="2"/>
  <c r="J1544" i="2" s="1"/>
  <c r="J1545" i="2" s="1"/>
  <c r="Q1545" i="2" s="1"/>
  <c r="F4424" i="3" s="1"/>
  <c r="G147" i="1" s="1"/>
  <c r="I35" i="16"/>
  <c r="J749" i="2"/>
  <c r="J750" i="2" s="1"/>
  <c r="J751" i="2" s="1"/>
  <c r="Q751" i="2" s="1"/>
  <c r="F4386" i="3" s="1"/>
  <c r="J2877" i="2"/>
  <c r="J2878" i="2" s="1"/>
  <c r="J2879" i="2" s="1"/>
  <c r="Q2879" i="2" s="1"/>
  <c r="F4487" i="3" s="1"/>
  <c r="J2856" i="2"/>
  <c r="J2857" i="2" s="1"/>
  <c r="J2858" i="2" s="1"/>
  <c r="Q2858" i="2" s="1"/>
  <c r="F4486" i="3" s="1"/>
  <c r="G378" i="1" s="1"/>
  <c r="H159" i="1"/>
  <c r="H131" i="1"/>
  <c r="H133" i="1"/>
  <c r="H381" i="1"/>
  <c r="H380" i="1" s="1"/>
  <c r="J665" i="2"/>
  <c r="J666" i="2" s="1"/>
  <c r="J667" i="2" s="1"/>
  <c r="Q667" i="2" s="1"/>
  <c r="F4382" i="3" s="1"/>
  <c r="G130" i="1" s="1"/>
  <c r="J602" i="2"/>
  <c r="J603" i="2" s="1"/>
  <c r="J604" i="2" s="1"/>
  <c r="Q604" i="2" s="1"/>
  <c r="F4379" i="3" s="1"/>
  <c r="G127" i="1" s="1"/>
  <c r="J2709" i="2"/>
  <c r="J2710" i="2" s="1"/>
  <c r="J2711" i="2" s="1"/>
  <c r="Q2711" i="2" s="1"/>
  <c r="F4479" i="3" s="1"/>
  <c r="G137" i="1" s="1"/>
  <c r="J476" i="2"/>
  <c r="J477" i="2" s="1"/>
  <c r="J478" i="2" s="1"/>
  <c r="Q478" i="2" s="1"/>
  <c r="F4373" i="3" s="1"/>
  <c r="G121" i="1" s="1"/>
  <c r="J560" i="2"/>
  <c r="J561" i="2" s="1"/>
  <c r="J562" i="2" s="1"/>
  <c r="Q562" i="2" s="1"/>
  <c r="F4377" i="3" s="1"/>
  <c r="G125" i="1" s="1"/>
  <c r="J833" i="2"/>
  <c r="J834" i="2" s="1"/>
  <c r="J835" i="2" s="1"/>
  <c r="Q835" i="2" s="1"/>
  <c r="F4390" i="3" s="1"/>
  <c r="J644" i="2"/>
  <c r="J645" i="2" s="1"/>
  <c r="J646" i="2" s="1"/>
  <c r="Q646" i="2" s="1"/>
  <c r="F4381" i="3" s="1"/>
  <c r="G129" i="1" s="1"/>
  <c r="J581" i="2"/>
  <c r="J582" i="2" s="1"/>
  <c r="J583" i="2" s="1"/>
  <c r="Q583" i="2" s="1"/>
  <c r="F4378" i="3" s="1"/>
  <c r="G126" i="1" s="1"/>
  <c r="J455" i="2"/>
  <c r="J456" i="2" s="1"/>
  <c r="J457" i="2" s="1"/>
  <c r="Q457" i="2" s="1"/>
  <c r="F4372" i="3" s="1"/>
  <c r="G120" i="1" s="1"/>
  <c r="J623" i="2"/>
  <c r="J624" i="2" s="1"/>
  <c r="J625" i="2" s="1"/>
  <c r="Q625" i="2" s="1"/>
  <c r="F4380" i="3" s="1"/>
  <c r="G128" i="1" s="1"/>
  <c r="J875" i="2"/>
  <c r="J876" i="2" s="1"/>
  <c r="J877" i="2" s="1"/>
  <c r="Q877" i="2" s="1"/>
  <c r="F4392" i="3" s="1"/>
  <c r="J539" i="2"/>
  <c r="J540" i="2" s="1"/>
  <c r="J541" i="2" s="1"/>
  <c r="Q541" i="2" s="1"/>
  <c r="F4376" i="3" s="1"/>
  <c r="G124" i="1" s="1"/>
  <c r="J2205" i="2"/>
  <c r="J2206" i="2" s="1"/>
  <c r="J2207" i="2" s="1"/>
  <c r="Q2207" i="2" s="1"/>
  <c r="F4456" i="3" s="1"/>
  <c r="J2436" i="2"/>
  <c r="J2437" i="2" s="1"/>
  <c r="J2438" i="2" s="1"/>
  <c r="Q2438" i="2" s="1"/>
  <c r="F4466" i="3" s="1"/>
  <c r="G347" i="1" s="1"/>
  <c r="J2793" i="2"/>
  <c r="J2794" i="2" s="1"/>
  <c r="J2795" i="2" s="1"/>
  <c r="Q2795" i="2" s="1"/>
  <c r="F4483" i="3" s="1"/>
  <c r="G233" i="1" s="1"/>
  <c r="J1563" i="2"/>
  <c r="J1564" i="2" s="1"/>
  <c r="J1565" i="2" s="1"/>
  <c r="Q1565" i="2" s="1"/>
  <c r="F4425" i="3" s="1"/>
  <c r="G148" i="1" s="1"/>
  <c r="J2352" i="2"/>
  <c r="J2353" i="2" s="1"/>
  <c r="J2354" i="2" s="1"/>
  <c r="Q2354" i="2" s="1"/>
  <c r="J2415" i="2"/>
  <c r="J2416" i="2" s="1"/>
  <c r="J2417" i="2" s="1"/>
  <c r="Q2417" i="2" s="1"/>
  <c r="F4465" i="3" s="1"/>
  <c r="G346" i="1" s="1"/>
  <c r="J2730" i="2"/>
  <c r="J2731" i="2" s="1"/>
  <c r="J2732" i="2" s="1"/>
  <c r="Q2732" i="2" s="1"/>
  <c r="F4480" i="3" s="1"/>
  <c r="G230" i="1" s="1"/>
  <c r="J2457" i="2"/>
  <c r="J2458" i="2" s="1"/>
  <c r="J2459" i="2" s="1"/>
  <c r="Q2459" i="2" s="1"/>
  <c r="F4467" i="3" s="1"/>
  <c r="G348" i="1" s="1"/>
  <c r="J2562" i="2"/>
  <c r="J2563" i="2" s="1"/>
  <c r="J2564" i="2" s="1"/>
  <c r="Q2564" i="2" s="1"/>
  <c r="F4472" i="3" s="1"/>
  <c r="G353" i="1" s="1"/>
  <c r="J497" i="2"/>
  <c r="J498" i="2" s="1"/>
  <c r="J499" i="2" s="1"/>
  <c r="Q499" i="2" s="1"/>
  <c r="F4374" i="3" s="1"/>
  <c r="G122" i="1" s="1"/>
  <c r="J2604" i="2"/>
  <c r="J2605" i="2" s="1"/>
  <c r="J2606" i="2" s="1"/>
  <c r="Q2606" i="2" s="1"/>
  <c r="F4474" i="3" s="1"/>
  <c r="G363" i="1" s="1"/>
  <c r="J1723" i="2"/>
  <c r="J1724" i="2" s="1"/>
  <c r="J1725" i="2" s="1"/>
  <c r="Q1725" i="2" s="1"/>
  <c r="F4433" i="3" s="1"/>
  <c r="J2163" i="2"/>
  <c r="J2164" i="2" s="1"/>
  <c r="J2165" i="2" s="1"/>
  <c r="Q2165" i="2" s="1"/>
  <c r="F4454" i="3" s="1"/>
  <c r="J2688" i="2"/>
  <c r="J2689" i="2" s="1"/>
  <c r="J2690" i="2" s="1"/>
  <c r="Q2690" i="2" s="1"/>
  <c r="F4478" i="3" s="1"/>
  <c r="G151" i="1" s="1"/>
  <c r="J518" i="2"/>
  <c r="J519" i="2" s="1"/>
  <c r="J520" i="2" s="1"/>
  <c r="Q520" i="2" s="1"/>
  <c r="F4375" i="3" s="1"/>
  <c r="G123" i="1" s="1"/>
  <c r="J2667" i="2"/>
  <c r="J2668" i="2" s="1"/>
  <c r="J2669" i="2" s="1"/>
  <c r="Q2669" i="2" s="1"/>
  <c r="F4477" i="3" s="1"/>
  <c r="J2646" i="2"/>
  <c r="J2647" i="2" s="1"/>
  <c r="J2648" i="2" s="1"/>
  <c r="Q2648" i="2" s="1"/>
  <c r="F4476" i="3" s="1"/>
  <c r="J2184" i="2"/>
  <c r="J2185" i="2" s="1"/>
  <c r="J2186" i="2" s="1"/>
  <c r="Q2186" i="2" s="1"/>
  <c r="F4455" i="3" s="1"/>
  <c r="J2142" i="2"/>
  <c r="J2143" i="2" s="1"/>
  <c r="J2144" i="2" s="1"/>
  <c r="Q2144" i="2" s="1"/>
  <c r="F4453" i="3" s="1"/>
  <c r="G318" i="1" s="1"/>
  <c r="J2289" i="2"/>
  <c r="J2290" i="2" s="1"/>
  <c r="J2291" i="2" s="1"/>
  <c r="Q2291" i="2" s="1"/>
  <c r="F4462" i="3" s="1"/>
  <c r="G343" i="1" s="1"/>
  <c r="J1583" i="2"/>
  <c r="J1584" i="2" s="1"/>
  <c r="J1585" i="2" s="1"/>
  <c r="Q1585" i="2" s="1"/>
  <c r="F4426" i="3" s="1"/>
  <c r="G149" i="1" s="1"/>
  <c r="J2310" i="2"/>
  <c r="J2311" i="2" s="1"/>
  <c r="J2312" i="2" s="1"/>
  <c r="Q2312" i="2" s="1"/>
  <c r="F4460" i="3" s="1"/>
  <c r="G341" i="1" s="1"/>
  <c r="J2751" i="2"/>
  <c r="J2752" i="2" s="1"/>
  <c r="J2753" i="2" s="1"/>
  <c r="Q2753" i="2" s="1"/>
  <c r="F4481" i="3" s="1"/>
  <c r="G231" i="1" s="1"/>
  <c r="J1603" i="2"/>
  <c r="J1604" i="2" s="1"/>
  <c r="J1605" i="2" s="1"/>
  <c r="Q1605" i="2" s="1"/>
  <c r="F4427" i="3" s="1"/>
  <c r="G150" i="1" s="1"/>
  <c r="J2625" i="2"/>
  <c r="J2626" i="2" s="1"/>
  <c r="J2627" i="2" s="1"/>
  <c r="Q2627" i="2" s="1"/>
  <c r="F4475" i="3" s="1"/>
  <c r="J284" i="2"/>
  <c r="J285" i="2" s="1"/>
  <c r="J286" i="2" s="1"/>
  <c r="J2541" i="2"/>
  <c r="J2542" i="2" s="1"/>
  <c r="J2543" i="2" s="1"/>
  <c r="Q2543" i="2" s="1"/>
  <c r="F4471" i="3" s="1"/>
  <c r="G352" i="1" s="1"/>
  <c r="J2478" i="2"/>
  <c r="J2479" i="2" s="1"/>
  <c r="J2480" i="2" s="1"/>
  <c r="Q2480" i="2" s="1"/>
  <c r="F4468" i="3" s="1"/>
  <c r="G349" i="1" s="1"/>
  <c r="J2247" i="2"/>
  <c r="J2248" i="2" s="1"/>
  <c r="J2249" i="2" s="1"/>
  <c r="Q2249" i="2" s="1"/>
  <c r="F4458" i="3" s="1"/>
  <c r="G359" i="1" s="1"/>
  <c r="J2772" i="2"/>
  <c r="J2773" i="2" s="1"/>
  <c r="J2774" i="2" s="1"/>
  <c r="Q2774" i="2" s="1"/>
  <c r="F4482" i="3" s="1"/>
  <c r="G232" i="1" s="1"/>
  <c r="J1663" i="2"/>
  <c r="J1664" i="2" s="1"/>
  <c r="J1665" i="2" s="1"/>
  <c r="Q1665" i="2" s="1"/>
  <c r="F4430" i="3" s="1"/>
  <c r="G156" i="1" s="1"/>
  <c r="J2226" i="2"/>
  <c r="J2227" i="2" s="1"/>
  <c r="J2228" i="2" s="1"/>
  <c r="Q2228" i="2" s="1"/>
  <c r="F4457" i="3" s="1"/>
  <c r="G335" i="1" s="1"/>
  <c r="J2373" i="2"/>
  <c r="J2374" i="2" s="1"/>
  <c r="J2375" i="2" s="1"/>
  <c r="Q2375" i="2" s="1"/>
  <c r="F4463" i="3" s="1"/>
  <c r="G344" i="1" s="1"/>
  <c r="J2268" i="2"/>
  <c r="J2269" i="2" s="1"/>
  <c r="J2270" i="2" s="1"/>
  <c r="Q2270" i="2" s="1"/>
  <c r="F4459" i="3" s="1"/>
  <c r="G340" i="1" s="1"/>
  <c r="J1523" i="2"/>
  <c r="J1524" i="2" s="1"/>
  <c r="J1525" i="2" s="1"/>
  <c r="Q1525" i="2" s="1"/>
  <c r="F4423" i="3" s="1"/>
  <c r="J2331" i="2"/>
  <c r="J2332" i="2" s="1"/>
  <c r="J2333" i="2" s="1"/>
  <c r="Q2333" i="2" s="1"/>
  <c r="F4461" i="3" s="1"/>
  <c r="G342" i="1" s="1"/>
  <c r="J2583" i="2"/>
  <c r="J2584" i="2" s="1"/>
  <c r="J2585" i="2" s="1"/>
  <c r="Q2585" i="2" s="1"/>
  <c r="F4473" i="3" s="1"/>
  <c r="G362" i="1" s="1"/>
  <c r="J2814" i="2"/>
  <c r="J2815" i="2" s="1"/>
  <c r="J2816" i="2" s="1"/>
  <c r="Q2816" i="2" s="1"/>
  <c r="F4484" i="3" s="1"/>
  <c r="G234" i="1" s="1"/>
  <c r="J1643" i="2"/>
  <c r="J1644" i="2" s="1"/>
  <c r="J1645" i="2" s="1"/>
  <c r="Q1645" i="2" s="1"/>
  <c r="F4429" i="3" s="1"/>
  <c r="G155" i="1" s="1"/>
  <c r="J2394" i="2"/>
  <c r="J2395" i="2" s="1"/>
  <c r="J2396" i="2" s="1"/>
  <c r="Q2396" i="2" s="1"/>
  <c r="F4464" i="3" s="1"/>
  <c r="G345" i="1" s="1"/>
  <c r="J2520" i="2"/>
  <c r="J2521" i="2" s="1"/>
  <c r="J2522" i="2" s="1"/>
  <c r="Q2522" i="2" s="1"/>
  <c r="F4470" i="3" s="1"/>
  <c r="G351" i="1" s="1"/>
  <c r="J2835" i="2"/>
  <c r="J2836" i="2" s="1"/>
  <c r="J2837" i="2" s="1"/>
  <c r="Q2837" i="2" s="1"/>
  <c r="F4485" i="3" s="1"/>
  <c r="G235" i="1" s="1"/>
  <c r="J2499" i="2"/>
  <c r="J2500" i="2" s="1"/>
  <c r="J2501" i="2" s="1"/>
  <c r="Q2501" i="2" s="1"/>
  <c r="F4469" i="3" s="1"/>
  <c r="G360" i="1" s="1"/>
  <c r="J1703" i="2"/>
  <c r="J1704" i="2" s="1"/>
  <c r="J1705" i="2" s="1"/>
  <c r="Q1705" i="2" s="1"/>
  <c r="F4432" i="3" s="1"/>
  <c r="G160" i="1" s="1"/>
  <c r="J1890" i="2"/>
  <c r="J1891" i="2" s="1"/>
  <c r="J1892" i="2" s="1"/>
  <c r="Q1892" i="2" s="1"/>
  <c r="F4441" i="3" s="1"/>
  <c r="G294" i="1" s="1"/>
  <c r="J1848" i="2"/>
  <c r="J1849" i="2" s="1"/>
  <c r="J1850" i="2" s="1"/>
  <c r="Q1850" i="2" s="1"/>
  <c r="F4439" i="3" s="1"/>
  <c r="G292" i="1" s="1"/>
  <c r="J1806" i="2"/>
  <c r="J1807" i="2" s="1"/>
  <c r="J1808" i="2" s="1"/>
  <c r="Q1808" i="2" s="1"/>
  <c r="F4437" i="3" s="1"/>
  <c r="G290" i="1" s="1"/>
  <c r="J1827" i="2"/>
  <c r="J1828" i="2" s="1"/>
  <c r="J1829" i="2" s="1"/>
  <c r="Q1829" i="2" s="1"/>
  <c r="F4438" i="3" s="1"/>
  <c r="G291" i="1" s="1"/>
  <c r="J2037" i="2"/>
  <c r="J2038" i="2" s="1"/>
  <c r="J2039" i="2" s="1"/>
  <c r="Q2039" i="2" s="1"/>
  <c r="F4448" i="3" s="1"/>
  <c r="G301" i="1" s="1"/>
  <c r="J1974" i="2"/>
  <c r="J1975" i="2" s="1"/>
  <c r="J1976" i="2" s="1"/>
  <c r="Q1976" i="2" s="1"/>
  <c r="F4445" i="3" s="1"/>
  <c r="G298" i="1" s="1"/>
  <c r="J1995" i="2"/>
  <c r="J1996" i="2" s="1"/>
  <c r="J1997" i="2" s="1"/>
  <c r="Q1997" i="2" s="1"/>
  <c r="F4446" i="3" s="1"/>
  <c r="G299" i="1" s="1"/>
  <c r="J1932" i="2"/>
  <c r="J1933" i="2" s="1"/>
  <c r="J1934" i="2" s="1"/>
  <c r="Q1934" i="2" s="1"/>
  <c r="F4443" i="3" s="1"/>
  <c r="G296" i="1" s="1"/>
  <c r="J2058" i="2"/>
  <c r="J2059" i="2" s="1"/>
  <c r="J2060" i="2" s="1"/>
  <c r="Q2060" i="2" s="1"/>
  <c r="F4449" i="3" s="1"/>
  <c r="G302" i="1" s="1"/>
  <c r="J1785" i="2"/>
  <c r="J1786" i="2" s="1"/>
  <c r="J1787" i="2" s="1"/>
  <c r="Q1787" i="2" s="1"/>
  <c r="F4436" i="3" s="1"/>
  <c r="G289" i="1" s="1"/>
  <c r="J1764" i="2"/>
  <c r="J1765" i="2" s="1"/>
  <c r="J1766" i="2" s="1"/>
  <c r="Q1766" i="2" s="1"/>
  <c r="F4435" i="3" s="1"/>
  <c r="G288" i="1" s="1"/>
  <c r="J2079" i="2"/>
  <c r="J2080" i="2" s="1"/>
  <c r="J2081" i="2" s="1"/>
  <c r="Q2081" i="2" s="1"/>
  <c r="F4450" i="3" s="1"/>
  <c r="G303" i="1" s="1"/>
  <c r="J1911" i="2"/>
  <c r="J1912" i="2" s="1"/>
  <c r="J1913" i="2" s="1"/>
  <c r="Q1913" i="2" s="1"/>
  <c r="F4442" i="3" s="1"/>
  <c r="G295" i="1" s="1"/>
  <c r="J2100" i="2"/>
  <c r="J2101" i="2" s="1"/>
  <c r="J2102" i="2" s="1"/>
  <c r="Q2102" i="2" s="1"/>
  <c r="F4451" i="3" s="1"/>
  <c r="G304" i="1" s="1"/>
  <c r="J2121" i="2"/>
  <c r="J2122" i="2" s="1"/>
  <c r="J2123" i="2" s="1"/>
  <c r="Q2123" i="2" s="1"/>
  <c r="F4452" i="3" s="1"/>
  <c r="G305" i="1" s="1"/>
  <c r="J1869" i="2"/>
  <c r="J1870" i="2" s="1"/>
  <c r="J1871" i="2" s="1"/>
  <c r="Q1871" i="2" s="1"/>
  <c r="F4440" i="3" s="1"/>
  <c r="G293" i="1" s="1"/>
  <c r="J1953" i="2"/>
  <c r="J1954" i="2" s="1"/>
  <c r="J1955" i="2" s="1"/>
  <c r="Q1955" i="2" s="1"/>
  <c r="F4444" i="3" s="1"/>
  <c r="G297" i="1" s="1"/>
  <c r="J2016" i="2"/>
  <c r="J2017" i="2" s="1"/>
  <c r="J2018" i="2" s="1"/>
  <c r="Q2018" i="2" s="1"/>
  <c r="F4447" i="3" s="1"/>
  <c r="G300" i="1" s="1"/>
  <c r="J263" i="2"/>
  <c r="J264" i="2" s="1"/>
  <c r="J265" i="2" s="1"/>
  <c r="Q265" i="2" s="1"/>
  <c r="J242" i="2"/>
  <c r="J243" i="2" s="1"/>
  <c r="J244" i="2" s="1"/>
  <c r="Q244" i="2" s="1"/>
  <c r="J221" i="2"/>
  <c r="J222" i="2" s="1"/>
  <c r="J26" i="2"/>
  <c r="J27" i="2" s="1"/>
  <c r="J28" i="2" s="1"/>
  <c r="Q28" i="2" s="1"/>
  <c r="J1483" i="2"/>
  <c r="J1484" i="2" s="1"/>
  <c r="J1485" i="2" s="1"/>
  <c r="Q1485" i="2" s="1"/>
  <c r="F4421" i="3" s="1"/>
  <c r="G194" i="1" s="1"/>
  <c r="J1503" i="2"/>
  <c r="J1504" i="2" s="1"/>
  <c r="J1505" i="2" s="1"/>
  <c r="Q1505" i="2" s="1"/>
  <c r="F4422" i="3" s="1"/>
  <c r="G195" i="1" s="1"/>
  <c r="F4364" i="3"/>
  <c r="H312" i="1"/>
  <c r="H274" i="1"/>
  <c r="H311" i="1"/>
  <c r="H309" i="1" s="1"/>
  <c r="F4357" i="3"/>
  <c r="J350" i="2"/>
  <c r="J351" i="2" s="1"/>
  <c r="C411" i="1"/>
  <c r="C52" i="5" s="1"/>
  <c r="C410" i="1"/>
  <c r="C51" i="5" s="1"/>
  <c r="E27" i="26" l="1"/>
  <c r="F27" i="26" s="1"/>
  <c r="R27" i="26" s="1"/>
  <c r="S27" i="26" s="1"/>
  <c r="T27" i="26" s="1"/>
  <c r="F32" i="29"/>
  <c r="E33" i="27"/>
  <c r="F33" i="27" s="1"/>
  <c r="M33" i="27" s="1"/>
  <c r="N33" i="27" s="1"/>
  <c r="G377" i="1"/>
  <c r="H377" i="1" s="1"/>
  <c r="H369" i="1"/>
  <c r="G350" i="1"/>
  <c r="H350" i="1" s="1"/>
  <c r="H368" i="1"/>
  <c r="G339" i="1"/>
  <c r="H339" i="1" s="1"/>
  <c r="G320" i="1"/>
  <c r="G329" i="1"/>
  <c r="H329" i="1" s="1"/>
  <c r="G319" i="1"/>
  <c r="G327" i="1"/>
  <c r="H327" i="1" s="1"/>
  <c r="H324" i="1" s="1"/>
  <c r="G229" i="1"/>
  <c r="H229" i="1" s="1"/>
  <c r="H170" i="1"/>
  <c r="G165" i="1"/>
  <c r="H165" i="1" s="1"/>
  <c r="H169" i="1"/>
  <c r="G164" i="1"/>
  <c r="H164" i="1" s="1"/>
  <c r="G132" i="1"/>
  <c r="H132" i="1" s="1"/>
  <c r="H154" i="1"/>
  <c r="F4500" i="3"/>
  <c r="G192" i="1" s="1"/>
  <c r="F4501" i="3"/>
  <c r="F4345" i="3"/>
  <c r="H195" i="1"/>
  <c r="H194" i="1"/>
  <c r="H115" i="1"/>
  <c r="H114" i="1" s="1"/>
  <c r="H112" i="1" s="1"/>
  <c r="F20" i="29" s="1"/>
  <c r="H147" i="1"/>
  <c r="Q286" i="2"/>
  <c r="F4339" i="3" s="1"/>
  <c r="G78" i="1" s="1"/>
  <c r="J287" i="2"/>
  <c r="J288" i="2" s="1"/>
  <c r="J289" i="2" s="1"/>
  <c r="Q289" i="2" s="1"/>
  <c r="H378" i="1"/>
  <c r="H305" i="1"/>
  <c r="H304" i="1"/>
  <c r="H301" i="1"/>
  <c r="H303" i="1"/>
  <c r="H291" i="1"/>
  <c r="H345" i="1"/>
  <c r="H335" i="1"/>
  <c r="H150" i="1"/>
  <c r="H348" i="1"/>
  <c r="H124" i="1"/>
  <c r="H121" i="1"/>
  <c r="H295" i="1"/>
  <c r="H344" i="1"/>
  <c r="H288" i="1"/>
  <c r="H290" i="1"/>
  <c r="H155" i="1"/>
  <c r="H156" i="1"/>
  <c r="H231" i="1"/>
  <c r="H123" i="1"/>
  <c r="H230" i="1"/>
  <c r="H137" i="1"/>
  <c r="H289" i="1"/>
  <c r="H292" i="1"/>
  <c r="H234" i="1"/>
  <c r="H232" i="1"/>
  <c r="H341" i="1"/>
  <c r="H151" i="1"/>
  <c r="H346" i="1"/>
  <c r="H128" i="1"/>
  <c r="H127" i="1"/>
  <c r="H300" i="1"/>
  <c r="H297" i="1"/>
  <c r="H302" i="1"/>
  <c r="H294" i="1"/>
  <c r="H362" i="1"/>
  <c r="H149" i="1"/>
  <c r="H120" i="1"/>
  <c r="H130" i="1"/>
  <c r="H293" i="1"/>
  <c r="H296" i="1"/>
  <c r="H160" i="1"/>
  <c r="H158" i="1" s="1"/>
  <c r="H342" i="1"/>
  <c r="H349" i="1"/>
  <c r="H343" i="1"/>
  <c r="H148" i="1"/>
  <c r="H126" i="1"/>
  <c r="H352" i="1"/>
  <c r="H318" i="1"/>
  <c r="H363" i="1"/>
  <c r="H233" i="1"/>
  <c r="H129" i="1"/>
  <c r="H299" i="1"/>
  <c r="H298" i="1"/>
  <c r="H235" i="1"/>
  <c r="H340" i="1"/>
  <c r="H122" i="1"/>
  <c r="H347" i="1"/>
  <c r="H351" i="1"/>
  <c r="H353" i="1"/>
  <c r="H334" i="1"/>
  <c r="H125" i="1"/>
  <c r="H319" i="1"/>
  <c r="H320" i="1"/>
  <c r="H360" i="1"/>
  <c r="H359" i="1"/>
  <c r="F4335" i="3"/>
  <c r="F4338" i="3"/>
  <c r="G138" i="1" s="1"/>
  <c r="F4337" i="3"/>
  <c r="G251" i="1" s="1"/>
  <c r="J223" i="2"/>
  <c r="Q223" i="2" s="1"/>
  <c r="H272" i="1"/>
  <c r="F29" i="29" s="1"/>
  <c r="F4363" i="3"/>
  <c r="F4362" i="3"/>
  <c r="F4361" i="3"/>
  <c r="F4360" i="3"/>
  <c r="F4359" i="3"/>
  <c r="F4358" i="3"/>
  <c r="J352" i="2"/>
  <c r="Q352" i="2" s="1"/>
  <c r="F4367" i="3" s="1"/>
  <c r="G193" i="1" s="1"/>
  <c r="G29" i="29" l="1"/>
  <c r="L29" i="29" s="1"/>
  <c r="H365" i="1"/>
  <c r="G32" i="29"/>
  <c r="M32" i="29" s="1"/>
  <c r="G20" i="29"/>
  <c r="L20" i="29" s="1"/>
  <c r="H167" i="1"/>
  <c r="F25" i="29" s="1"/>
  <c r="H162" i="1"/>
  <c r="F24" i="29" s="1"/>
  <c r="H373" i="1"/>
  <c r="H371" i="1" s="1"/>
  <c r="F31" i="29" s="1"/>
  <c r="H356" i="1"/>
  <c r="H332" i="1"/>
  <c r="H314" i="1"/>
  <c r="H278" i="1"/>
  <c r="H215" i="1"/>
  <c r="H153" i="1"/>
  <c r="H146" i="1"/>
  <c r="H119" i="1"/>
  <c r="F22" i="29" s="1"/>
  <c r="E20" i="26"/>
  <c r="F20" i="26" s="1"/>
  <c r="L20" i="26" s="1"/>
  <c r="E21" i="27"/>
  <c r="F21" i="27" s="1"/>
  <c r="E24" i="26"/>
  <c r="F24" i="26" s="1"/>
  <c r="R24" i="26" s="1"/>
  <c r="S24" i="26" s="1"/>
  <c r="T24" i="26" s="1"/>
  <c r="E30" i="27"/>
  <c r="F30" i="27" s="1"/>
  <c r="H139" i="1"/>
  <c r="G144" i="1"/>
  <c r="H144" i="1" s="1"/>
  <c r="H192" i="1"/>
  <c r="H143" i="1"/>
  <c r="H141" i="1"/>
  <c r="H140" i="1"/>
  <c r="H142" i="1"/>
  <c r="H193" i="1"/>
  <c r="H26" i="1"/>
  <c r="H25" i="1"/>
  <c r="H28" i="1"/>
  <c r="H27" i="1"/>
  <c r="H251" i="1"/>
  <c r="E25" i="27"/>
  <c r="F25" i="27" s="1"/>
  <c r="H24" i="1"/>
  <c r="H78" i="1"/>
  <c r="H76" i="1" s="1"/>
  <c r="H68" i="1" s="1"/>
  <c r="F17" i="29" s="1"/>
  <c r="H138" i="1"/>
  <c r="F4334" i="3"/>
  <c r="F4336" i="3"/>
  <c r="G246" i="1" s="1"/>
  <c r="H30" i="1"/>
  <c r="E26" i="27" l="1"/>
  <c r="F26" i="27" s="1"/>
  <c r="M26" i="27" s="1"/>
  <c r="N26" i="27" s="1"/>
  <c r="G24" i="29"/>
  <c r="M24" i="29" s="1"/>
  <c r="H22" i="1"/>
  <c r="H20" i="1" s="1"/>
  <c r="G25" i="29"/>
  <c r="M25" i="29" s="1"/>
  <c r="G17" i="29"/>
  <c r="I17" i="29" s="1"/>
  <c r="G22" i="29"/>
  <c r="M22" i="29" s="1"/>
  <c r="G31" i="29"/>
  <c r="M31" i="29" s="1"/>
  <c r="M25" i="27"/>
  <c r="N25" i="27" s="1"/>
  <c r="L21" i="27"/>
  <c r="N21" i="27" s="1"/>
  <c r="F23" i="29"/>
  <c r="L30" i="27"/>
  <c r="N30" i="27" s="1"/>
  <c r="H276" i="1"/>
  <c r="F30" i="29" s="1"/>
  <c r="E23" i="27"/>
  <c r="F23" i="27" s="1"/>
  <c r="H135" i="1"/>
  <c r="F21" i="29" s="1"/>
  <c r="E18" i="26"/>
  <c r="F18" i="26" s="1"/>
  <c r="P18" i="26" s="1"/>
  <c r="E19" i="27"/>
  <c r="F19" i="27" s="1"/>
  <c r="N20" i="26"/>
  <c r="J20" i="26"/>
  <c r="K20" i="26" s="1"/>
  <c r="M20" i="26" s="1"/>
  <c r="P20" i="26"/>
  <c r="E24" i="27"/>
  <c r="F24" i="27" s="1"/>
  <c r="E17" i="26"/>
  <c r="F17" i="26" s="1"/>
  <c r="H17" i="26" s="1"/>
  <c r="I17" i="26" s="1"/>
  <c r="E18" i="27"/>
  <c r="F18" i="27" s="1"/>
  <c r="E22" i="27"/>
  <c r="F22" i="27" s="1"/>
  <c r="H246" i="1"/>
  <c r="H244" i="1" s="1"/>
  <c r="H213" i="1" s="1"/>
  <c r="F28" i="29" s="1"/>
  <c r="F11" i="29" l="1"/>
  <c r="G11" i="29" s="1"/>
  <c r="G30" i="29"/>
  <c r="L30" i="29" s="1"/>
  <c r="G28" i="29"/>
  <c r="L28" i="29" s="1"/>
  <c r="G21" i="29"/>
  <c r="L21" i="29" s="1"/>
  <c r="G23" i="29"/>
  <c r="M23" i="29" s="1"/>
  <c r="M24" i="27"/>
  <c r="N24" i="27" s="1"/>
  <c r="M23" i="27"/>
  <c r="N23" i="27" s="1"/>
  <c r="L19" i="27"/>
  <c r="N19" i="27" s="1"/>
  <c r="I18" i="27"/>
  <c r="N18" i="27" s="1"/>
  <c r="L22" i="27"/>
  <c r="N22" i="27" s="1"/>
  <c r="O20" i="26"/>
  <c r="Q20" i="26" s="1"/>
  <c r="S20" i="26" s="1"/>
  <c r="T20" i="26" s="1"/>
  <c r="E13" i="26"/>
  <c r="F13" i="26" s="1"/>
  <c r="E12" i="27"/>
  <c r="F12" i="27" s="1"/>
  <c r="J17" i="26"/>
  <c r="K17" i="26" s="1"/>
  <c r="M17" i="26" s="1"/>
  <c r="O17" i="26" s="1"/>
  <c r="Q17" i="26" s="1"/>
  <c r="S17" i="26" s="1"/>
  <c r="T17" i="26" s="1"/>
  <c r="Q18" i="26"/>
  <c r="S18" i="26" s="1"/>
  <c r="T18" i="26" s="1"/>
  <c r="M11" i="29" l="1"/>
  <c r="H11" i="29"/>
  <c r="M12" i="27"/>
  <c r="H12" i="27"/>
  <c r="E23" i="26"/>
  <c r="F23" i="26" s="1"/>
  <c r="R23" i="26" s="1"/>
  <c r="E29" i="27"/>
  <c r="F29" i="27" s="1"/>
  <c r="H13" i="26"/>
  <c r="J13" i="26"/>
  <c r="A47" i="1"/>
  <c r="N12" i="27" l="1"/>
  <c r="L29" i="27"/>
  <c r="N29" i="27" s="1"/>
  <c r="P23" i="26"/>
  <c r="Q23" i="26" s="1"/>
  <c r="S23" i="26" s="1"/>
  <c r="T23" i="26" s="1"/>
  <c r="J12" i="26"/>
  <c r="I13" i="26"/>
  <c r="A48" i="1"/>
  <c r="K13" i="26" l="1"/>
  <c r="A49" i="1"/>
  <c r="M13" i="26" l="1"/>
  <c r="A50" i="1"/>
  <c r="O13" i="26" l="1"/>
  <c r="Q13" i="26" s="1"/>
  <c r="A51" i="1"/>
  <c r="S13" i="26" l="1"/>
  <c r="A55" i="1"/>
  <c r="T13" i="26" l="1"/>
  <c r="A56" i="1"/>
  <c r="A60" i="1" s="1"/>
  <c r="A64" i="1" s="1"/>
  <c r="A65" i="1" s="1"/>
  <c r="A66" i="1" s="1"/>
  <c r="A72" i="1" l="1"/>
  <c r="A73" i="1" s="1"/>
  <c r="A74" i="1" s="1"/>
  <c r="A78" i="1" l="1"/>
  <c r="A83" i="1" s="1"/>
  <c r="A84" i="1" s="1"/>
  <c r="A85" i="1" s="1"/>
  <c r="A86" i="1" s="1"/>
  <c r="A87" i="1" s="1"/>
  <c r="A88" i="1" s="1"/>
  <c r="A94" i="1" s="1"/>
  <c r="A95" i="1" s="1"/>
  <c r="A99" i="1" s="1"/>
  <c r="A100" i="1" s="1"/>
  <c r="A101" i="1" s="1"/>
  <c r="A102" i="1" s="1"/>
  <c r="A103" i="1" s="1"/>
  <c r="A104" i="1" l="1"/>
  <c r="A105" i="1" s="1"/>
  <c r="F167" i="4"/>
  <c r="A109" i="1" l="1"/>
  <c r="G319" i="2"/>
  <c r="I319" i="2" s="1"/>
  <c r="I329" i="2" s="1"/>
  <c r="J330" i="2" s="1"/>
  <c r="J331" i="2" s="1"/>
  <c r="H176" i="1"/>
  <c r="A110" i="1" l="1"/>
  <c r="A115" i="1" s="1"/>
  <c r="F4366" i="3"/>
  <c r="J332" i="2"/>
  <c r="Q332" i="2" s="1"/>
  <c r="F4365" i="3" s="1"/>
  <c r="G177" i="1" s="1"/>
  <c r="H177" i="1" l="1"/>
  <c r="H172" i="1" s="1"/>
  <c r="H117" i="1" l="1"/>
  <c r="F26" i="29"/>
  <c r="A120" i="1"/>
  <c r="A121" i="1" s="1"/>
  <c r="A122" i="1" s="1"/>
  <c r="A123" i="1" s="1"/>
  <c r="A124" i="1" s="1"/>
  <c r="A125" i="1" s="1"/>
  <c r="A126" i="1" s="1"/>
  <c r="A127" i="1" s="1"/>
  <c r="A128" i="1" s="1"/>
  <c r="A129" i="1" s="1"/>
  <c r="A130" i="1" s="1"/>
  <c r="A131" i="1" s="1"/>
  <c r="A132" i="1" s="1"/>
  <c r="A133" i="1" s="1"/>
  <c r="G26" i="29" l="1"/>
  <c r="L26" i="29" s="1"/>
  <c r="E32" i="27"/>
  <c r="F32" i="27" s="1"/>
  <c r="E21" i="26"/>
  <c r="F21" i="26" s="1"/>
  <c r="E27" i="27"/>
  <c r="F27" i="27" s="1"/>
  <c r="A137" i="1"/>
  <c r="A138" i="1" s="1"/>
  <c r="A139" i="1" s="1"/>
  <c r="A140" i="1" s="1"/>
  <c r="A141" i="1" s="1"/>
  <c r="A142" i="1" s="1"/>
  <c r="A143" i="1" s="1"/>
  <c r="A144" i="1" s="1"/>
  <c r="E26" i="26"/>
  <c r="F26" i="26" s="1"/>
  <c r="P26" i="26" s="1"/>
  <c r="Q26" i="26" s="1"/>
  <c r="S26" i="26" s="1"/>
  <c r="T26" i="26" s="1"/>
  <c r="A148" i="1"/>
  <c r="A149" i="1"/>
  <c r="L27" i="27" l="1"/>
  <c r="N27" i="27" s="1"/>
  <c r="M32" i="27"/>
  <c r="N32" i="27" s="1"/>
  <c r="R21" i="26"/>
  <c r="P21" i="26"/>
  <c r="A150" i="1"/>
  <c r="Q21" i="26" l="1"/>
  <c r="A151" i="1"/>
  <c r="S21" i="26" l="1"/>
  <c r="A147" i="1"/>
  <c r="T21" i="26" l="1"/>
  <c r="A154" i="1"/>
  <c r="A155" i="1" s="1"/>
  <c r="A156" i="1" s="1"/>
  <c r="A159" i="1" s="1"/>
  <c r="A160" i="1" s="1"/>
  <c r="A164" i="1" s="1"/>
  <c r="A165" i="1" s="1"/>
  <c r="A169" i="1" s="1"/>
  <c r="A170" i="1" s="1"/>
  <c r="A174" i="1" s="1"/>
  <c r="A175" i="1" l="1"/>
  <c r="A176" i="1" s="1"/>
  <c r="J62" i="12"/>
  <c r="F194" i="4" s="1"/>
  <c r="J80" i="12"/>
  <c r="F212" i="4" s="1"/>
  <c r="J66" i="12"/>
  <c r="F198" i="4" s="1"/>
  <c r="J68" i="12"/>
  <c r="F200" i="4" s="1"/>
  <c r="J81" i="12"/>
  <c r="F213" i="4" s="1"/>
  <c r="J78" i="12"/>
  <c r="F210" i="4" s="1"/>
  <c r="J74" i="12"/>
  <c r="F206" i="4" s="1"/>
  <c r="J71" i="12"/>
  <c r="F203" i="4" s="1"/>
  <c r="J84" i="12"/>
  <c r="F216" i="4" s="1"/>
  <c r="J86" i="12"/>
  <c r="F218" i="4" s="1"/>
  <c r="J83" i="12"/>
  <c r="F215" i="4" s="1"/>
  <c r="J73" i="12"/>
  <c r="F205" i="4" s="1"/>
  <c r="J64" i="12"/>
  <c r="F196" i="4" s="1"/>
  <c r="J85" i="12"/>
  <c r="F217" i="4" s="1"/>
  <c r="J87" i="12"/>
  <c r="F219" i="4" s="1"/>
  <c r="J72" i="12"/>
  <c r="F204" i="4" s="1"/>
  <c r="J77" i="12"/>
  <c r="F209" i="4" s="1"/>
  <c r="J75" i="12"/>
  <c r="F207" i="4" s="1"/>
  <c r="J70" i="12"/>
  <c r="F202" i="4" s="1"/>
  <c r="J63" i="12"/>
  <c r="F195" i="4" s="1"/>
  <c r="J76" i="12"/>
  <c r="F208" i="4" s="1"/>
  <c r="G1218" i="2" s="1"/>
  <c r="I1218" i="2" s="1"/>
  <c r="I1231" i="2" s="1"/>
  <c r="J1232" i="2" s="1"/>
  <c r="J1233" i="2" s="1"/>
  <c r="J1234" i="2" s="1"/>
  <c r="Q1234" i="2" s="1"/>
  <c r="F4409" i="3" s="1"/>
  <c r="J79" i="12"/>
  <c r="F211" i="4" s="1"/>
  <c r="J69" i="12"/>
  <c r="F201" i="4" s="1"/>
  <c r="J65" i="12"/>
  <c r="F197" i="4" s="1"/>
  <c r="J67" i="12"/>
  <c r="F199" i="4" s="1"/>
  <c r="J82" i="12"/>
  <c r="F214" i="4" s="1"/>
  <c r="A177" i="1" l="1"/>
  <c r="G1239" i="2"/>
  <c r="I1239" i="2" s="1"/>
  <c r="I1252" i="2" s="1"/>
  <c r="J1253" i="2" s="1"/>
  <c r="J1254" i="2" s="1"/>
  <c r="J1255" i="2" s="1"/>
  <c r="Q1255" i="2" s="1"/>
  <c r="F4410" i="3" s="1"/>
  <c r="G1155" i="2"/>
  <c r="I1155" i="2" s="1"/>
  <c r="I1168" i="2" s="1"/>
  <c r="J1169" i="2" s="1"/>
  <c r="J1170" i="2" s="1"/>
  <c r="J1171" i="2" s="1"/>
  <c r="Q1171" i="2" s="1"/>
  <c r="F4406" i="3" s="1"/>
  <c r="G987" i="2"/>
  <c r="I987" i="2" s="1"/>
  <c r="I1000" i="2" s="1"/>
  <c r="J1001" i="2" s="1"/>
  <c r="J1002" i="2" s="1"/>
  <c r="J1003" i="2" s="1"/>
  <c r="Q1003" i="2" s="1"/>
  <c r="F4398" i="3" s="1"/>
  <c r="G1281" i="2"/>
  <c r="I1281" i="2" s="1"/>
  <c r="I1294" i="2" s="1"/>
  <c r="J1295" i="2" s="1"/>
  <c r="J1296" i="2" s="1"/>
  <c r="J1297" i="2" s="1"/>
  <c r="Q1297" i="2" s="1"/>
  <c r="F4412" i="3" s="1"/>
  <c r="G1344" i="2"/>
  <c r="I1344" i="2" s="1"/>
  <c r="I1357" i="2" s="1"/>
  <c r="J1358" i="2" s="1"/>
  <c r="J1359" i="2" s="1"/>
  <c r="J1360" i="2" s="1"/>
  <c r="Q1360" i="2" s="1"/>
  <c r="F4415" i="3" s="1"/>
  <c r="G207" i="1" s="1"/>
  <c r="G1092" i="2"/>
  <c r="I1092" i="2" s="1"/>
  <c r="I1105" i="2" s="1"/>
  <c r="J1106" i="2" s="1"/>
  <c r="J1107" i="2" s="1"/>
  <c r="J1108" i="2" s="1"/>
  <c r="Q1108" i="2" s="1"/>
  <c r="F4403" i="3" s="1"/>
  <c r="G1407" i="2"/>
  <c r="I1407" i="2" s="1"/>
  <c r="I1420" i="2" s="1"/>
  <c r="J1421" i="2" s="1"/>
  <c r="J1422" i="2" s="1"/>
  <c r="J1423" i="2" s="1"/>
  <c r="Q1423" i="2" s="1"/>
  <c r="F4418" i="3" s="1"/>
  <c r="G210" i="1" s="1"/>
  <c r="G1302" i="2"/>
  <c r="I1302" i="2" s="1"/>
  <c r="I1315" i="2" s="1"/>
  <c r="J1316" i="2" s="1"/>
  <c r="J1317" i="2" s="1"/>
  <c r="J1318" i="2" s="1"/>
  <c r="Q1318" i="2" s="1"/>
  <c r="F4413" i="3" s="1"/>
  <c r="G1260" i="2"/>
  <c r="I1260" i="2" s="1"/>
  <c r="I1273" i="2" s="1"/>
  <c r="J1274" i="2" s="1"/>
  <c r="J1275" i="2" s="1"/>
  <c r="J1276" i="2" s="1"/>
  <c r="Q1276" i="2" s="1"/>
  <c r="F4411" i="3" s="1"/>
  <c r="G1029" i="2"/>
  <c r="I1029" i="2" s="1"/>
  <c r="I1042" i="2" s="1"/>
  <c r="J1043" i="2" s="1"/>
  <c r="J1044" i="2" s="1"/>
  <c r="J1045" i="2" s="1"/>
  <c r="Q1045" i="2" s="1"/>
  <c r="F4400" i="3" s="1"/>
  <c r="G1113" i="2"/>
  <c r="I1113" i="2" s="1"/>
  <c r="I1126" i="2" s="1"/>
  <c r="J1127" i="2" s="1"/>
  <c r="J1128" i="2" s="1"/>
  <c r="J1129" i="2" s="1"/>
  <c r="Q1129" i="2" s="1"/>
  <c r="F4404" i="3" s="1"/>
  <c r="G1428" i="2"/>
  <c r="I1428" i="2" s="1"/>
  <c r="I1441" i="2" s="1"/>
  <c r="J1442" i="2" s="1"/>
  <c r="J1443" i="2" s="1"/>
  <c r="J1444" i="2" s="1"/>
  <c r="Q1444" i="2" s="1"/>
  <c r="F4419" i="3" s="1"/>
  <c r="G211" i="1" s="1"/>
  <c r="G1386" i="2"/>
  <c r="I1386" i="2" s="1"/>
  <c r="I1399" i="2" s="1"/>
  <c r="J1400" i="2" s="1"/>
  <c r="J1401" i="2" s="1"/>
  <c r="J1402" i="2" s="1"/>
  <c r="Q1402" i="2" s="1"/>
  <c r="F4417" i="3" s="1"/>
  <c r="G209" i="1" s="1"/>
  <c r="G1365" i="2"/>
  <c r="I1365" i="2" s="1"/>
  <c r="I1378" i="2" s="1"/>
  <c r="J1379" i="2" s="1"/>
  <c r="J1380" i="2" s="1"/>
  <c r="J1381" i="2" s="1"/>
  <c r="Q1381" i="2" s="1"/>
  <c r="F4416" i="3" s="1"/>
  <c r="G208" i="1" s="1"/>
  <c r="G1323" i="2"/>
  <c r="I1323" i="2" s="1"/>
  <c r="I1336" i="2" s="1"/>
  <c r="J1337" i="2" s="1"/>
  <c r="J1338" i="2" s="1"/>
  <c r="J1339" i="2" s="1"/>
  <c r="Q1339" i="2" s="1"/>
  <c r="F4414" i="3" s="1"/>
  <c r="G206" i="1" s="1"/>
  <c r="G1197" i="2"/>
  <c r="I1197" i="2" s="1"/>
  <c r="I1210" i="2" s="1"/>
  <c r="J1211" i="2" s="1"/>
  <c r="J1212" i="2" s="1"/>
  <c r="J1213" i="2" s="1"/>
  <c r="Q1213" i="2" s="1"/>
  <c r="F4408" i="3" s="1"/>
  <c r="G1176" i="2"/>
  <c r="I1176" i="2" s="1"/>
  <c r="I1189" i="2" s="1"/>
  <c r="J1190" i="2" s="1"/>
  <c r="J1191" i="2" s="1"/>
  <c r="J1192" i="2" s="1"/>
  <c r="Q1192" i="2" s="1"/>
  <c r="F4407" i="3" s="1"/>
  <c r="G945" i="2"/>
  <c r="I945" i="2" s="1"/>
  <c r="I958" i="2" s="1"/>
  <c r="J959" i="2" s="1"/>
  <c r="J960" i="2" s="1"/>
  <c r="J961" i="2" s="1"/>
  <c r="Q961" i="2" s="1"/>
  <c r="F4396" i="3" s="1"/>
  <c r="G1134" i="2"/>
  <c r="I1134" i="2" s="1"/>
  <c r="I1147" i="2" s="1"/>
  <c r="J1148" i="2" s="1"/>
  <c r="J1149" i="2" s="1"/>
  <c r="J1150" i="2" s="1"/>
  <c r="Q1150" i="2" s="1"/>
  <c r="F4405" i="3" s="1"/>
  <c r="G966" i="2"/>
  <c r="I966" i="2" s="1"/>
  <c r="I979" i="2" s="1"/>
  <c r="J980" i="2" s="1"/>
  <c r="J981" i="2" s="1"/>
  <c r="J982" i="2" s="1"/>
  <c r="Q982" i="2" s="1"/>
  <c r="F4397" i="3" s="1"/>
  <c r="G1071" i="2"/>
  <c r="I1071" i="2" s="1"/>
  <c r="I1084" i="2" s="1"/>
  <c r="J1085" i="2" s="1"/>
  <c r="J1086" i="2" s="1"/>
  <c r="J1087" i="2" s="1"/>
  <c r="Q1087" i="2" s="1"/>
  <c r="F4402" i="3" s="1"/>
  <c r="G1050" i="2"/>
  <c r="I1050" i="2" s="1"/>
  <c r="I1063" i="2" s="1"/>
  <c r="J1064" i="2" s="1"/>
  <c r="J1065" i="2" s="1"/>
  <c r="J1066" i="2" s="1"/>
  <c r="Q1066" i="2" s="1"/>
  <c r="F4401" i="3" s="1"/>
  <c r="G1008" i="2"/>
  <c r="I1008" i="2" s="1"/>
  <c r="I1021" i="2" s="1"/>
  <c r="J1022" i="2" s="1"/>
  <c r="J1023" i="2" s="1"/>
  <c r="J1024" i="2" s="1"/>
  <c r="Q1024" i="2" s="1"/>
  <c r="F4399" i="3" s="1"/>
  <c r="G903" i="2"/>
  <c r="I903" i="2" s="1"/>
  <c r="I916" i="2" s="1"/>
  <c r="J917" i="2" s="1"/>
  <c r="J918" i="2" s="1"/>
  <c r="J919" i="2" s="1"/>
  <c r="Q919" i="2" s="1"/>
  <c r="F4394" i="3" s="1"/>
  <c r="G924" i="2"/>
  <c r="I924" i="2" s="1"/>
  <c r="I937" i="2" s="1"/>
  <c r="J938" i="2" s="1"/>
  <c r="J939" i="2" s="1"/>
  <c r="J940" i="2" s="1"/>
  <c r="Q940" i="2" s="1"/>
  <c r="F4395" i="3" s="1"/>
  <c r="A178" i="1" l="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H210" i="1"/>
  <c r="H211" i="1"/>
  <c r="H209" i="1"/>
  <c r="H208" i="1"/>
  <c r="H207" i="1"/>
  <c r="H206" i="1"/>
  <c r="H204" i="1" l="1"/>
  <c r="F27" i="29" s="1"/>
  <c r="G27" i="29" l="1"/>
  <c r="M27" i="29"/>
  <c r="E22" i="26"/>
  <c r="E28" i="27"/>
  <c r="F28" i="27" s="1"/>
  <c r="F4508" i="3"/>
  <c r="F4507" i="3"/>
  <c r="F4506" i="3"/>
  <c r="M28" i="27" l="1"/>
  <c r="N28" i="27" s="1"/>
  <c r="F22" i="26"/>
  <c r="R22" i="26" l="1"/>
  <c r="S22" i="26" s="1"/>
  <c r="I17" i="16"/>
  <c r="I45" i="16" s="1"/>
  <c r="I9" i="16" s="1"/>
  <c r="F4355" i="3" s="1"/>
  <c r="R12" i="26" l="1"/>
  <c r="A206" i="1"/>
  <c r="T22" i="26"/>
  <c r="G14" i="1"/>
  <c r="H14" i="1" s="1"/>
  <c r="H13" i="1" s="1"/>
  <c r="F10" i="29" s="1"/>
  <c r="H16" i="1" l="1"/>
  <c r="E10" i="27"/>
  <c r="A207" i="1"/>
  <c r="A208" i="1" s="1"/>
  <c r="A209" i="1" s="1"/>
  <c r="A210" i="1" s="1"/>
  <c r="A211"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40" i="1" s="1"/>
  <c r="A241" i="1" s="1"/>
  <c r="A242" i="1" s="1"/>
  <c r="A246" i="1" s="1"/>
  <c r="A247" i="1" s="1"/>
  <c r="A248" i="1" s="1"/>
  <c r="A249" i="1" s="1"/>
  <c r="A250" i="1" s="1"/>
  <c r="A251" i="1" s="1"/>
  <c r="B4" i="24"/>
  <c r="B2" i="24"/>
  <c r="B3" i="24"/>
  <c r="E10" i="26" l="1"/>
  <c r="F10" i="27"/>
  <c r="A252" i="1"/>
  <c r="A264" i="1"/>
  <c r="L10" i="27" l="1"/>
  <c r="H10" i="27"/>
  <c r="M10" i="27"/>
  <c r="I10" i="27"/>
  <c r="J10" i="27"/>
  <c r="K10" i="27"/>
  <c r="F10" i="26"/>
  <c r="A265" i="1"/>
  <c r="A255" i="1"/>
  <c r="A266" i="1"/>
  <c r="A267" i="1"/>
  <c r="N10" i="27" l="1"/>
  <c r="A268" i="1"/>
  <c r="A256" i="1"/>
  <c r="A257" i="1" l="1"/>
  <c r="A258" i="1" s="1"/>
  <c r="A259" i="1" s="1"/>
  <c r="A260" i="1" s="1"/>
  <c r="A269" i="1" l="1"/>
  <c r="A270" i="1" l="1"/>
  <c r="A263" i="1" l="1"/>
  <c r="A274"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11" i="1" s="1"/>
  <c r="A312" i="1" s="1"/>
  <c r="A316" i="1" s="1"/>
  <c r="A317" i="1" s="1"/>
  <c r="A318" i="1" s="1"/>
  <c r="A319" i="1" s="1"/>
  <c r="A320" i="1" s="1"/>
  <c r="A321" i="1" s="1"/>
  <c r="A322" i="1" s="1"/>
  <c r="A326" i="1" s="1"/>
  <c r="A327" i="1" s="1"/>
  <c r="A328" i="1" s="1"/>
  <c r="A329" i="1" s="1"/>
  <c r="A330"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8" i="1" s="1"/>
  <c r="A359" i="1" s="1"/>
  <c r="A360" i="1" s="1"/>
  <c r="A361" i="1" s="1"/>
  <c r="A362" i="1" s="1"/>
  <c r="A363" i="1" s="1"/>
  <c r="A367" i="1" l="1"/>
  <c r="A368" i="1" s="1"/>
  <c r="A369" i="1" s="1"/>
  <c r="A375" i="1" l="1"/>
  <c r="A376" i="1" s="1"/>
  <c r="A377" i="1" s="1"/>
  <c r="A378" i="1" s="1"/>
  <c r="A381" i="1" s="1"/>
  <c r="A385" i="1" s="1"/>
  <c r="A396" i="1" s="1"/>
  <c r="E25" i="26" l="1"/>
  <c r="F25" i="26" s="1"/>
  <c r="E31" i="27" l="1"/>
  <c r="F31" i="27" s="1"/>
  <c r="H387" i="1"/>
  <c r="H391" i="1" s="1"/>
  <c r="N25" i="26"/>
  <c r="H25" i="26"/>
  <c r="F12" i="26"/>
  <c r="P25" i="26"/>
  <c r="L25" i="26"/>
  <c r="E12" i="26"/>
  <c r="L31" i="27" l="1"/>
  <c r="P12" i="26"/>
  <c r="P10" i="26" s="1"/>
  <c r="N12" i="26"/>
  <c r="N10" i="26" s="1"/>
  <c r="F4505" i="3"/>
  <c r="G396" i="1" s="1"/>
  <c r="H396" i="1" s="1"/>
  <c r="H395" i="1" s="1"/>
  <c r="L12" i="26"/>
  <c r="L10" i="26" s="1"/>
  <c r="H12" i="26"/>
  <c r="H10" i="26" s="1"/>
  <c r="I25" i="26"/>
  <c r="R10" i="26"/>
  <c r="J10" i="26"/>
  <c r="N31" i="27" l="1"/>
  <c r="H393" i="1"/>
  <c r="E35" i="27"/>
  <c r="H399" i="1"/>
  <c r="H403" i="1" s="1"/>
  <c r="K25" i="26"/>
  <c r="I12" i="26"/>
  <c r="I10" i="26"/>
  <c r="K10" i="26" s="1"/>
  <c r="M10" i="26" s="1"/>
  <c r="O10" i="26" s="1"/>
  <c r="Q10" i="26" s="1"/>
  <c r="S10" i="26" s="1"/>
  <c r="T10" i="26" s="1"/>
  <c r="H405" i="1" l="1"/>
  <c r="B1" i="24" s="1"/>
  <c r="B5" i="24" s="1"/>
  <c r="B7" i="24" s="1"/>
  <c r="E29" i="26"/>
  <c r="F29" i="26" s="1"/>
  <c r="F33" i="29"/>
  <c r="K12" i="26"/>
  <c r="M25" i="26"/>
  <c r="F35" i="27"/>
  <c r="E37" i="27"/>
  <c r="E31" i="26" l="1"/>
  <c r="L35" i="27"/>
  <c r="L37" i="27" s="1"/>
  <c r="H35" i="27"/>
  <c r="H37" i="27" s="1"/>
  <c r="M35" i="27"/>
  <c r="I35" i="27"/>
  <c r="I37" i="27" s="1"/>
  <c r="J35" i="27"/>
  <c r="J37" i="27" s="1"/>
  <c r="K35" i="27"/>
  <c r="K37" i="27" s="1"/>
  <c r="G33" i="29"/>
  <c r="F34" i="29"/>
  <c r="F37" i="27"/>
  <c r="F31" i="26"/>
  <c r="R29" i="26"/>
  <c r="L29" i="26"/>
  <c r="N29" i="26"/>
  <c r="J29" i="26"/>
  <c r="P29" i="26"/>
  <c r="H29" i="26"/>
  <c r="M12" i="26"/>
  <c r="O25" i="26"/>
  <c r="E12" i="29" l="1"/>
  <c r="E18" i="29"/>
  <c r="E14" i="29"/>
  <c r="E19" i="29"/>
  <c r="E16" i="29"/>
  <c r="E13" i="29"/>
  <c r="E15" i="29"/>
  <c r="E29" i="29"/>
  <c r="E20" i="29"/>
  <c r="E32" i="29"/>
  <c r="E25" i="29"/>
  <c r="E22" i="29"/>
  <c r="E24" i="29"/>
  <c r="E17" i="29"/>
  <c r="E31" i="29"/>
  <c r="E11" i="29"/>
  <c r="E28" i="29"/>
  <c r="E21" i="29"/>
  <c r="E30" i="29"/>
  <c r="E23" i="29"/>
  <c r="E26" i="29"/>
  <c r="E27" i="29"/>
  <c r="E10" i="29"/>
  <c r="E33" i="29"/>
  <c r="L33" i="29"/>
  <c r="L34" i="29" s="1"/>
  <c r="H33" i="29"/>
  <c r="H34" i="29" s="1"/>
  <c r="I33" i="29"/>
  <c r="I34" i="29" s="1"/>
  <c r="J33" i="29"/>
  <c r="J34" i="29" s="1"/>
  <c r="K33" i="29"/>
  <c r="K34" i="29" s="1"/>
  <c r="M33" i="29"/>
  <c r="M34" i="29" s="1"/>
  <c r="G34" i="29"/>
  <c r="G33" i="27"/>
  <c r="G17" i="27"/>
  <c r="G13" i="27"/>
  <c r="G15" i="27"/>
  <c r="G16" i="27"/>
  <c r="G14" i="27"/>
  <c r="G20" i="27"/>
  <c r="G26" i="27"/>
  <c r="G30" i="27"/>
  <c r="G21" i="27"/>
  <c r="G25" i="27"/>
  <c r="G23" i="27"/>
  <c r="G18" i="27"/>
  <c r="G22" i="27"/>
  <c r="G24" i="27"/>
  <c r="G19" i="27"/>
  <c r="G12" i="27"/>
  <c r="G29" i="27"/>
  <c r="G32" i="27"/>
  <c r="G27" i="27"/>
  <c r="G28" i="27"/>
  <c r="G10" i="27"/>
  <c r="G31" i="27"/>
  <c r="G35" i="27"/>
  <c r="N35" i="27"/>
  <c r="M37" i="27"/>
  <c r="N37" i="27" s="1"/>
  <c r="G24" i="26"/>
  <c r="G20" i="26"/>
  <c r="G21" i="26"/>
  <c r="G26" i="26"/>
  <c r="G23" i="26"/>
  <c r="G18" i="26"/>
  <c r="G10" i="26"/>
  <c r="G22" i="26"/>
  <c r="G13" i="26"/>
  <c r="G27" i="26"/>
  <c r="G17" i="26"/>
  <c r="G16" i="26"/>
  <c r="G19" i="26"/>
  <c r="G25" i="26"/>
  <c r="G12" i="26"/>
  <c r="N31" i="26"/>
  <c r="G29" i="26"/>
  <c r="O12" i="26"/>
  <c r="Q25" i="26"/>
  <c r="R31" i="26"/>
  <c r="J31" i="26"/>
  <c r="P31" i="26"/>
  <c r="I29" i="26"/>
  <c r="I31" i="26" s="1"/>
  <c r="H31" i="26"/>
  <c r="L31" i="26"/>
  <c r="G31" i="26" l="1"/>
  <c r="G37" i="27"/>
  <c r="K29" i="26"/>
  <c r="S25" i="26"/>
  <c r="Q12" i="26"/>
  <c r="K31" i="26" l="1"/>
  <c r="M29" i="26"/>
  <c r="T25" i="26"/>
  <c r="S12" i="26"/>
  <c r="T12" i="26" s="1"/>
  <c r="M31" i="26" l="1"/>
  <c r="O29" i="26"/>
  <c r="O31" i="26" l="1"/>
  <c r="Q29" i="26"/>
  <c r="Q31" i="26" l="1"/>
  <c r="S29" i="26"/>
  <c r="T29" i="26" l="1"/>
  <c r="S31" i="26"/>
  <c r="T31" i="26" s="1"/>
</calcChain>
</file>

<file path=xl/sharedStrings.xml><?xml version="1.0" encoding="utf-8"?>
<sst xmlns="http://schemas.openxmlformats.org/spreadsheetml/2006/main" count="19998" uniqueCount="5558">
  <si>
    <t>Emissão:</t>
  </si>
  <si>
    <t>Resp. Técnico:</t>
  </si>
  <si>
    <t>Carlos Wieck</t>
  </si>
  <si>
    <t>Rev. 00</t>
  </si>
  <si>
    <t>ORÇAMENTO - PROJETO BÁSICO</t>
  </si>
  <si>
    <t>CAU-SP Nº</t>
  </si>
  <si>
    <t>A 116.079-6</t>
  </si>
  <si>
    <t>data base:</t>
  </si>
  <si>
    <t>RRT Nº</t>
  </si>
  <si>
    <t>ITEM</t>
  </si>
  <si>
    <t>REF</t>
  </si>
  <si>
    <t>CÓDIGO</t>
  </si>
  <si>
    <t>DESCRIÇÃO</t>
  </si>
  <si>
    <t>UNIDADE</t>
  </si>
  <si>
    <t>QTD</t>
  </si>
  <si>
    <t>P. UNIT.</t>
  </si>
  <si>
    <t>P. TOTAL</t>
  </si>
  <si>
    <t>(A)</t>
  </si>
  <si>
    <t>PROJETO EXECUTIVO</t>
  </si>
  <si>
    <t>PREÇO TOTAL DE PROJETOS (A)</t>
  </si>
  <si>
    <t>(B)</t>
  </si>
  <si>
    <t>EXECUÇÃO DE OBRA</t>
  </si>
  <si>
    <t>SERVIÇOS PRELIMINARES</t>
  </si>
  <si>
    <t>CANTEIRO DE OBRAS</t>
  </si>
  <si>
    <t>DEMOLIÇÕES E REMOÇÕES</t>
  </si>
  <si>
    <t>TERRAPLENAGEM</t>
  </si>
  <si>
    <t>DRENAGEM</t>
  </si>
  <si>
    <t>PAVIMENTAÇÃO</t>
  </si>
  <si>
    <t>SUBTOTAL  EXECUÇÃO DE OBRA (B)</t>
  </si>
  <si>
    <t>(C)</t>
  </si>
  <si>
    <t>ADMINISTRAÇÃO DAS OBRAS</t>
  </si>
  <si>
    <t xml:space="preserve">SUBTOTAL  ADMINISTRAÇÃO DAS OBRAS (C) </t>
  </si>
  <si>
    <t>PREÇO TOTAL DO EMPREENDIMENTO (A+B+C)</t>
  </si>
  <si>
    <t>RESPONSÁVEL TÉCNICO PELO ORÇAMENTO</t>
  </si>
  <si>
    <t>Arq. Urb. Carlos Wieck</t>
  </si>
  <si>
    <t>FUNDAÇÃO PARA CONSERVAÇÃO PRODUÇÃO FLORESTAL DO ESTADO DE SÃO PAULO</t>
  </si>
  <si>
    <t>SEI - Setor de Engenharia e Infraestrutura</t>
  </si>
  <si>
    <t>BDI OBRAS</t>
  </si>
  <si>
    <t>TOTAL DE (B)</t>
  </si>
  <si>
    <t>TOTAL DE (C)</t>
  </si>
  <si>
    <t xml:space="preserve"> N° DO PREÇO:</t>
  </si>
  <si>
    <t xml:space="preserve">SERVIÇO: </t>
  </si>
  <si>
    <t xml:space="preserve"> UNIDADE:</t>
  </si>
  <si>
    <t xml:space="preserve"> COMPONENTES</t>
  </si>
  <si>
    <t>COEFICIENTE</t>
  </si>
  <si>
    <t>CUSTO UNITÁRIO</t>
  </si>
  <si>
    <t>PARCELAS DO CUSTO UNITÁRIO DO SERVIÇO</t>
  </si>
  <si>
    <t>MÃO-DE-OBRA</t>
  </si>
  <si>
    <t>MATERIAL</t>
  </si>
  <si>
    <t>EQUIPAMENTO</t>
  </si>
  <si>
    <t>SUBTOTAL</t>
  </si>
  <si>
    <t xml:space="preserve"> VERIFICADO POR:</t>
  </si>
  <si>
    <t>CUSTO UNITÁRIO TOTAL</t>
  </si>
  <si>
    <t>BDI</t>
  </si>
  <si>
    <t>PREÇO UNITÁRIO ADOTADO</t>
  </si>
  <si>
    <t xml:space="preserve"> DATA BASE</t>
  </si>
  <si>
    <t>Serviço técnico especializado</t>
  </si>
  <si>
    <t>Parecer técnico de fundações, contenções e recomendações gerais para empreendimentos com área construída até 1.000 m²</t>
  </si>
  <si>
    <t>un</t>
  </si>
  <si>
    <t>Parecer técnico de fundações, contenções e recomendações gerais para empreendimentos com área construída de 1.001 a 2.000 m²</t>
  </si>
  <si>
    <t>Parecer técnico de fundações, contenções e recomendações gerais para empreendimentos com área construída de 2.001 a 5.000 m²</t>
  </si>
  <si>
    <t>Parecer técnico de fundações, contenções e recomendações gerais para empreendimentos com área construída de 5.001 a 10.000 m²</t>
  </si>
  <si>
    <t>Parecer técnico de fundações, contenções e recomendações gerais para empreendimentos com área construída acima 10.001 m²</t>
  </si>
  <si>
    <t>Projeto de instalações elétricas</t>
  </si>
  <si>
    <t>Elaboração de projeto de adequação de entrada de energia elétrica junto a concessionária, com medição em baixa tensão e demanda até 75 kVA</t>
  </si>
  <si>
    <t>gl</t>
  </si>
  <si>
    <t>Elaboração de projeto de adequação de entrada de energia elétrica junto a concessionária, com medição em média tensão e demanda até 300 kVA</t>
  </si>
  <si>
    <t>Elaboração de projeto de adequação de entrada de energia elétrica junto a concessionária, com medição em média tensão e demanda acima de 300 kVA</t>
  </si>
  <si>
    <t>Projeto executivo</t>
  </si>
  <si>
    <t>Projeto executivo de estrutura em formato A1</t>
  </si>
  <si>
    <t>Projeto executivo de estrutura em formato A0</t>
  </si>
  <si>
    <t>Projeto executivo de instalações hidráulicas em formato A1</t>
  </si>
  <si>
    <t>Projeto executivo de instalações hidráulicas em formato A0</t>
  </si>
  <si>
    <t>Projeto executivo de instalações elétrica em formato A1</t>
  </si>
  <si>
    <t>Projeto executivo de instalações elétrica em formato A0</t>
  </si>
  <si>
    <t>Projeto executivo de arquitetura em formato A1</t>
  </si>
  <si>
    <t>Projeto executivo de arquitetura em formato A0</t>
  </si>
  <si>
    <t>Levantamento topográfico e geofísico</t>
  </si>
  <si>
    <t>Instalação e transporte de equipamento topográfico</t>
  </si>
  <si>
    <t>tx</t>
  </si>
  <si>
    <t>Levantamento planimétrico cadastral com áreas ocupadas predominantemente por favelas - área até 20.000 m²</t>
  </si>
  <si>
    <t>m²</t>
  </si>
  <si>
    <t>Levantamento planimétrico cadastral com áreas ocupadas predominantemente por favelas - área acima de 20.000 m² até 200.000 m²</t>
  </si>
  <si>
    <t>Levantamento planimétrico cadastral com áreas ocupadas predominantemente por favelas - área acima de 200.000 m²</t>
  </si>
  <si>
    <t>Levantamento planimétrico cadastral com áreas até 50% de ocupação - área até 20.000 m²</t>
  </si>
  <si>
    <t>Levantamento planimétrico cadastral com áreas até 50% de ocupação - área acima de 20.000 m² até 200.000 m²</t>
  </si>
  <si>
    <t>Levantamento planimétrico cadastral com áreas até 50% de ocupação - área acima de 200.000 m²</t>
  </si>
  <si>
    <t>Levantamento planimétrico cadastral com áreas acima de 50% de ocupação - área até 20.000 m²</t>
  </si>
  <si>
    <t>Levantamento planimétrico cadastral com áreas acima de 50% de ocupação - área acima de 20.000 m² até 200.000 m²</t>
  </si>
  <si>
    <t>Levantamento planimétrico cadastral com áreas acima de 50% de ocupação - área acima de 200.000 m²</t>
  </si>
  <si>
    <t>Levantamento planialtimétrico cadastral com áreas ocupadas predominantemente por favelas - área até 20.000 m²</t>
  </si>
  <si>
    <t>Levantamento planialtimétrico cadastral com áreas ocupadas predominantemente por favelas - área acima de 20.000 m² até 200.000 m²</t>
  </si>
  <si>
    <t>Levantamento planialtimétrico cadastral com áreas ocupadas predominantemente por favelas - área acima de 200.000 m²</t>
  </si>
  <si>
    <t>Levantamento planialtimétrico cadastral com áreas até 50% de ocupação - área até 20.000 m²</t>
  </si>
  <si>
    <t>Levantamento planialtimétrico cadastral com áreas até 50% de ocupação - área acima de 20.000 m² até 200.000 m²</t>
  </si>
  <si>
    <t>Levantamento planialtimétrico cadastral com áreas até 50% de ocupação - área acima de 200.000 m²</t>
  </si>
  <si>
    <t>Levantamento planialtimétrico cadastral com áreas acima de 50% de ocupação - área até 20.000 m²</t>
  </si>
  <si>
    <t>Levantamento planialtimétrico cadastral com áreas acima de 50% de ocupação - área acima de 20.000 m² até 200.000 m²</t>
  </si>
  <si>
    <t>Levantamento planialtimétrico cadastral com áreas acima de 50% de ocupação - área acima de 200.000 m²</t>
  </si>
  <si>
    <t>Levantamento planialtimétrico cadastral em área rural até 2 alqueires</t>
  </si>
  <si>
    <t>Levantamento planialtimétrico cadastral em área rural acima de 2 até 5 alqueires</t>
  </si>
  <si>
    <t>Levantamento planialtimétrico cadastral em área rural acima de 5 até 10 alqueires</t>
  </si>
  <si>
    <t>Levantamento planialtimétrico cadastral em área rural acima de 10 alqueires</t>
  </si>
  <si>
    <t>Transporte de referência de nível (RN) - classe IIN</t>
  </si>
  <si>
    <t>km</t>
  </si>
  <si>
    <t>Implantação de marcos através de levantamento com GPS</t>
  </si>
  <si>
    <t>Estudo geotécnico (sondagem)</t>
  </si>
  <si>
    <t>Instalação e transporte de equipamento de sondagem</t>
  </si>
  <si>
    <t>Instalação e transporte de equipamentos de sondagem rotativa</t>
  </si>
  <si>
    <t>Sondagem do terreno a trado</t>
  </si>
  <si>
    <t>m</t>
  </si>
  <si>
    <t>Sondagem do terreno à percussão (mínimo de 30 m)</t>
  </si>
  <si>
    <t>Sondagem do terreno rotativa em solo</t>
  </si>
  <si>
    <t>Sondagem do terreno rotativa em rocha</t>
  </si>
  <si>
    <t>Sondagem do terreno à percussão com a utilização de torquímetro (mínimo de 30 m)</t>
  </si>
  <si>
    <t>Poço profundo</t>
  </si>
  <si>
    <t>Análise físico-química e bacteriológica da água para poço profundo</t>
  </si>
  <si>
    <t>cj</t>
  </si>
  <si>
    <t>Cimentação de boca do poço profundo, entre perfuração de maior diâmetro</t>
  </si>
  <si>
    <t>m³</t>
  </si>
  <si>
    <t>Desinfecção de poço profundo</t>
  </si>
  <si>
    <t>Filtro PVC geomecânico nervurado tipo reforçado para poço profundo, diâmetro 8´ (200 mm)</t>
  </si>
  <si>
    <t>Filtro espiralado galvanizado super reforçado para poço profundo, diâmetro 6´ (150 mm)</t>
  </si>
  <si>
    <t>Filtro galvanizado tipo NOLD para poço profundo, diâmetro 6´ (150 mm)</t>
  </si>
  <si>
    <t>Filtro PVC geomecânico nervurado tipo standard para poço profundo, diâmetro 6´ (150 mm)</t>
  </si>
  <si>
    <t>Revestimento interno de poço profundo tubo PVC geomecânico nervurado standard, diâmetro 6´ (150 mm)</t>
  </si>
  <si>
    <t>Laje de proteção com 2,00 x 2,00 m para poço profundo</t>
  </si>
  <si>
    <t>Revestimento interno de poço profundo tubo PVC geomecânico nervurado reforçado, diâmetro 8´ (200 mm)</t>
  </si>
  <si>
    <t>Limpeza e desenvolvimento do poço</t>
  </si>
  <si>
    <t>h</t>
  </si>
  <si>
    <t>Perfuração rotativa para poço profundo em aluvião, arenito, ou solos sedimentados em geral, diâmetro de 10´ (250 mm)</t>
  </si>
  <si>
    <t>Perfuração rotativa para poço profundo em aluvião, arenito, ou solos sedimentados em geral, diâmetro de 12´ (300 mm)</t>
  </si>
  <si>
    <t>Perfuração rotativa para poço profundo em rocha sã (basalto), diâmetro de 14´ (350 mm)</t>
  </si>
  <si>
    <t>Perfuração rotativa para poço profundo em aluvião, arenito, ou solos sedimentados em geral, diâmetro de 14´ (350 mm)</t>
  </si>
  <si>
    <t>Perfuração rotativa para poço profundo em aluvião, arenito, ou solos sedimentados em geral, diâmetro de 22´ (550 mm)</t>
  </si>
  <si>
    <t>Perfuração rotativa para poço profundo em aluvião, arenito, ou solos sedimentados em geral, diâmetro de 16´ (400 mm)</t>
  </si>
  <si>
    <t>Perfuração rotativa para poço profundo em aluvião, arenito, ou solos sedimentados em geral, diâmetro de 20´ (500 mm)</t>
  </si>
  <si>
    <t>Perfuração rotativa para poço profundo em aluvião, arenito, ou solos sedimentados em geral, diâmetro de 18´ (450 mm)</t>
  </si>
  <si>
    <t>Perfuração rotativa para poço profundo em aluvião, arenito, ou solos sedimentados em geral, diâmetro de 26´ (650 mm)</t>
  </si>
  <si>
    <t>Perfuração rotativa para poço profundo em rocha alterada (basalto alterado), diâmetro de 8´ (200 mm)</t>
  </si>
  <si>
    <t>Perfuração rotativa para poço profundo em rocha alterada (basalto alterado), diâmetro de 10´ (250 mm)</t>
  </si>
  <si>
    <t>Perfuração rotativa para poço profundo em rocha alterada (basalto alterado), diâmetro de 12´ (300 mm)</t>
  </si>
  <si>
    <t>Perfuração roto-pneumática para poço profundo em rocha sã (basalto), diâmetro de 6´ (150 mm)</t>
  </si>
  <si>
    <t>Perfuração roto-pneumática para poço profundo em rocha sã (basalto), diâmetro de 14´ (350 mm)</t>
  </si>
  <si>
    <t>Perfuração roto-pneumática para poço profundo em rocha sã (basalto), diâmetro de 8´ (200 mm)</t>
  </si>
  <si>
    <t>Perfuração roto-pneumática para poço profundo em rocha sã (basalto), diâmetro de 12´ (300 mm)</t>
  </si>
  <si>
    <t>Perfuração roto-pneumática para poço profundo em rocha sã (basalto), diâmetro de 10´ (250 mm)</t>
  </si>
  <si>
    <t>Perfuração roto-pneumática para poço profundo em rocha sã (basalto), diâmetro de 18´ (450 mm)</t>
  </si>
  <si>
    <t>Pré-filtro tipo pérola</t>
  </si>
  <si>
    <t>Revestimento da boca de poço profundo tubo chapa 3/16´, diâmetro 12´</t>
  </si>
  <si>
    <t>Pré-filtro tipo Jacareí</t>
  </si>
  <si>
    <t>Revestimento da boca de poço profundo tubo chapa 3/16´, diâmetro 14´</t>
  </si>
  <si>
    <t>Revestimento da boca de poço profundo tubo chapa 3/16´, diâmetro 16´</t>
  </si>
  <si>
    <t>Revestimento interno de poço profundo tubo aço schedule 40, diâmetro 10´ (250 mm)</t>
  </si>
  <si>
    <t>Revestimento interno de poço profundo tubo preto DIN 2440, diâmetro 6´ (150 mm)</t>
  </si>
  <si>
    <t>Revestimento interno de poço profundo tubo aço schedule 40, diâmetro 6´ (150 mm)</t>
  </si>
  <si>
    <t>Revestimento interno de poço profundo tubo preto DIN 2440, diâmetro 8´ (200 mm)</t>
  </si>
  <si>
    <t>Instalação e transporte de equipamento de perfuração para poço profundo com profundidade até 200 m</t>
  </si>
  <si>
    <t>Instalação e transporte de equipamento para bombeamento, limpeza, desenvolvimento e teste de vazão</t>
  </si>
  <si>
    <t>Teste de vazão de poço profundo com bomba submersa</t>
  </si>
  <si>
    <t>Teste de vazão de poço profundo com compressor de ar</t>
  </si>
  <si>
    <t>Perfilagem ótica</t>
  </si>
  <si>
    <t>Perfilagem elétrica</t>
  </si>
  <si>
    <t>Perfuração rotativa para poço profundo em solos e/ou rocha metassedimentar alterada em geral, diâmetro de 20´ (508 mm)</t>
  </si>
  <si>
    <t>Perfuração roto-pneumática para poço profundo em rocha metassedimentar em geral, diâmetro de 12,25´ (311,15 mm)</t>
  </si>
  <si>
    <t>Revestimento interno de poço profundo tubo de aço preto liso calandrado, diâmetro 16´ (406,40 mm)</t>
  </si>
  <si>
    <t>Revestimento interno de poço profundo tubo aço schedule 40, diâmetro 14´ (355,60 mm)</t>
  </si>
  <si>
    <t>Instalação e transporte de equipamento de perfuração para poço profundo com profundidade acima de 200 m e até 300 m</t>
  </si>
  <si>
    <t>Instalação e transporte de equipamento de perfuração para poço profundo com profundidade acima de 300 m</t>
  </si>
  <si>
    <t>Revestimento da boca de poço profundo tubo chapa 3/16´, diâmetro 20´</t>
  </si>
  <si>
    <t>Filtro espiralado galvanizado standard para poço profundo, diâmetro 6´ (152,40 mm)</t>
  </si>
  <si>
    <t>Revestimento interno de poço profundo tubo de aço preto, diâmetro 6´ (152,40mm)</t>
  </si>
  <si>
    <t>Licença de perfuração e procedimentos para obtenção da outorga de poço profundo</t>
  </si>
  <si>
    <t>Tratamento, recuperação e trabalhos especiais em concreto</t>
  </si>
  <si>
    <t>Taxa de mobilização de equipamentos para corte em concreto armado</t>
  </si>
  <si>
    <t>Limpeza de armadura com escova de aço</t>
  </si>
  <si>
    <t>Preparo de ponte de aderência com adesivo a base de epóxi</t>
  </si>
  <si>
    <t>Tratamento de armadura com produto anticorrosivo a base de zinco</t>
  </si>
  <si>
    <t>Corte de concreto deteriorado inclusive remoção dos detritos</t>
  </si>
  <si>
    <t>Demarcação de área com disco de corte diamantado</t>
  </si>
  <si>
    <t>Furação de 3 1/4´ em concreto armado</t>
  </si>
  <si>
    <t>Furação de 6 1/4´ em concreto armado</t>
  </si>
  <si>
    <t>Furação de 1 1/4´ em concreto armado</t>
  </si>
  <si>
    <t>Furação de 1 1/2´ em concreto armado</t>
  </si>
  <si>
    <t>Furação de 2 1/4´ em concreto armado</t>
  </si>
  <si>
    <t>Furação de 2 1/2´ em concreto armado</t>
  </si>
  <si>
    <t>Taxa de mobilização para execução de serviço de perfuração em concreto</t>
  </si>
  <si>
    <t>Furação de 12,5 x 200 mm em concreto armado, inclusive colagem da armadura</t>
  </si>
  <si>
    <t>Furação de 16 x 150 mm em concreto armado, inclusive colagem da armadura</t>
  </si>
  <si>
    <t>Furação de 20 x 150 mm em concreto armado, inclusive colagem da armadura</t>
  </si>
  <si>
    <t>Furação de 2´ em concreto armado</t>
  </si>
  <si>
    <t>Furação de 4´ em concreto armado</t>
  </si>
  <si>
    <t>Furação de 6´ em concreto armado</t>
  </si>
  <si>
    <t>Furação de 8´ em concreto armado</t>
  </si>
  <si>
    <t>Furação de 1´ em concreto armado</t>
  </si>
  <si>
    <t>Furação de 3´ em concreto armado</t>
  </si>
  <si>
    <t>Furação de 5´ em concreto armado</t>
  </si>
  <si>
    <t>Furação de 7´ em concreto armado</t>
  </si>
  <si>
    <t>Corte vertical em concreto armado, espessura de 15 cm</t>
  </si>
  <si>
    <t>Estudos e programas ambientais</t>
  </si>
  <si>
    <t>Projeto e implementação de gerenciamento integrado de resíduos sólidos e gestão de perdas</t>
  </si>
  <si>
    <t>Projeto e implementação de educação ambiental</t>
  </si>
  <si>
    <t>Projeto e implementação de controle ambiental das obras</t>
  </si>
  <si>
    <t>Laudo de caracterização de vegetação</t>
  </si>
  <si>
    <t>Laudo de caracterização da fauna associada à flora</t>
  </si>
  <si>
    <t>Projeto e implementação de monitoramento da fauna durante a obra</t>
  </si>
  <si>
    <t>Laudo de autodepuração</t>
  </si>
  <si>
    <t>Início, apoio e administração da obra</t>
  </si>
  <si>
    <t>Construção provisória</t>
  </si>
  <si>
    <t>Construção provisória em madeira - fornecimento e montagem</t>
  </si>
  <si>
    <t>Sanitário/vestiário provisório em alvenaria</t>
  </si>
  <si>
    <t>Banheiro químico, modelo Standard, com manutenção conforme exigências da CETESB</t>
  </si>
  <si>
    <t>unxmês</t>
  </si>
  <si>
    <t>Desmobilização de construção provisória</t>
  </si>
  <si>
    <t>Container</t>
  </si>
  <si>
    <t>Container alojamento - mínimo 9,20 m²</t>
  </si>
  <si>
    <t>Container sanitário - mínimo 2 duchas, 2 bacias, 1 lavatório e 1 mictório</t>
  </si>
  <si>
    <t>Container depósito - mínimo 9,20 m²</t>
  </si>
  <si>
    <t>Container escritório com 1 sanitário - mínimo 9,20 m²</t>
  </si>
  <si>
    <t>Container guarita simples - mínimo 1,0 m²</t>
  </si>
  <si>
    <t>Tapume, vedação e proteções diversas</t>
  </si>
  <si>
    <t>Proteção de superfícies em geral com plástico bolha</t>
  </si>
  <si>
    <t>Proteção de fachada com tela de nylon</t>
  </si>
  <si>
    <t>Fechamento provisório de vãos em chapa de madeira compensada</t>
  </si>
  <si>
    <t>Fechamento definitivo de vãos em chapa de madeira compensada</t>
  </si>
  <si>
    <t>Tapume móvel para fechamento de áreas</t>
  </si>
  <si>
    <t>Tapume fixo para fechamento de áreas, com portão</t>
  </si>
  <si>
    <t>Locação de quadros metálicos para plataforma de proteção, inclusive o madeiramento</t>
  </si>
  <si>
    <t>m²xmês</t>
  </si>
  <si>
    <t>Proteção de piso com tecido de aniagem e gesso</t>
  </si>
  <si>
    <t>Tapume fixo em painel OSB - espessura 8 mm</t>
  </si>
  <si>
    <t>Tapume fixo em painel OSB - espessura 10 mm</t>
  </si>
  <si>
    <t>Tapume fixo em painel OSB - espessura 12 mm</t>
  </si>
  <si>
    <t>Proteção em madeira e lona plástica para equipamentos: mecânico/informática, para obras de reforma</t>
  </si>
  <si>
    <t>Andaimes e balancins</t>
  </si>
  <si>
    <t>Montagem e desmontagem de andaime torre metálica com altura até 10 m</t>
  </si>
  <si>
    <t>Montagem e desmontagem de andaime torre metálica com altura superior a 10 m</t>
  </si>
  <si>
    <t>Montagem e desmontagem de andaime tubular fachadeiro com altura até 10 m</t>
  </si>
  <si>
    <t>Montagem e desmontagem de andaime tubular fachadeiro com altura superior a 10 m</t>
  </si>
  <si>
    <t>Balancim elétrico tipo plataforma para transporte vertical</t>
  </si>
  <si>
    <t>mxmês</t>
  </si>
  <si>
    <t>Andaime torre metálico (1,5 x 1,5 m) com piso metálico</t>
  </si>
  <si>
    <t>Andaime tubular fachadeiro com piso metálico e sapatas ajustáveis</t>
  </si>
  <si>
    <t>Alocação de equipe, equipamento e ferramental</t>
  </si>
  <si>
    <t>Locação de plataforma elevatória articulada, com altura aproximada de 12,50m e capacidade para 227kg, elétrica</t>
  </si>
  <si>
    <t>Locação de plataforma elevatória articulada, com altura aproximada de 20,00m e capacidade para 227kg, diesel</t>
  </si>
  <si>
    <t>Sinalização de obra</t>
  </si>
  <si>
    <t>Placa de identificação para obra</t>
  </si>
  <si>
    <t>Manutenção de placa padronizada de identificação visual de programas e empreendimentos do governo do Estado de São Paulo</t>
  </si>
  <si>
    <t>Placa em lona com impressão digital e requadro em metalon</t>
  </si>
  <si>
    <t>Placa em lona com impressão digital e estrutura em madeira</t>
  </si>
  <si>
    <t>Limpeza de terreno</t>
  </si>
  <si>
    <t>Limpeza manual do terreno, inclusive troncos até 5 cm de diâmetro, com caminhão à disposição, dentro da obra, até o raio de 1,0 km</t>
  </si>
  <si>
    <t>Limpeza mecanizada do terreno, inclusive troncos até 15 cm de diâmetro, com caminhão à disposição, dentro e fora da obra, com transporte no raio de até 1,0 km</t>
  </si>
  <si>
    <t>Limpeza mecanizada do terreno, inclusive troncos com diâmetro acima de 15 cm até 50 cm, com caminhão à disposição dentro da obra, até o raio de 1,0 km</t>
  </si>
  <si>
    <t>Corte e derrubada de eucalípto (1° corte) - idade até 4 anos</t>
  </si>
  <si>
    <t>Corte e derrubada de eucalípto (1° corte) - idade acima de 4 anos</t>
  </si>
  <si>
    <t>Locação de obra</t>
  </si>
  <si>
    <t>Locação de obra de edificação</t>
  </si>
  <si>
    <t>Locação de rede de canalização</t>
  </si>
  <si>
    <t>Locação para muros, cercas e alambrados</t>
  </si>
  <si>
    <t>Locação de vias, calçadas, tanques e lagoas</t>
  </si>
  <si>
    <t>Demolição sem reaproveitamento</t>
  </si>
  <si>
    <t>Demolição de concreto, lastro, mistura e afins</t>
  </si>
  <si>
    <t>Demolição manual de concreto simples</t>
  </si>
  <si>
    <t>Demolição manual de concreto armado</t>
  </si>
  <si>
    <t>Demolição manual de lajes pré-moldadas, incluindo revestimento</t>
  </si>
  <si>
    <t>Demolição mecanizada de concreto armado, inclusive fragmentação, carregamento, transporte até 1,0 quilômetro e descarregamento</t>
  </si>
  <si>
    <t>Demolição mecanizada de concreto armado, inclusive fragmentação e acomodação do material</t>
  </si>
  <si>
    <t>Demolição mecanizada de concreto simples, inclusive fragmentação, carregamento, transporte até 1,0 quilômetro e descarregamento</t>
  </si>
  <si>
    <t>Demolição mecanizada de concreto simples, inclusive fragmentação e acomodação do material</t>
  </si>
  <si>
    <t>Demolição mecanizada de pavimento ou piso em concreto, inclusive fragmentação, carregamento, transporte até 1,0 quilômetro e descarregamento</t>
  </si>
  <si>
    <t>Demolição mecanizada de pavimento ou piso em concreto, inclusive fragmentação e acomodação do material</t>
  </si>
  <si>
    <t>Demolição mecanizada de sarjeta ou sarjetão, inclusive fragmentação, carregamento, transporte até 1,0 quilômetro e descarregamento</t>
  </si>
  <si>
    <t>Demolição mecanizada de sarjeta ou sarjetão, inclusive fragmentação e acomodação do material</t>
  </si>
  <si>
    <t>Demolição de alvenaria</t>
  </si>
  <si>
    <t>Demolição manual de alvenaria de fundação/embasamento</t>
  </si>
  <si>
    <t>Demolição manual de alvenaria de elevação ou elemento vazado, incluindo revestimento</t>
  </si>
  <si>
    <t>Demolição de revestimento em massa</t>
  </si>
  <si>
    <t>Apicoamento manual de piso, parede ou teto</t>
  </si>
  <si>
    <t>Demolição manual de revestimento em massa de parede ou teto</t>
  </si>
  <si>
    <t>Demolição manual de revestimento em massa de piso</t>
  </si>
  <si>
    <t>Demolição de revestimento cerâmico e ladrilho hidráulico</t>
  </si>
  <si>
    <t>Demolição manual de revestimento cerâmico, incluindo a base</t>
  </si>
  <si>
    <t>Demolição manual de revestimento em ladrilho hidráulico, incluindo a base</t>
  </si>
  <si>
    <t>Demolição manual de rodapé, soleira ou peitoril, em material cerâmico e/ou ladrilho hidráulico, incluindo a base</t>
  </si>
  <si>
    <t>Demolição de revestimento sintético</t>
  </si>
  <si>
    <t>Demolição manual de revestimento sintético, incluindo a base</t>
  </si>
  <si>
    <t>Demolição de revestimento em pedra e blocos maciços</t>
  </si>
  <si>
    <t>Desmonte (levantamento) mecanizado de pavimento em paralelepípedo ou lajota de concreto, inclusive carregamento, transporte até 1,0 quilômetro e descarregamento</t>
  </si>
  <si>
    <t>Desmonte (levantamento) mecanizado de pavimento em paralelepípedo ou lajota de concreto, inclusive acomodação do material</t>
  </si>
  <si>
    <t>Demolição de revestimento asfáltico</t>
  </si>
  <si>
    <t>Demolição (levantamento) mecanizada de pavimento asfáltico, inclusive carregamento, transporte até 1,0 quilômetro e descarregamento</t>
  </si>
  <si>
    <t>Demolição (levantamento) mecanizada de pavimento asfáltico, inclusive fragmentação e acomodação do material</t>
  </si>
  <si>
    <t>Fresagem de pavimento asfáltico com espessura até 5 cm, inclusive carregamento, transporte até 1,0 quilômetro e descarregamento</t>
  </si>
  <si>
    <t>Fresagem de pavimento asfáltico com espessura até 5 cm, inclusive acomodação do material</t>
  </si>
  <si>
    <t>Fresagem de pavimeto asfáltico com espessura até 5 cm, inclusive remoção do material fresado até 10 km e varrição</t>
  </si>
  <si>
    <t>Demolição de forro</t>
  </si>
  <si>
    <t>Demolição manual de forro em estuque, inclusive sistema de fixação/tarugamento</t>
  </si>
  <si>
    <t>Demolição manual de forro qualquer, inclusive sistema de fixação/tarugamento</t>
  </si>
  <si>
    <t>Demolição manual de forro em gesso, inclusive sistema de fixação</t>
  </si>
  <si>
    <t>Demolição de impermeabilização e afins</t>
  </si>
  <si>
    <t>Demolição manual de camada impermeabilizante</t>
  </si>
  <si>
    <t>Demolição manual de argamassa regularizante, isolante ou protetora e papel kraft</t>
  </si>
  <si>
    <t>Remoção manual de junta de dilatação ou retração, inclusive apoio</t>
  </si>
  <si>
    <t>Remoção pintura</t>
  </si>
  <si>
    <t>Remoção de pintura em rodapé, baguete ou moldura com lixa</t>
  </si>
  <si>
    <t>Remoção de pintura em rodapé, baguete ou moldura com produto químico</t>
  </si>
  <si>
    <t>Remoção de caiação ou tinta mineral impermeável</t>
  </si>
  <si>
    <t>Remoção de pintura em superfícies de madeira e/ou metálicas com produtos químicos</t>
  </si>
  <si>
    <t>Remoção de pintura em superfícies de madeira e/ou metálicas com lixamento</t>
  </si>
  <si>
    <t>Remoção de pintura em massa com produtos químicos</t>
  </si>
  <si>
    <t>Remoção de pintura em massa com lixamento</t>
  </si>
  <si>
    <t>Retirada com provável reaproveitamento</t>
  </si>
  <si>
    <t>Retirada de fechamento e elemento divisor</t>
  </si>
  <si>
    <t>Retirada de divisória em placa de madeira ou fibrocimento tarugada</t>
  </si>
  <si>
    <t>Retirada de divisória em placa de madeira ou fibrocimento com montantes metálicos</t>
  </si>
  <si>
    <t>Retirada de divisória em placa de concreto, granito, granilite ou mármore</t>
  </si>
  <si>
    <t>Retirada de fechamento em placas pré-moldadas, inclusive pilares</t>
  </si>
  <si>
    <t>Retirada de barreira de proteção com arame de alta segurança, simples ou duplo</t>
  </si>
  <si>
    <t>Retirada de cerca</t>
  </si>
  <si>
    <t>Retirada de elementos de estrutura (concreto, ferro, alumínio e madeira)</t>
  </si>
  <si>
    <t>Retirada de peças lineares em madeira com seção até 60 cm²</t>
  </si>
  <si>
    <t>Retirada de peças lineares em madeira com seção superior a 60 cm²</t>
  </si>
  <si>
    <t>Retirada de estrutura em madeira tesoura - telhas de barro</t>
  </si>
  <si>
    <t>Retirada de estrutura em madeira tesoura - telhas perfil qualquer</t>
  </si>
  <si>
    <t>Retirada de estrutura em madeira pontaletada - telhas de barro</t>
  </si>
  <si>
    <t>Retirada de estrutura em madeira pontaletada - telhas perfil qualquer</t>
  </si>
  <si>
    <t>Retirada de estrutura metálica</t>
  </si>
  <si>
    <t>kg</t>
  </si>
  <si>
    <t>Retirada de telhamento e proteção</t>
  </si>
  <si>
    <t>Retirada de telhamento em barro</t>
  </si>
  <si>
    <t>Retirada de telhamento perfil e material qualquer, exceto barro</t>
  </si>
  <si>
    <t>Retirada de cumeeira ou espigão em barro</t>
  </si>
  <si>
    <t>Retirada de cumeeira, espigão ou rufo perfil qualquer</t>
  </si>
  <si>
    <t>Retirada de domo de acrílico, inclusive perfis metálicos de fixação</t>
  </si>
  <si>
    <t>Retirada de revestimento em pedra e blocos maciços</t>
  </si>
  <si>
    <t>Retirada de revestimento em pedra, granito ou mármore, em parede ou fachada</t>
  </si>
  <si>
    <t>Retirada de revestimento em pedra, granito ou mármore, em piso</t>
  </si>
  <si>
    <t>Retirada de soleira ou peitoril em pedra, granito ou mármore</t>
  </si>
  <si>
    <t>Retirada de degrau em pedra, granito ou mármore</t>
  </si>
  <si>
    <t>Retirada de rodapé em pedra, granito ou mármore</t>
  </si>
  <si>
    <t>Retirada de revestimentos em madeira</t>
  </si>
  <si>
    <t>Retirada de revestimento em lambris de madeira</t>
  </si>
  <si>
    <t>Retirada de piso em tacos de madeira</t>
  </si>
  <si>
    <t>Retirada de soalho somente o tablado</t>
  </si>
  <si>
    <t>Retirada de soalho inclusive vigamento</t>
  </si>
  <si>
    <t>Retirada de degrau em madeira</t>
  </si>
  <si>
    <t>Retirada de rodapé inclusive cordão em madeira</t>
  </si>
  <si>
    <t>Retirada de revestimentos sintéticos e metálicos</t>
  </si>
  <si>
    <t>Retirada de revestimento em lambris metálicos</t>
  </si>
  <si>
    <t>Retirada de piso em material sintético assentado a cola</t>
  </si>
  <si>
    <t>Retirada de degrau em material sintético assentado a cola</t>
  </si>
  <si>
    <t>Retirada de rodapé inclusive cordão em material sintético</t>
  </si>
  <si>
    <t>Retirada de piso elevado telescópico metálico, inclusive estrutura de sustentação</t>
  </si>
  <si>
    <t>Retirada de forro, brises e fachadas</t>
  </si>
  <si>
    <t>Retirada de forro qualquer em placas ou tiras fixadas</t>
  </si>
  <si>
    <t>Retirada de forro qualquer em placas ou tiras apoiadas</t>
  </si>
  <si>
    <t>Retirada de sistema de fixação/tarugamento de forro</t>
  </si>
  <si>
    <t>Retirada de esquadria e elemento de madeira</t>
  </si>
  <si>
    <t>Retirada de folha de esquadria em madeira</t>
  </si>
  <si>
    <t>Retirada de guarnição, moldura e peças lineares em madeira, fixadas</t>
  </si>
  <si>
    <t>Retirada de batente com guarnição e peças lineares em madeira, chumbados</t>
  </si>
  <si>
    <t>Retirada de elemento em madeira e sistema de fixação tipo quadro, lousa etc.</t>
  </si>
  <si>
    <t>Retirada de esquadria e elementos metálicos</t>
  </si>
  <si>
    <t>Retirada de esquadria metálica em geral</t>
  </si>
  <si>
    <t>Retirada de folha de esquadria metálica</t>
  </si>
  <si>
    <t>Retirada de batente, corrimão ou peças lineares metálicas, chumbados</t>
  </si>
  <si>
    <t>Retirada de batente, corrimão ou peças lineares metálicas, fixados</t>
  </si>
  <si>
    <t>Retirada de guarda-corpo ou gradil em geral</t>
  </si>
  <si>
    <t>Retirada de escada de marinheiro com ou sem guarda-corpo</t>
  </si>
  <si>
    <t>Retirada de poste ou sistema de sustentação para alambrado ou fechamento</t>
  </si>
  <si>
    <t>Retirada de entelamento metálico em geral</t>
  </si>
  <si>
    <t>Retirada de ferragens e acessórios para esquadrias</t>
  </si>
  <si>
    <t>Retirada de fechadura ou fecho de embutir</t>
  </si>
  <si>
    <t>Retirada de fechadura ou fecho de sobrepor</t>
  </si>
  <si>
    <t>Retirada de dobradiça</t>
  </si>
  <si>
    <t>Retirada de peça ou acessório complementar em geral de esquadria</t>
  </si>
  <si>
    <t>Retirada de aparelhos, metais sanitários e registro</t>
  </si>
  <si>
    <t>Retirada de aparelho sanitário incluindo acessórios</t>
  </si>
  <si>
    <t>Retirada de bancada incluindo pertences</t>
  </si>
  <si>
    <t>Retirada de complemento sanitário chumbado</t>
  </si>
  <si>
    <t>Retirada de complemento sanitário fixado ou de sobrepor</t>
  </si>
  <si>
    <t>Retirada de registro ou válvula embutidos</t>
  </si>
  <si>
    <t>Retirada de registro ou válvula aparentes</t>
  </si>
  <si>
    <t>Retirada de purificador/bebedouro</t>
  </si>
  <si>
    <t>Retirada de torneira ou chuveiro</t>
  </si>
  <si>
    <t>Retirada de sifão ou metais sanitários diversos</t>
  </si>
  <si>
    <t>Retirada de caixa de descarga de sobrepor ou acoplada</t>
  </si>
  <si>
    <t>Retirada de aparelhos elétricos e hidráulicos</t>
  </si>
  <si>
    <t>Retirada de conjunto motor-bomba</t>
  </si>
  <si>
    <t>Retirada de motor de bomba de recalque</t>
  </si>
  <si>
    <t>Retirada de impermeabilização e afins</t>
  </si>
  <si>
    <t>Retirada de isolamento térmico com material monolítico</t>
  </si>
  <si>
    <t>Retirada de isolamento térmico com material em panos</t>
  </si>
  <si>
    <t>Retirada de vidro</t>
  </si>
  <si>
    <t>Retirada de vidro ou espelho com raspagem da massa ou retirada de baguete</t>
  </si>
  <si>
    <t>Retirada de esquadria em vidro</t>
  </si>
  <si>
    <t>Retirada em instalação elétrica - letra A até B</t>
  </si>
  <si>
    <t>Remoção de aparelho de iluminação ou projetor fixo em teto, piso ou parede</t>
  </si>
  <si>
    <t>Remoção de aparelho de iluminação ou projetor fixo em poste ou braço</t>
  </si>
  <si>
    <t>Remoção de suporte tipo braquet</t>
  </si>
  <si>
    <t>Remoção de barramento de cobre</t>
  </si>
  <si>
    <t>Remoção de base de disjuntor tipo QUIK-LAG</t>
  </si>
  <si>
    <t>Remoção de base de fusível tipo DIAZED</t>
  </si>
  <si>
    <t>Remoção de base e haste de pára-raios</t>
  </si>
  <si>
    <t>Remoção de base ou chave para fusível NH tipo tripolar</t>
  </si>
  <si>
    <t>Remoção de base ou chave para fusível NH tipo unipolar</t>
  </si>
  <si>
    <t>Remoção de braçadeira para passagem de cordoalha</t>
  </si>
  <si>
    <t>Remoção de bucha de passagem interna ou externa</t>
  </si>
  <si>
    <t>Remoção de bucha de passagem para neutro</t>
  </si>
  <si>
    <t>Retirada em instalação elétrica - letra C</t>
  </si>
  <si>
    <t>Remoção de cabeçote em rede de telefonia</t>
  </si>
  <si>
    <t>Remoção de cabo de aço e esticadores de pára-raios</t>
  </si>
  <si>
    <t>Remoção de caixa de entrada de energia padrão medição indireta completa</t>
  </si>
  <si>
    <t>Remoção de caixa de entrada de energia padrão residencial completa</t>
  </si>
  <si>
    <t>Remoção de caixa de entrada telefônica completa</t>
  </si>
  <si>
    <t>Remoção de caixa de medição padrão completa</t>
  </si>
  <si>
    <t>Remoção de caixa estampada</t>
  </si>
  <si>
    <t>Remoção de caixa para fusível ou tomada instalada em perfilado</t>
  </si>
  <si>
    <t>Remoção de caixa para transformador de corrente</t>
  </si>
  <si>
    <t>Remoção de canopla para pendentes de luminárias</t>
  </si>
  <si>
    <t>Remoção de cantoneira metálica</t>
  </si>
  <si>
    <t>Remoção de captor de pára-raios tipo Franklin</t>
  </si>
  <si>
    <t>Remoção de chapa de ferro para bucha de passagem</t>
  </si>
  <si>
    <t>Remoção de chave automática da bóia</t>
  </si>
  <si>
    <t>Remoção de chave base de mármore ou ardósia</t>
  </si>
  <si>
    <t>Remoção de chave de ação rápida comando frontal montado em painel</t>
  </si>
  <si>
    <t>Remoção de chave fusível indicadora tipo Matheus</t>
  </si>
  <si>
    <t>Remoção de chave seccionadora tripolar seca mecanismo de manobra frontal</t>
  </si>
  <si>
    <t>Remoção de chave tipo Pacco rotativo</t>
  </si>
  <si>
    <t>Remoção de cinta de fixação de eletroduto ou sela para cruzeta em poste</t>
  </si>
  <si>
    <t>Remoção de condulete</t>
  </si>
  <si>
    <t>Remoção de condutor aparente diâmetro externo acima de 6,5 mm</t>
  </si>
  <si>
    <t>Remoção de condutor aparente diâmetro externo até 6,5 mm</t>
  </si>
  <si>
    <t>Remoção de condutor embutido diâmetro externo acima de 6,5 mm</t>
  </si>
  <si>
    <t>Remoção de condutor embutido diâmetro externo até 6,5 mm</t>
  </si>
  <si>
    <t>Remoção de condutor especial</t>
  </si>
  <si>
    <t>Remoção de cordoalha ou cabo de cobre nu</t>
  </si>
  <si>
    <t>Remoção de contator magnético para comando de bomba</t>
  </si>
  <si>
    <t>Remoção de corrente para pendentes</t>
  </si>
  <si>
    <t>Remoção de cruzeta de ferro para fixação de projetores</t>
  </si>
  <si>
    <t>Remoção de cruzeta de madeira</t>
  </si>
  <si>
    <t>Retirada em instalação elétrica - letra D até I</t>
  </si>
  <si>
    <t>Remoção de disjuntor de volume normal ou reduzido</t>
  </si>
  <si>
    <t>Remoção de disjuntor a seco aberto tripolar, 600 V de 800 A</t>
  </si>
  <si>
    <t>Remoção de disjuntor NO-FUSE</t>
  </si>
  <si>
    <t>Remoção de disjuntor termo-magnético</t>
  </si>
  <si>
    <t>Remoção de fundo de quadro de distribuição ou caixa de passagem</t>
  </si>
  <si>
    <t>Remoção de gancho de sustentação de luminária em perfilado</t>
  </si>
  <si>
    <t>Remoção de interruptores, tomadas, botão de campainha ou cigarra</t>
  </si>
  <si>
    <t>Remoção de isolador tipo castanha e gancho de sustentação</t>
  </si>
  <si>
    <t>Remoção de isolador tipo disco completo e gancho de suspensão</t>
  </si>
  <si>
    <t>Remoção de isolador tipo pino, inclusive o pino</t>
  </si>
  <si>
    <t>Retirada em instalação elétrica - letra J até N</t>
  </si>
  <si>
    <t>Remoção de janela de ventilação, iluminação ou ventilação e iluminação padrão</t>
  </si>
  <si>
    <t>Remoção de lâmpada</t>
  </si>
  <si>
    <t>Remoção de luz de obstáculo</t>
  </si>
  <si>
    <t>Remoção de manopla de comando de disjuntor</t>
  </si>
  <si>
    <t>Remoção de mão francesa</t>
  </si>
  <si>
    <t>Remoção de terminal modular (mufla) tripolar ou unipolar</t>
  </si>
  <si>
    <t>Retirada em instalação elétrica - letra O até S</t>
  </si>
  <si>
    <t>Remoção de óleo de disjuntor ou transformador</t>
  </si>
  <si>
    <t>l</t>
  </si>
  <si>
    <t>Remoção de pára-raios tipo cristal-valve em cabine primária</t>
  </si>
  <si>
    <t>Remoção de pára-raios tipo cristal-valve em poste singelo ou estaleiro</t>
  </si>
  <si>
    <t>Remoção de perfilado</t>
  </si>
  <si>
    <t>Remoção de porta de quadro ou painel</t>
  </si>
  <si>
    <t>Remoção de poste de concreto</t>
  </si>
  <si>
    <t>Remoção de poste metálico</t>
  </si>
  <si>
    <t>Remoção de poste de madeira</t>
  </si>
  <si>
    <t>Remoção de quadro de distribuição, chamada ou caixa de passagem</t>
  </si>
  <si>
    <t>Remoção de reator para lâmpada</t>
  </si>
  <si>
    <t>Remoção de reator para lâmpada fixo em poste</t>
  </si>
  <si>
    <t>Remoção de relé</t>
  </si>
  <si>
    <t>Remoção de roldana</t>
  </si>
  <si>
    <t>Remoção de soquete</t>
  </si>
  <si>
    <t>Remoção de suporte de transformador em poste singelo ou estaleiro</t>
  </si>
  <si>
    <t>Retirada em instalação elétrica - letra T até o final</t>
  </si>
  <si>
    <t>Remoção de terminal ou conector para cabos</t>
  </si>
  <si>
    <t>Remoção de transformador de potência em cabine primária</t>
  </si>
  <si>
    <t>Remoção de transformador de potencial completo (pequeno)</t>
  </si>
  <si>
    <t>Remoção de transformador de potência trifásico até 225 kVA, a óleo, em poste singelo</t>
  </si>
  <si>
    <t>Remoção de tubulação elétrica aparente com diâmetro externo acima de 50 mm</t>
  </si>
  <si>
    <t>Remoção de tubulação elétrica aparente com diâmetro externo até 50 mm</t>
  </si>
  <si>
    <t>Remoção de tubulação elétrica embutida com diâmetro externo acima de 50 mm</t>
  </si>
  <si>
    <t>Remoção de tubulação elétrica embutida com diâmetro externo até 50 mm</t>
  </si>
  <si>
    <t>Remoção de vergalhão</t>
  </si>
  <si>
    <t>Retirada em instalação hidráulica</t>
  </si>
  <si>
    <t>Remoção de calha ou rufo</t>
  </si>
  <si>
    <t>Remoção de condutor aparente</t>
  </si>
  <si>
    <t>Remoção de tubulação hidráulica em geral, incluindo conexões, caixas e ralos</t>
  </si>
  <si>
    <t>Remoção de hidrante de parede completo</t>
  </si>
  <si>
    <t>Remoção de reservatório em fibrocimento até 1000 litros</t>
  </si>
  <si>
    <t>Retirada em instalação de combate a incêndio</t>
  </si>
  <si>
    <t>Retirada de bico de sprinkler</t>
  </si>
  <si>
    <t>Retirada de sistema e equipamento de conforto mecânico</t>
  </si>
  <si>
    <t>Retirada de aparelho de ar condicionado portátil</t>
  </si>
  <si>
    <t>Retiradas diversas de peças pré-moldadas</t>
  </si>
  <si>
    <t>Retirada manual de guia pré-moldada, inclusive limpeza, carregamento, transporte até 1,0 quilômetro e descarregamento</t>
  </si>
  <si>
    <t>Retirada de soleira ou peitoril em geral</t>
  </si>
  <si>
    <t>Retirada manual de guia pré-moldada, inclusive limpeza e empilhamento</t>
  </si>
  <si>
    <t>Retirada manual de paralelepípedo ou lajota de concreto, inclusive limpeza, carregamento, transporte até 1,0 quilômetro e descarregamento</t>
  </si>
  <si>
    <t>Retirada manual de paralelepípedo ou lajota de concreto, inclusive limpeza e empilhamento</t>
  </si>
  <si>
    <t>Transporte e movimentação, dentro e fora da obra</t>
  </si>
  <si>
    <t>Transporte de material solto</t>
  </si>
  <si>
    <t>Transporte manual horizontal e/ou vertical de entulho até o local de despejo - ensacado</t>
  </si>
  <si>
    <t>Transporte comercial, carreteiro e aluguel</t>
  </si>
  <si>
    <t>Remoção de entulho separado de obra com caçamba metálica - terra, alvenaria, concreto, argamassa, madeira, papel, plástico ou metal</t>
  </si>
  <si>
    <t>Remoção de entulho de obra com caçamba metálica - material volumoso misturado por alvenaria, terra, madeira, papel, plástico e metal</t>
  </si>
  <si>
    <t>Remoção de entulho de obra com caçamba metálica - material rejeitado e misturado por vegetação, isopor, manta asfáltica e lã de vidro</t>
  </si>
  <si>
    <t>Remoção de entulho de obra com caçamba metálica - gesso e/ou dry wall</t>
  </si>
  <si>
    <t>Transporte mecanizado de material solto</t>
  </si>
  <si>
    <t>Transporte de entulho, para distâncias superiores ao 3° km até o 5° km</t>
  </si>
  <si>
    <t>Transporte de entulho, para distâncias superiores ao 5° km até o 10° km</t>
  </si>
  <si>
    <t>Transporte de entulho, para distâncias superiores ao 10° km até o 15° km</t>
  </si>
  <si>
    <t>Transporte de entulho, para distâncias superiores ao 15° km até o 20° km</t>
  </si>
  <si>
    <t>Transporte de entulho, para distâncias superiores ao 20° km</t>
  </si>
  <si>
    <t>m³xkm</t>
  </si>
  <si>
    <t>Carregamento mecanizado de entulho fragmentado, com caminhão à disposição dentro da obra, até o raio de 1,0 km</t>
  </si>
  <si>
    <t>Transporte mecanizado de solo</t>
  </si>
  <si>
    <t>Transporte de solo de 1ª e 2ª categoria por caminhão até o 2° km</t>
  </si>
  <si>
    <t>Transporte de solo brejoso por caminhão até o 2° km</t>
  </si>
  <si>
    <t>Transporte de solo de 1ª e 2ª categoria por caminhão para distâncias superiores ao 2° km até o 3° km</t>
  </si>
  <si>
    <t>Transporte de solo brejoso por caminhão para distâncias superiores ao 2° km até o 3° km</t>
  </si>
  <si>
    <t>Transporte de solo de 1ª e 2ª categoria por caminhão para distâncias superiores ao 3° km até o 5° km</t>
  </si>
  <si>
    <t>Transporte de solo brejoso por caminhão para distâncias superiores ao 3° km até o 5° km</t>
  </si>
  <si>
    <t>Transporte de solo de 1ª e 2ª categoria por caminhão para distâncias superiores ao 5° km até o 10° km</t>
  </si>
  <si>
    <t>Transporte de solo brejoso por caminhão para distâncias superiores ao 5° km até o 10° km</t>
  </si>
  <si>
    <t>Transporte de solo de 1ª e 2ª categoria por caminhão para distâncias superiores ao 10° km até o 15° km</t>
  </si>
  <si>
    <t>Transporte de solo brejoso por caminhão para distâncias superiores ao 10° km até o 15° km</t>
  </si>
  <si>
    <t>Transporte de solo de 1ª e 2ª categoria por caminhão para distâncias superiores ao 15° km até o 20° km</t>
  </si>
  <si>
    <t>Transporte de solo brejoso por caminhão para distâncias superiores ao 15° km até o 20° km</t>
  </si>
  <si>
    <t>Transporte de solo de 1ª e 2ª categoria por caminhão para distâncias superiores ao 20° km</t>
  </si>
  <si>
    <t>Transporte de solo brejoso por caminhão para distâncias superiores ao 20° km</t>
  </si>
  <si>
    <t>Carregamento mecanizado de solo de 1ª e 2ª categoria</t>
  </si>
  <si>
    <t>Serviço em solo e rocha, manual</t>
  </si>
  <si>
    <t>Escavação manual em campo aberto de solo, exceto rocha</t>
  </si>
  <si>
    <t>Escavação manual em solo de 1ª e 2ª categoria em campo aberto</t>
  </si>
  <si>
    <t>Escavação manual em solo brejoso em campo aberto</t>
  </si>
  <si>
    <t>Escavação manual em valas e buracos de solo, exceto rocha</t>
  </si>
  <si>
    <t>Escavação manual em solo de 1ª e 2ª categoria em vala ou cava até 1,50 m</t>
  </si>
  <si>
    <t>Escavação manual em solo de 1ª e 2ª categoria em vala ou cava além de 1,50 m</t>
  </si>
  <si>
    <t>Reaterro manual sem fornecimento de material</t>
  </si>
  <si>
    <t>Reaterro manual para simples regularização sem compactação</t>
  </si>
  <si>
    <t>Reaterro manual apiloado sem controle de compactação</t>
  </si>
  <si>
    <t>Reaterro manual com adição de 2% de cimento</t>
  </si>
  <si>
    <t>Aterro manual sem fornecimento de material</t>
  </si>
  <si>
    <t>Aterro manual apiloado de área interna com maço de 30 kg</t>
  </si>
  <si>
    <t>Carga / carregamento e descarga manual</t>
  </si>
  <si>
    <t>Carga manual de solo</t>
  </si>
  <si>
    <t>Serviço em solo e rocha, mecanizado</t>
  </si>
  <si>
    <t>Escavação ou corte mecanizados em campo aberto de solo, exceto rocha</t>
  </si>
  <si>
    <t>Escavação e carga mecanizada para exploração de solo em jazida</t>
  </si>
  <si>
    <t>Escavação e carga mecanizada em solo de 1ª categoria, em campo aberto</t>
  </si>
  <si>
    <t>Escavação e carga mecanizada em solo de 2ª categoria, em campo aberto</t>
  </si>
  <si>
    <t>Carga e remoção de terra até a distância média de 1,0 km</t>
  </si>
  <si>
    <t>Escavação mecanizada de valas e buracos em solo, exceto rocha</t>
  </si>
  <si>
    <t>Escavação mecanizada de valas ou cavas com altura até 2,00 m</t>
  </si>
  <si>
    <t>Escavação mecanizada de valas ou cavas com altura até 3,00 m</t>
  </si>
  <si>
    <t>Escavação mecanizada de valas ou cavas com altura até 4,00 m</t>
  </si>
  <si>
    <t>Escavação mecanizada de valas ou cavas com altura além de 4,00 m, com escavadeira hidráulica</t>
  </si>
  <si>
    <t>Escavação mecanizada em solo brejoso ou turfa</t>
  </si>
  <si>
    <t>Escavação e carga mecanizada em solo brejoso ou turfa</t>
  </si>
  <si>
    <t>Escavação e carga mecanizada em solo vegetal superficial</t>
  </si>
  <si>
    <t>Apiloamento e nivelamento mecanizado de solo</t>
  </si>
  <si>
    <t>Espalhamento de solo em bota-fora com compactação sem controle</t>
  </si>
  <si>
    <t>Reaterro mecanizado sem fornecimento de material</t>
  </si>
  <si>
    <t>Reaterro compactado mecanizado de vala ou cava com compactador</t>
  </si>
  <si>
    <t>Reaterro compactado mecanizado de vala ou cava com rolo, mínimo de 95% PN</t>
  </si>
  <si>
    <t>Aterro mecanizado sem fornecimento de material</t>
  </si>
  <si>
    <t>Compactação de aterro mecanizado mínimo de 95% PN, sem fornecimento de solo em áreas fechadas</t>
  </si>
  <si>
    <t>Compactação de aterro mecanizado mínimo de 95% PN, sem fornecimento de solo em campo aberto</t>
  </si>
  <si>
    <t>Compactação de aterro mecanizado a 100% PN, sem fornecimento de solo em campo aberto</t>
  </si>
  <si>
    <t>Aterro mecanizado por compensação, solo de 1ª categoria em campo aberto, sem compactação do aterro</t>
  </si>
  <si>
    <t>Escoramento, contenção e drenagem</t>
  </si>
  <si>
    <t>Escoramento</t>
  </si>
  <si>
    <t>Escoramento de solo contínuo</t>
  </si>
  <si>
    <t>Escoramento de solo descontínuo</t>
  </si>
  <si>
    <t>Escoramento de solo pontaletado</t>
  </si>
  <si>
    <t>Escoramento de solo especial</t>
  </si>
  <si>
    <t>Escoramento com estacas pranchas metálicas - profundidade até 4,00 m</t>
  </si>
  <si>
    <t>Escoramento com estacas pranchas metálicas - profundidade até 6,00 m</t>
  </si>
  <si>
    <t>Escoramento com estacas pranchas metálicas - profundidade até 8,00 m</t>
  </si>
  <si>
    <t>Cimbramento</t>
  </si>
  <si>
    <t>Cimbramento em madeira com estroncas de eucalipto</t>
  </si>
  <si>
    <t>Cimbramento em perfil metálico para obras de arte</t>
  </si>
  <si>
    <t>Cimbramento tubular metálico</t>
  </si>
  <si>
    <t>m³xmês</t>
  </si>
  <si>
    <t>Montagem e desmontagem de cimbramento tubular metálico</t>
  </si>
  <si>
    <t>Descimbramento</t>
  </si>
  <si>
    <t>Descimbramento em madeira</t>
  </si>
  <si>
    <t>Mantas, filtros e drenos</t>
  </si>
  <si>
    <t>Geomembrana em polietileno de alta densidade PEAD de 1,0 mm</t>
  </si>
  <si>
    <t>Dreno com pedra britada</t>
  </si>
  <si>
    <t>Dreno com areia grossa</t>
  </si>
  <si>
    <t>Manta geotêxtil com resistência à tração longitudinal de 16kN/m e transversal de 14kN/m</t>
  </si>
  <si>
    <t>Manta geotêxtil com resistência à tração longitudinal de 10kN/m e transversal de 9kN/m</t>
  </si>
  <si>
    <t>Manta geotêxtil com resistência à tração longitudinal de 31kN/m e transversal de 27kN/m</t>
  </si>
  <si>
    <t>Barbacãs</t>
  </si>
  <si>
    <t>Barbacã em tubo de PVC com diâmetro 25 mm</t>
  </si>
  <si>
    <t>Barbacã em tubo de PVC com diâmetro 50 mm</t>
  </si>
  <si>
    <t>Barbacã em tubo de PVC com diâmetro 75 mm</t>
  </si>
  <si>
    <t>Barbacã em tubo de PVC com diâmetro 100 mm</t>
  </si>
  <si>
    <t>Esgotamento</t>
  </si>
  <si>
    <t>Taxa mobilização para rebaixamento de lençol freático</t>
  </si>
  <si>
    <t>Locação de conjunto de bombeamento a vácuo para rebaixamento de lençol freático, com até 50 ponteiras e potência até 15 HP, mínimo 30 dias</t>
  </si>
  <si>
    <t>cjxdia</t>
  </si>
  <si>
    <t>Ponteiras filtrantes, profundidade até 5,0 m</t>
  </si>
  <si>
    <t>Esgotamento de águas superficiais com bomba de superfície ou submersa</t>
  </si>
  <si>
    <t>HPxh</t>
  </si>
  <si>
    <t>Contenção</t>
  </si>
  <si>
    <t>Enrocamento com pedra arrumada</t>
  </si>
  <si>
    <t>Enrocamento com pedra assentada</t>
  </si>
  <si>
    <t>Gabião em tela galvanizada com malha de 8/10 cm, fio diâmetro 2,4 mm, independente do formato ou utilização</t>
  </si>
  <si>
    <t>Forma</t>
  </si>
  <si>
    <t>Forma em tábua</t>
  </si>
  <si>
    <t>Forma em madeira comum para fundação</t>
  </si>
  <si>
    <t>Forma em madeira comum para estrutura</t>
  </si>
  <si>
    <t>Forma em madeira comum para caixao perdido</t>
  </si>
  <si>
    <t>Forma em madeira compensada</t>
  </si>
  <si>
    <t>Forma plana em compensado para estrutura convencional</t>
  </si>
  <si>
    <t>Forma plana em compensado para estrutura aparente</t>
  </si>
  <si>
    <t>Forma curva em compensado para estrutura aparente</t>
  </si>
  <si>
    <t>Forma plana em compensado para obra de arte, sem cimbramento</t>
  </si>
  <si>
    <t>Forma em compensado para encamisamento de tubulão</t>
  </si>
  <si>
    <t>Forma ripada de 5 cm, na vertical</t>
  </si>
  <si>
    <t>Forma em papelão</t>
  </si>
  <si>
    <t>Forma em tubo de papelão com diâmetro de 20 cm</t>
  </si>
  <si>
    <t>Forma em tubo de papelão com diâmetro de 25 cm</t>
  </si>
  <si>
    <t>Forma em tubo de papelão com diâmetro de 30 cm</t>
  </si>
  <si>
    <t>Forma em tubo de papelão com diâmetro de 35 cm</t>
  </si>
  <si>
    <t>Forma em tubo de papelão com diâmetro de 40 cm</t>
  </si>
  <si>
    <t>Forma em tubo de papelão com diâmetro de 45 cm</t>
  </si>
  <si>
    <t>Forma em tubo de papelão com diâmetro de 50 cm</t>
  </si>
  <si>
    <t>Forma em polipropileno</t>
  </si>
  <si>
    <t>Forma em polipropileno (cubeta) e acessórios para laje nervurada com dimensões variáveis - locação</t>
  </si>
  <si>
    <t>Armadura e cordoalha estrutural</t>
  </si>
  <si>
    <t>Armadura em barra</t>
  </si>
  <si>
    <t>Armadura em barra de aço CA-25 fyk = 250 MPa</t>
  </si>
  <si>
    <t>Armadura em barra de aço CA-50 (A ou B) fyk= 500 MPa</t>
  </si>
  <si>
    <t>Armadura em barra de aço CA-60 (A ou B) fyk= 600 MPa</t>
  </si>
  <si>
    <t>Armadura em tela</t>
  </si>
  <si>
    <t>Armadura em tela soldada de aço</t>
  </si>
  <si>
    <t>Concreto, massa e lastro</t>
  </si>
  <si>
    <t>Concreto usinado com controle fck - fornecimento do material</t>
  </si>
  <si>
    <t>Concreto usinado, fck = 20,0 MPa</t>
  </si>
  <si>
    <t>Concreto usinado, fck = 25,0 MPa</t>
  </si>
  <si>
    <t>Concreto usinado, fck = 30,0 MPa</t>
  </si>
  <si>
    <t>Concreto usinado, fck = 35,0 MPa</t>
  </si>
  <si>
    <t>Concreto usinado, fck = 40,0 MPa</t>
  </si>
  <si>
    <t>Concreto usinado, fck = 20,0 MPa - para bombeamento</t>
  </si>
  <si>
    <t>Concreto usinado, fck = 25,0 MPa - para bombeamento</t>
  </si>
  <si>
    <t>Concreto usinado, fck = 35,0 MPa - para bombeamento</t>
  </si>
  <si>
    <t>Concreto usinado, fck = 30,0 MPa - para bombeamento</t>
  </si>
  <si>
    <t>Concreto usinado, fck = 40,0 MPa - para bombeamento</t>
  </si>
  <si>
    <t>Concreto usinado, fck = 20,0 MPa - para bombeamento em estaca hélice contínua</t>
  </si>
  <si>
    <t>Concreto usinado, fck = 25,0 MPa - para perfil extrudado</t>
  </si>
  <si>
    <t>Concreto usinado não estrutural - fornecimento do material</t>
  </si>
  <si>
    <t>Concreto usinado não estrutural mínimo 150 kg cimento / m³</t>
  </si>
  <si>
    <t>Concreto usinado não estrutural mínimo 200 kg cimento / m³</t>
  </si>
  <si>
    <t>Concreto usinado não estrutural mínimo 300 kg cimento / m³</t>
  </si>
  <si>
    <t>Concreto executado no local com controle fck - fornecimento do material</t>
  </si>
  <si>
    <t>Concreto preparado no local, fck = 20,0 MPa</t>
  </si>
  <si>
    <t>Concreto preparado no local, fck = 30,0 MPa</t>
  </si>
  <si>
    <t>Concreto não estrutural executado no local - fornecimento do material</t>
  </si>
  <si>
    <t>Concreto não estrutural executado no local, mínimo 150 kg cimento / m³</t>
  </si>
  <si>
    <t>Concreto não estrutural executado no local, mínimo 200 kg cimento / m³</t>
  </si>
  <si>
    <t>Concreto não estrutural executado no local, mínimo 300 kg cimento / m³</t>
  </si>
  <si>
    <t>Concreto e argamassa especial</t>
  </si>
  <si>
    <t>Argamassa em solo e cimento a 5% em peso</t>
  </si>
  <si>
    <t>Argamassa graute expansiva autonivelante de alta resistência</t>
  </si>
  <si>
    <t>Argamassa graute</t>
  </si>
  <si>
    <t>Concreto ciclópico - fornecimento e aplicação (com 30% de pedra rachão), concreto fck 15,0 Mpa</t>
  </si>
  <si>
    <t>Execução de concreto projetado - consumo de cimento 350 kg/m³</t>
  </si>
  <si>
    <t>Lançamento e aplicação</t>
  </si>
  <si>
    <t>Lançamento, espalhamento e adensamento de concreto ou massa em lastro e/ou enchimento</t>
  </si>
  <si>
    <t>Lançamento e adensamento de concreto ou massa em fundação</t>
  </si>
  <si>
    <t>Lançamento e adensamento de concreto ou massa em estrutura</t>
  </si>
  <si>
    <t>Lançamento e adensamento de concreto ou massa por bombeamento</t>
  </si>
  <si>
    <t>Nivelamento de piso em concreto com acabadora de superfície</t>
  </si>
  <si>
    <t>Lastros e enchimentos</t>
  </si>
  <si>
    <t>Lastro de areia</t>
  </si>
  <si>
    <t>Lastro de pedra britada</t>
  </si>
  <si>
    <t>Lona plástica</t>
  </si>
  <si>
    <t>Enchimento de laje com concreto celular com densidade de 1.200 kg/m³</t>
  </si>
  <si>
    <t>Enchimento de laje com tijolos cerâmicos furados</t>
  </si>
  <si>
    <t>Enchimento de nichos em geral, com material proveniente de entulho</t>
  </si>
  <si>
    <t>Lastro e/ou fundação em rachão mecanizado</t>
  </si>
  <si>
    <t>Lastro e/ou fundação em rachão manual</t>
  </si>
  <si>
    <t>Enchimento de nichos em geral, com areia</t>
  </si>
  <si>
    <t>Colchão de areia</t>
  </si>
  <si>
    <t>Enchimento de nichos com poliestireno expandido do tipo P-1</t>
  </si>
  <si>
    <t>Reparos, conservações e complementos</t>
  </si>
  <si>
    <t>Cura química de concreto à base de película emulsionada</t>
  </si>
  <si>
    <t>Corte de junta de dilatação, com serra de disco diamantado para pisos</t>
  </si>
  <si>
    <t>Selante endurecedor de concreto antipó</t>
  </si>
  <si>
    <t>Reparo superficial com argamassa polimérica (tixotrópica), bicomponente</t>
  </si>
  <si>
    <t>Tratamento de fissuras estáveis (não ativas) em elementos de concreto</t>
  </si>
  <si>
    <t>Fundação profunda</t>
  </si>
  <si>
    <t>Broca</t>
  </si>
  <si>
    <t>Broca em concreto armado diâmetro de 20 cm - completa</t>
  </si>
  <si>
    <t>Broca em concreto armado diâmetro de 25 cm - completa</t>
  </si>
  <si>
    <t>Broca em concreto armado diâmetro de 30 cm - completa</t>
  </si>
  <si>
    <t>Estaca pré-moldada de concreto</t>
  </si>
  <si>
    <t>Taxa de mobilização para estaca pré-moldada</t>
  </si>
  <si>
    <t>Estaca pré-moldada de concreto até 20 t</t>
  </si>
  <si>
    <t>Estaca pré-moldada de concreto até 30 t</t>
  </si>
  <si>
    <t>Estaca pré-moldada de concreto até 40 t</t>
  </si>
  <si>
    <t>Estaca pré-moldada de concreto até 50 t</t>
  </si>
  <si>
    <t>Estaca pré-moldada de concreto até 60 t</t>
  </si>
  <si>
    <t>Estaca pré-moldada de concreto até 70 t</t>
  </si>
  <si>
    <t>Estaca escavada mecanicamente</t>
  </si>
  <si>
    <t>Taxa de mobilização para estaca escavada</t>
  </si>
  <si>
    <t>Estaca escavada mecanicamente, diâmetro de 25 cm até 20 t</t>
  </si>
  <si>
    <t>Estaca escavada mecanicamente, diâmetro de 30 cm até 30 t</t>
  </si>
  <si>
    <t>Estaca escavada mecanicamente, diâmetro de 35 cm até 40 t</t>
  </si>
  <si>
    <t>Estaca escavada mecanicamente, diâmetro de 40 cm até 50 t</t>
  </si>
  <si>
    <t>Estaca tipo STRAUSS</t>
  </si>
  <si>
    <t>Taxa de mobilização para estaca tipo Strauss</t>
  </si>
  <si>
    <t>Estaca tipo Strauss, diâmetro de 25 cm até 20 t</t>
  </si>
  <si>
    <t>Estaca tipo Strauss, diâmetro de 32 cm até 30 t</t>
  </si>
  <si>
    <t>Estaca tipo Strauss, diâmetro de 38 cm até 40 t</t>
  </si>
  <si>
    <t>Estaca tipo Strauss, diâmetro de 45 cm até 60 t</t>
  </si>
  <si>
    <t>Estaca tipo RAIZ</t>
  </si>
  <si>
    <t>Taxa de mobilização para estaca tipo Raiz em solo</t>
  </si>
  <si>
    <t>Estaca tipo Raiz, diâmetro de 10 cm para 10 t, em solo</t>
  </si>
  <si>
    <t>Estaca tipo Raiz, diâmetro de 12 cm para 15 t, em solo</t>
  </si>
  <si>
    <t>Estaca tipo Raiz, diâmetro de 15 cm para 25 t, em solo</t>
  </si>
  <si>
    <t>Estaca tipo Raiz, diâmetro de 16 cm para 35 t, em solo</t>
  </si>
  <si>
    <t>Estaca tipo Raiz, diâmetro de 20 cm para 50 t, em solo</t>
  </si>
  <si>
    <t>Estaca tipo Raiz, diâmetro de 25 cm para 80 t, em solo</t>
  </si>
  <si>
    <t>Estaca tipo Raiz, diâmetro de 31 cm para 100 t, em solo</t>
  </si>
  <si>
    <t>Estaca tipo Raiz, diâmetro de 40 cm para 130 t, em solo</t>
  </si>
  <si>
    <t>Tubulão</t>
  </si>
  <si>
    <t>Taxa de mobilização para tubulão escavado mecanicamente</t>
  </si>
  <si>
    <t>Abertura de fuste mecanizado diâmetro de 50 cm</t>
  </si>
  <si>
    <t>Abertura de fuste mecanizado diâmetro de 60 cm</t>
  </si>
  <si>
    <t>Abertura de fuste mecanizado diâmetro de 80 cm</t>
  </si>
  <si>
    <t>Abertura de fuste manual diâmetro de 80 cm</t>
  </si>
  <si>
    <t>Abertura de fuste manual diâmetro de 100 cm</t>
  </si>
  <si>
    <t>Abertura de fuste manual diâmetro de 120 cm</t>
  </si>
  <si>
    <t>Abertura de fuste manual diâmetro de 70 cm</t>
  </si>
  <si>
    <t>Abertura de fuste manual diâmetro de 60 cm</t>
  </si>
  <si>
    <t>Alargamento de base a céu aberto</t>
  </si>
  <si>
    <t>Estaca hélice contínua</t>
  </si>
  <si>
    <t>Taxa de mobilização para estaca tipo hélice contínua em solo</t>
  </si>
  <si>
    <t>Estaca tipo hélice contínua, diâmetro de 35 cm em solo</t>
  </si>
  <si>
    <t>Estaca tipo hélice contínua, diâmetro de 60 cm em solo</t>
  </si>
  <si>
    <t>Estaca tipo hélice contínua, diâmetro de 30 cm em solo</t>
  </si>
  <si>
    <t>Estaca tipo hélice contínua, diâmetro de 25 cm em solo</t>
  </si>
  <si>
    <t>Estaca tipo hélice contínua, diâmetro de 40 cm em solo</t>
  </si>
  <si>
    <t>Estaca tipo hélice contínua, diâmetro de 50 cm em solo</t>
  </si>
  <si>
    <t>Estaca tipo hélice contínua, diâmetro de 100 cm em solo</t>
  </si>
  <si>
    <t>Estaca tipo hélice contínua, diâmetro de 70 cm em solo</t>
  </si>
  <si>
    <t>Estaca tipo hélice contínua, diâmetro de 80 cm em solo</t>
  </si>
  <si>
    <t>1214 - Estaca escavada com injeção ou microestaca</t>
  </si>
  <si>
    <t>Taxa de mobilização e desmobilização de equipamento para execução de estacas escavadas com injeção ou microestaca</t>
  </si>
  <si>
    <t>Estaca escavada com injeção ou microestaca, diâmetro de 16 cm</t>
  </si>
  <si>
    <t>Estaca escavada com injeção ou microestaca, diâmetro de 20 cm</t>
  </si>
  <si>
    <t>Estaca escavada com injeção ou microestaca, diâmetro de 25 cm</t>
  </si>
  <si>
    <t>Laje e painel de fechamento pré-fabricados</t>
  </si>
  <si>
    <t>Laje pré-fabricada mista em vigotas treliçadas e lajotas</t>
  </si>
  <si>
    <t>Laje pré-fabricada mista vigota treliçada/lajota cerâmica - LT 12 (8+4) e capa com concreto de 20MPa</t>
  </si>
  <si>
    <t>Laje pré-fabricada mista vigota treliçada/lajota cerâmica - LT 16 (12+4) e capa com concreto de 20MPa</t>
  </si>
  <si>
    <t>Laje pré-fabricada mista vigota treliçada/lajota cerâmica - LT 20 (16+4) e capa com concreto de 20MPa</t>
  </si>
  <si>
    <t>Laje pré-fabricada mista vigota treliçada/lajota cerâmica - LT 24 (20+4) e capa com concreto de 20MPa</t>
  </si>
  <si>
    <t>Laje pré-fabricada mista vigota treliçada/lajota cerâmica - LT 30 (24+6) e capa com concreto de 20MPa</t>
  </si>
  <si>
    <t>Laje pré-fabricada mista vigota treliçada/lajota cerâmica - LT 12 (8+4) e capa com concreto de 25MPa</t>
  </si>
  <si>
    <t>Laje pré-fabricada mista vigota treliçada/lajota cerâmica - LT 16 (12+4) e capa com concreto de 25MPa</t>
  </si>
  <si>
    <t>Laje pré-fabricada mista vigota treliçada/lajota cerâmica - LT 20 (16+4) e capa com concreto de 25MPa</t>
  </si>
  <si>
    <t>Laje pré-fabricada mista vigota treliçada/lajota cerâmica - LT 24 (20+4) e capa com concreto de 25MPa</t>
  </si>
  <si>
    <t>Laje pré-fabricada mista vigota treliçada/lajota cerâmica - LT 30 (24+6) e capa com concreto de 25MPa</t>
  </si>
  <si>
    <t>Laje pré-fabricada mista em vigotas protendidas e lajotas</t>
  </si>
  <si>
    <t>Laje pré-fabricada mista vigota protendida/lajota cerâmica - LP 10 (7+3) e capa com concreto de 20MPa</t>
  </si>
  <si>
    <t>Laje pré-fabricada mista vigota protendida/lajota cerâmica - LP 12 (8+4) e capa com concreto de 20MPa</t>
  </si>
  <si>
    <t>Laje pré-fabricada mista vigota protendida/lajota cerâmica - LP 16 (12+4) e capa com concreto de 20MPa</t>
  </si>
  <si>
    <t>Laje pré-fabricada mista vigota protendida/lajota cerâmica - LP 20 (16+4) e capa com concreto de 20MPa</t>
  </si>
  <si>
    <t>Laje pré-fabricada mista vigota protendida/lajota cerâmica - LP 25 (20+5) e capa com concreto de 20MPa</t>
  </si>
  <si>
    <t>Laje pré-fabricada mista vigota protendida/lajota cerâmica - LP 10 (7+3) e capa com concreto de 25MPa</t>
  </si>
  <si>
    <t>Laje pré-fabricada mista vigota protendida/lajota cerâmica - LP 12 (8+4) e capa com concreto de 25MPa</t>
  </si>
  <si>
    <t>Laje pré-fabricada mista vigota protendida/lajota cerâmica - LP 16 (12+4) e capa com concreto de 25MPa</t>
  </si>
  <si>
    <t>Laje pré-fabricada mista vigota protendida/lajota cerâmica - LP 20 (16+4) e capa com concreto de 25MPa</t>
  </si>
  <si>
    <t>Laje pré-fabricada mista vigota protendida/lajota cerâmica - LP 25 (20+5) e capa com concreto de 25MPa</t>
  </si>
  <si>
    <t>Laje pré-fabricada em painel protendido</t>
  </si>
  <si>
    <t>Laje em painel pré-fabricado protendido alveolar, espessura 9 cm</t>
  </si>
  <si>
    <t>Laje em painel pré-fabricado protendido alveolar, espessura 12 cm</t>
  </si>
  <si>
    <t>Laje em painel pré-fabricado protendido alveolar, espessura 20 cm</t>
  </si>
  <si>
    <t>Laje em painel pré-fabricado protendido alveolar, espessura 25 cm</t>
  </si>
  <si>
    <t>Laje em painel pré-fabricado protendido alveolar, espessura 16 cm</t>
  </si>
  <si>
    <t>Pré-laje</t>
  </si>
  <si>
    <t>Pré-laje em painel pré-fabricado treliçado, com EPS, H= 25 cm</t>
  </si>
  <si>
    <t>Pré-laje em painel pré-fabricado treliçado, com EPS, H= 20 cm</t>
  </si>
  <si>
    <t>Pré-laje em painel pré-fabricado treliçado, com EPS, H= 12 cm</t>
  </si>
  <si>
    <t>Pré-laje em painel pré-fabricado treliçado, com EPS, H= 8 cm</t>
  </si>
  <si>
    <t>Pré-laje em painel pré-fabricado treliçado, com EPS, H= 16 cm</t>
  </si>
  <si>
    <t>Pré-laje em painel pré-fabricado treliçado, H= 8 cm</t>
  </si>
  <si>
    <t>Pré-laje em painel pré-fabricado treliçado, H= 12 cm</t>
  </si>
  <si>
    <t>Pré-laje em painel pré-fabricado treliçado, H= 10 cm</t>
  </si>
  <si>
    <t>Pré-laje em painel pré-fabricado treliçado, H= 16 cm</t>
  </si>
  <si>
    <t>Pré-laje em painel pré-fabricado treliçado, H= 20 cm</t>
  </si>
  <si>
    <t>Pré-laje em painel pré-fabricado treliçado, H= 24 cm</t>
  </si>
  <si>
    <t>Alvenaria e elemento divisor</t>
  </si>
  <si>
    <t>Alvenaria de fundação (embasamento)</t>
  </si>
  <si>
    <t>Alvenaria de embasamento em tijolo maciço comum</t>
  </si>
  <si>
    <t>Alvenaria de embasamento em bloco de concreto com 14 cm</t>
  </si>
  <si>
    <t>Alvenaria de embasamento em bloco de concreto com 19 cm</t>
  </si>
  <si>
    <t>Alvenaria com tijolo maciço comum ou especial</t>
  </si>
  <si>
    <t>Alvenaria de elevação de 1/4 tijolo maciço comum</t>
  </si>
  <si>
    <t>Alvenaria de elevação de 1/2 tijolo maciço comum</t>
  </si>
  <si>
    <t>Alvenaria de elevação de 1 tijolo maciço comum</t>
  </si>
  <si>
    <t>Alvenaria de elevação de 1 1/2 tijolo maciço comum</t>
  </si>
  <si>
    <t>Alvenaria de elevação de 1/2 tijolo maciço aparente</t>
  </si>
  <si>
    <t>Alvenaria de elevação de 1 tijolo maciço aparente</t>
  </si>
  <si>
    <t>Alvenaria com tijolo laminado aparente</t>
  </si>
  <si>
    <t>Alvenaria de elevação de 1/4 tijolo laminado</t>
  </si>
  <si>
    <t>Alvenaria de elevação de 1/2 tijolo laminado</t>
  </si>
  <si>
    <t>Alvenaria de elevação de 1 tijolo laminado</t>
  </si>
  <si>
    <t>Alvenaria com bloco cerâmico de vedação</t>
  </si>
  <si>
    <t>Alvenaria de bloco cerâmico de vedação, uso revestido, de 9 cm</t>
  </si>
  <si>
    <t>Alvenaria de bloco cerâmico de vedação, uso revestido, de 14 cm</t>
  </si>
  <si>
    <t>Alvenaria de bloco cerâmico de vedação, uso revestido, de 19 cm</t>
  </si>
  <si>
    <t>Alvenaria com bloco cerâmico estrutural</t>
  </si>
  <si>
    <t>Alvenaria de bloco cerâmico estrutural, uso revestido, de 14 cm</t>
  </si>
  <si>
    <t>Alvenaria de bloco cerâmico estrutural, uso revestido, de 19 cm</t>
  </si>
  <si>
    <t>Alvenaria com bloco de concreto de vedação</t>
  </si>
  <si>
    <t>Alvenaria de bloco de concreto de vedação, uso revestido, de 9 cm</t>
  </si>
  <si>
    <t>Alvenaria de bloco de concreto de vedação, uso revestido, de 14 cm</t>
  </si>
  <si>
    <t>Alvenaria de bloco de concreto de vedação, uso revestido, de 19 cm</t>
  </si>
  <si>
    <t>Alvenaria de bloco de concreto de vedação, uso aparente, de 9 cm</t>
  </si>
  <si>
    <t>Alvenaria de bloco de concreto de vedação, uso aparente, de 14 cm</t>
  </si>
  <si>
    <t>Alvenaria de bloco de concreto de vedação, uso aparente, de 19 cm</t>
  </si>
  <si>
    <t>Alvenaria com bloco de concreto estrutural</t>
  </si>
  <si>
    <t>Alvenaria de bloco de concreto estrutural, uso revestido, de 14 cm</t>
  </si>
  <si>
    <t>Alvenaria de bloco de concreto estrutural, uso revestido, de 19 cm</t>
  </si>
  <si>
    <t>Alvenaria de bloco de concreto estrutural, uso aparente, de 14 cm</t>
  </si>
  <si>
    <t>Alvenaria de bloco de concreto estrutural, uso aparente, de 19 cm</t>
  </si>
  <si>
    <t>Alvenaria de bloco de concreto estrutural, uso aparente, de 14 cm - classe A</t>
  </si>
  <si>
    <t>Alvenaria de bloco de concreto estrutural, uso aparente, de 19 cm - classe A</t>
  </si>
  <si>
    <t>Alvenaria de concreto celular ou sílico calcário</t>
  </si>
  <si>
    <t>Alvenaria em bloco de concreto celular autoclavado com espessura de 10cm, uso revestido - classe C25</t>
  </si>
  <si>
    <t>Alvenaria em bloco de concreto celular autoclavado com espessura de 12,5cm, uso revestido - classe C25</t>
  </si>
  <si>
    <t>Alvenaria em bloco de concreto celular autoclavado com espessura de 15cm, uso revestido - classe C25</t>
  </si>
  <si>
    <t>Alvenaria em bloco de concreto celular autoclavado com espessura de 20cm, uso revestido - classe C25</t>
  </si>
  <si>
    <t>Peças moldadas no local (vergas, pilaretes,etc.)</t>
  </si>
  <si>
    <t>Vergas, contravergas e pilaretes de concreto armado</t>
  </si>
  <si>
    <t>Cimalha em concreto com pingadeira</t>
  </si>
  <si>
    <t>Alvenaria e fechamento com vidro</t>
  </si>
  <si>
    <t>Alvenaria em bloco de vidro com armação</t>
  </si>
  <si>
    <t>Elementos vazados (concreto, cerâmica e vidros)</t>
  </si>
  <si>
    <t>Elemento vazado em concreto, tipo quadriculado - 39 x 39 x 10 cm</t>
  </si>
  <si>
    <t>Elemento vazado em concreto, tipo veneziana - 39 x 10 x 10 cm</t>
  </si>
  <si>
    <t>Elemento vazado em vidro tipo veneziana capelinha - 20 x 10 x 10 cm</t>
  </si>
  <si>
    <t>Elemento vazado em concreto, tipo veneziana - 39 x 39 x 10 cm</t>
  </si>
  <si>
    <t>Elemento vazado em vidro tipo veneziana - 20 x 10 x 10 cm</t>
  </si>
  <si>
    <t>Elemento vazado em vidro tipo veneziana - 20 x 20 x 6 cm</t>
  </si>
  <si>
    <t>Divisória e fechamento</t>
  </si>
  <si>
    <t>Divisória em placas de granito com espessura de 3 cm</t>
  </si>
  <si>
    <t>Divisória em placas de granilite com espessura de 3 cm</t>
  </si>
  <si>
    <t>Divisória em placas de ardósia com espessura de 2 cm</t>
  </si>
  <si>
    <t>Divisória sanitária em painel laminado melamínico estrutural, perfis em alumínio, inclusive ferragem completa para vão de porta</t>
  </si>
  <si>
    <t>Divisão para mictório em placas de mármore branco com 3 cm</t>
  </si>
  <si>
    <t>Divisória cega tipo naval, acabamento em laminado fenólico melamínico, com 3,5 cm</t>
  </si>
  <si>
    <t>Divisória em placas de gesso acartonado, resitência ao fogo 60 minutos, espessura 120/90mm - 1RF / 1RF LM</t>
  </si>
  <si>
    <t>Divisória cega tipo naval com miolo mineral, acabamento em laminado melamínico, com 3,5 cm</t>
  </si>
  <si>
    <t>Divisória painel/vidro/vidro tipo naval, acabamento em laminado fenólico melamínico, com 3,5 cm</t>
  </si>
  <si>
    <t>Divisória em PVC com perfis de alumínio anodizado, espessura de 35 mm</t>
  </si>
  <si>
    <t>Divisória em placas de gesso acartonado, resitência ao fogo 30 minutos, espessura 73/48mm - 1ST / 1ST</t>
  </si>
  <si>
    <t>Divisória em placas de gesso acartonado, resitência ao fogo 30 minutos, espessura 73/48mm - 1ST / 1ST LM</t>
  </si>
  <si>
    <t>Divisória em placas de gesso acartonado, resitência ao fogo 30 minutos, espessura 100/70mm - 1ST / 1ST LM</t>
  </si>
  <si>
    <t>Divisória em placas de gesso acartonado, resitência ao fogo 30 minutos, espessura 100/70mm - 1ST / 1ST</t>
  </si>
  <si>
    <t>Divisória em placas de gesso acartonado, resitência ao fogo 30 minutos, espessura 100/70mm - 1RU / 1RU</t>
  </si>
  <si>
    <t>Divisória em placas duplas de gesso acartonado, resitência ao fogo 60 minutos, espessura 120/70mm - 2ST / 2ST LM</t>
  </si>
  <si>
    <t>Divisória em placas de granilite com espessura de 4 cm</t>
  </si>
  <si>
    <t>Divisória em placas duplas de gesso acartonado, resitência ao fogo 120 minutos, espessura 130/70mm - 2RF / 2RF</t>
  </si>
  <si>
    <t>Divisória em placas duplas de gesso acartonado, resitência ao fogo 60 minutos, espessura 120/70mm - 2ST / 2RU</t>
  </si>
  <si>
    <t>Divisória em placas duplas de gesso acartonado, resitência ao fogo 60 minutos, espessura 120/70mm - 2RU / 2RU</t>
  </si>
  <si>
    <t>Divisória em placas duplas de gesso acartonado, resitência ao fogo 60 minutos, espessura 98/48mm - 2ST / 2ST LM</t>
  </si>
  <si>
    <t>Divisória em placas duplas de gesso acartonado, resitência ao fogo 60 minutos, espessura 98/48mm - 2RU / 2RU LM</t>
  </si>
  <si>
    <t>Divisória em placas duplas de gesso acartonado, resitência ao fogo 60 minutos, espessura 98/48mm - 2ST / 2RU LM</t>
  </si>
  <si>
    <t>Divisória e Fechamento</t>
  </si>
  <si>
    <t>Fechamento em placa cimentícia, com espessura de 12 mm</t>
  </si>
  <si>
    <t>Recolocação de divisórias em chapas com montantes metálicos</t>
  </si>
  <si>
    <t>Tela galvanizada para fixação de alvenaria com dimensão de 6x50cm</t>
  </si>
  <si>
    <t>Tela galvanizada para fixação de alvenaria com dimensão de 7,5x50cm</t>
  </si>
  <si>
    <t>Tela galvanizada para fixação de alvenaria com dimensão de 10,5x50cm</t>
  </si>
  <si>
    <t>Tela galvanizada para fixação de alvenaria com dimensão de 12x50cm</t>
  </si>
  <si>
    <t>Tela galvanizada para fixação de alvenaria com dimensão de 17x50cm</t>
  </si>
  <si>
    <t>Estrutura em madeira, ferro, alumínio e concreto</t>
  </si>
  <si>
    <t>Estrutura em madeira para cobertura</t>
  </si>
  <si>
    <t>Estrutura de madeira tesourada para telha de barro - vãos até 7,00 m</t>
  </si>
  <si>
    <t>Estrutura de madeira tesourada para telha de barro - vãos de 7,01 a 10,00 m</t>
  </si>
  <si>
    <t>Estrutura de madeira tesourada para telha de barro - vãos de 10,01 a 13,00 m</t>
  </si>
  <si>
    <t>Estrutura de madeira tesourada para telha de barro - vãos de 13,01 a 18,00 m</t>
  </si>
  <si>
    <t>Estrutura de madeira tesourada para telha perfil ondulado - vãos até 7,00 m</t>
  </si>
  <si>
    <t>Estrutura de madeira tesourada para telha perfil ondulado - vãos 7,01 a 10,00 m</t>
  </si>
  <si>
    <t>Estrutura de madeira tesourada para telha perfil ondulado - vãos 10,01 a 13,00 m</t>
  </si>
  <si>
    <t>Estrutura de madeira tesourada para telha perfil ondulado - vãos 13,01 a 18,00 m</t>
  </si>
  <si>
    <t>Estrutura pontaletada para telhas de barro</t>
  </si>
  <si>
    <t>Estrutura pontaletada para telhas onduladas</t>
  </si>
  <si>
    <t>Estrutura em terças para telhas de barro</t>
  </si>
  <si>
    <t>Estrutura em terças para telhas perfil e material qualquer, exceto barro</t>
  </si>
  <si>
    <t>Estrutura em terças para telhas perfil trapezoidal</t>
  </si>
  <si>
    <t>Estrutura em aço</t>
  </si>
  <si>
    <t>Fornecimento e montagem de estrutura em aço ASTM-A36, sem pintura</t>
  </si>
  <si>
    <t>Montagem de estrutura metálica em aço, sem pintura</t>
  </si>
  <si>
    <t>Fornecimento e montagem de estrutura em aço patinável, sem pintura</t>
  </si>
  <si>
    <t>Estrutura pré-fabricada de concreto</t>
  </si>
  <si>
    <t>Placas, vigas e pilares em concreto armado pré-moldado - fck= 40 MPa</t>
  </si>
  <si>
    <t>Mobiliário em concreto armado, pré-moldado - fck= 40 MPa</t>
  </si>
  <si>
    <t>Placas, vigas e pilares em concreto armado, pré-moldado - fck= 35 MPa</t>
  </si>
  <si>
    <t>Placas, vigas e pilares em concreto armado, pré-moldado - fck= 25 MPa</t>
  </si>
  <si>
    <t>Mobiliário em concreto armado, pré-moldado - fck= 25 MPa</t>
  </si>
  <si>
    <t>Fornecimento de peças diversas para estrutura em madeira</t>
  </si>
  <si>
    <t>Recolocação de peças lineares em madeira com seção até 60 cm²</t>
  </si>
  <si>
    <t>Recolocação de peças lineares em madeira com seção superior a 60 cm²</t>
  </si>
  <si>
    <t>Telhamento</t>
  </si>
  <si>
    <t>Telhamento em barro</t>
  </si>
  <si>
    <t>Telha de barro tipo italiana</t>
  </si>
  <si>
    <t>Telha de barro tipo francesa</t>
  </si>
  <si>
    <t>Telha de barro tipo romana</t>
  </si>
  <si>
    <t>Telha de barro tipo plan</t>
  </si>
  <si>
    <t>Emboçamento de beiral em telhas de barro</t>
  </si>
  <si>
    <t>Cumeeira de barro emboçado tipos: plan, romana, italiana, francesa e paulistinha</t>
  </si>
  <si>
    <t>Espigão de barro emboçado</t>
  </si>
  <si>
    <t>Telhamento em cimento reforçado com fio sintético (CRFS)</t>
  </si>
  <si>
    <t>Telhamento em cimento reforçado com fio sintético CRFS - perfil ondulado de 6 mm</t>
  </si>
  <si>
    <t>Telhamento em cimento reforçado com fio sintético CRFS - perfil ondulado de 8 mm</t>
  </si>
  <si>
    <t>Telhamento em cimento reforçado com fio sintético CRFS - perfil trapezoidal de 44 cm</t>
  </si>
  <si>
    <t>Telhamento em cimento reforçado com fio sintético CRFS - perfil modulado</t>
  </si>
  <si>
    <t>Cumeeira normal em cimento reforçado com fio sintético CRFS - perfil ondulado</t>
  </si>
  <si>
    <t>Cumeeira universal em cimento reforçado com fio sintético CRFS - perfil ondulado</t>
  </si>
  <si>
    <t>Cumeeira normal em cimento reforçado com fio sintético CRFS - perfil trapezoidal 44 cm</t>
  </si>
  <si>
    <t>Cumeeira normal em cimento reforçado com fio sintético CRFS - perfil modulado</t>
  </si>
  <si>
    <t>Espigão em cimento reforçado com fio sintético CRFS - perfil ondulado</t>
  </si>
  <si>
    <t>Espigão em cimento reforçado com fio sintético CRFS - perfil modulado</t>
  </si>
  <si>
    <t>Rufo em cimento reforçado com fio sintético CRFS - perfil ondulado</t>
  </si>
  <si>
    <t>Telhamento em madeira, ou fibra vegetal</t>
  </si>
  <si>
    <t>Telha em fibra vegetal, perfil ondulado com espessura de 3 mm</t>
  </si>
  <si>
    <t>Cumeeira em fibra vegetal, lisa com espessura de 3 mm</t>
  </si>
  <si>
    <t>Telhamento metálico comum</t>
  </si>
  <si>
    <t>Telhamento em chapa de aço pré-pintada com epóxi e poliéster, perfil ondulado, com espessura de 0,50 mm</t>
  </si>
  <si>
    <t>Telhamento em chapa de aço pré-pintada com epóxi e poliéster, perfil ondulado calandrado, com espessura de 0,80 mm</t>
  </si>
  <si>
    <t>Telhamento em chapa de aço pré-pintada com epóxi e poliéster, perfil trapezoidal, com espessura de 0,80 mm e altura de 100 mm</t>
  </si>
  <si>
    <t>Telhamento em chapa de aço pré-pintada com epóxi e poliéster, perfil trapezoidal, com espessura de 0,50 mm e altura 40 mm</t>
  </si>
  <si>
    <t>Cumeeira em chapa de aço pré-pintada com epóxi e poliéster, perfil trapezoidal, com espessura de 0,50 mm</t>
  </si>
  <si>
    <t>Cumeeira em chapa de aço pré-pintada com epóxi e poliéster, perfil ondulado, com espessura de 0,50 mm</t>
  </si>
  <si>
    <t>Telhamento metálico especial</t>
  </si>
  <si>
    <t>Telhamento em chapa de aço pré-pintada com epóxi e poliéster, tipo sanduiche, espessura de 0,50 mm, com lã de rocha</t>
  </si>
  <si>
    <t>Telhamento em chapa de aço pré-pintada com epóxi e poliéster, tipo sanduiche, espessura de 0,50 mm, com poliuretano</t>
  </si>
  <si>
    <t>Telhamento em chapa de aço com pintura poliéster, tipo sanduíche, espessura de 0,50 mm, com poliestireno expandido</t>
  </si>
  <si>
    <t>Telhamento em chapa de aço galvanizado autoportante, perfil trapezoidal, com espessura de 0,80 mm e altura de 120 mm</t>
  </si>
  <si>
    <t>Telhamento em material sintético</t>
  </si>
  <si>
    <t>Telha ondulada translúcida em polipropileno</t>
  </si>
  <si>
    <t>Telha em poliéster reforçado com fibras de vidro, perfil trapezoidal 49</t>
  </si>
  <si>
    <t>Telha em poliéster reforçado com fibras de vidro, perfil trapezoidal 90</t>
  </si>
  <si>
    <t>Cumeeira para telha de poliéster perfil trapezoidal 49</t>
  </si>
  <si>
    <t>Cumeeira para telha de poliéster perfil trapezoidal 90</t>
  </si>
  <si>
    <t>Telhamento em vidro</t>
  </si>
  <si>
    <t>Telhas de vidro para iluminação tipo francesa</t>
  </si>
  <si>
    <t>Telhas de vidro para iluminação tipo italiana</t>
  </si>
  <si>
    <t>Telhas de vidro para iluminação tipo colonial/paulistinha</t>
  </si>
  <si>
    <t>Domos</t>
  </si>
  <si>
    <t>Domo de acrílico fixado em perfis de alumínio</t>
  </si>
  <si>
    <t>Painel, chapas e fechamento</t>
  </si>
  <si>
    <t>Cobertura curva em chapa de policarbonato alveolar bronze de 6 mm</t>
  </si>
  <si>
    <t>Cobertura plana em policarbonato alveolar 10 mm</t>
  </si>
  <si>
    <t>Cobertura curva em policarbonato alveolar bronze 10 mm</t>
  </si>
  <si>
    <t>Calhas e rufos</t>
  </si>
  <si>
    <t>Calha, rufo, afins em chapa galvanizada nº 24 - corte 0,33 m</t>
  </si>
  <si>
    <t>Calha, rufo, afins em chapa galvanizada nº 24 - corte 0,50 m</t>
  </si>
  <si>
    <t>Calha, rufo, afins em chapa galvanizada nº 24 - corte 1,00 m</t>
  </si>
  <si>
    <t>Calha, rufo, afins em chapa galvanizada nº 26 - corte 0,33 m</t>
  </si>
  <si>
    <t>Calha, rufo, afins em chapa galvanizada nº 26 - corte 0,50 m</t>
  </si>
  <si>
    <t>Rufo pré-moldado em concreto, de 14 x 50 x 18,5 cm</t>
  </si>
  <si>
    <t>Rufo pré-moldado em concreto, de 20 x 50 x 26 cm</t>
  </si>
  <si>
    <t>Recolocação de cumeeiras e espigões de barro</t>
  </si>
  <si>
    <t>Recolocação de telha de barro tipo colonial/paulistinha</t>
  </si>
  <si>
    <t>Recolocação de telha de barro tipo plan</t>
  </si>
  <si>
    <t>Recolocação de domo de acrílico, inclusive perfis metálicos de fixação</t>
  </si>
  <si>
    <t>Recolocação de telhas de barro tipo francesa</t>
  </si>
  <si>
    <t>Recolocação de telha em fibrocimento ou CRFS, perfil ondulado</t>
  </si>
  <si>
    <t>Recolocação de telha em fibrocimento ou CRFS, perfil modulado, trapezoidal ou maxplac</t>
  </si>
  <si>
    <t>Revestimento em massa e/ou fundido no local</t>
  </si>
  <si>
    <t>Regularização de base</t>
  </si>
  <si>
    <t>Argamassa de proteção com argila expandida</t>
  </si>
  <si>
    <t>Argamassa de regularização e/ou proteção</t>
  </si>
  <si>
    <t>Argamassa com aditivo expansor</t>
  </si>
  <si>
    <t>Lastro de concreto impermeabilizado</t>
  </si>
  <si>
    <t>Regularização de piso com nata de cimento</t>
  </si>
  <si>
    <t>Regularização de piso com nata de cimento e bianco</t>
  </si>
  <si>
    <t>Argamassa de cimento e areia - traço 1:3, com adesivo acrílico</t>
  </si>
  <si>
    <t>Revestimento em argamassa</t>
  </si>
  <si>
    <t>Chapisco</t>
  </si>
  <si>
    <t>Chapisco com bianco</t>
  </si>
  <si>
    <t>Chapisco fino peneirado</t>
  </si>
  <si>
    <t>Chapisco rústico com pedra britada nº 1</t>
  </si>
  <si>
    <t>Emboço comum</t>
  </si>
  <si>
    <t>Emboço desempenado com espuma de poliéster</t>
  </si>
  <si>
    <t>Reboco</t>
  </si>
  <si>
    <t>Argamassa decorativa para revestimento em parede interna e externa</t>
  </si>
  <si>
    <t>Barra lisa com acabamento em nata de cimento</t>
  </si>
  <si>
    <t>Emboço desempenado com argamassa industrializada</t>
  </si>
  <si>
    <t>Revestimento em cimentado</t>
  </si>
  <si>
    <t>Cimentado desempenado</t>
  </si>
  <si>
    <t>Cimentado desempenado e alisado (queimado)</t>
  </si>
  <si>
    <t>Cimentado desempenado e alisado com corante (queimado)</t>
  </si>
  <si>
    <t>Cimentado semi-áspero</t>
  </si>
  <si>
    <t>Cimentado áspero com caneluras</t>
  </si>
  <si>
    <t>Degrau em cimentado</t>
  </si>
  <si>
    <t>Rodapé em cimentado desempenado e alisado com altura 5 cm</t>
  </si>
  <si>
    <t>Rodapé em cimentado desempenado e alisado com altura 7 cm</t>
  </si>
  <si>
    <t>Rodapé em cimentado desempenado e alisado com altura 10 cm</t>
  </si>
  <si>
    <t>Rodapé em cimentado desempenado e alisado com altura 15 cm</t>
  </si>
  <si>
    <t>Revestimento em gesso</t>
  </si>
  <si>
    <t>Revestimento em gesso liso desempenado sobre emboço</t>
  </si>
  <si>
    <t>Revestimento em gesso liso desempenado sobre bloco</t>
  </si>
  <si>
    <t>Revestimento em concreto</t>
  </si>
  <si>
    <t>Piso com requadro em concreto simples sem controle de fck</t>
  </si>
  <si>
    <t>Piso com requadro em concreto simples com controle fck = 20 MPa</t>
  </si>
  <si>
    <t>Piso em placas pré-moldadas de concreto rejuntado com grama</t>
  </si>
  <si>
    <t>Piso com requadro em concreto simples com controle fck = 25 MPa</t>
  </si>
  <si>
    <t>Soleira em concreto simples</t>
  </si>
  <si>
    <t>Peitoril em concreto simples</t>
  </si>
  <si>
    <t>Revestimento em granilite fundido no local</t>
  </si>
  <si>
    <t>Piso em granilite moldado no local</t>
  </si>
  <si>
    <t>Soleira em granilite moldado no local</t>
  </si>
  <si>
    <t>Degrau em granilite moldado no local</t>
  </si>
  <si>
    <t>Rodapé qualquer em granilite moldado no local até 10 cm</t>
  </si>
  <si>
    <t>Rodapé em placas pré-moldadas de granilite, acabamento encerado, até 10 cm</t>
  </si>
  <si>
    <t>Soleira em placas pré-moldadas de granilite, acabamento encerado, até 30 cm</t>
  </si>
  <si>
    <t>Piso em placas de granilite, acabamento encerado</t>
  </si>
  <si>
    <t>Revestimento industrial fundido no local</t>
  </si>
  <si>
    <t>Piso em alta resistência moldado no local 8 mm</t>
  </si>
  <si>
    <t>Piso em alta resistência moldado no local 12 mm</t>
  </si>
  <si>
    <t>Soleira em alta resistência moldada no local</t>
  </si>
  <si>
    <t>Degrau em alta resistência 8 mm</t>
  </si>
  <si>
    <t>Degrau em alta resistência 12 mm</t>
  </si>
  <si>
    <t>Rodapé qualquer em alta resistência moldado no local até 10 cm</t>
  </si>
  <si>
    <t>Revestimento especial fundido no local</t>
  </si>
  <si>
    <t>Massa raspada</t>
  </si>
  <si>
    <t>Revestimento em granito lavado tipo Fulget uso externo, em faixas até 40 cm</t>
  </si>
  <si>
    <t>Friso para junta de dilatação em revestimento de granito lavado tipo Fulget</t>
  </si>
  <si>
    <t>Revestimento em granito lavado tipo Fulget uso externo</t>
  </si>
  <si>
    <t>Revestimento texturizado acrílico com microagregados minerais</t>
  </si>
  <si>
    <t>Reparos e conservações em massa e concreto</t>
  </si>
  <si>
    <t>Reparos em piso de granilite - estucamento e polimento</t>
  </si>
  <si>
    <t>Reparos em pisos de alta resistência fundidos no local - estucamento e polimento</t>
  </si>
  <si>
    <t>Reparos em degrau de granilite - estucamento e polimento</t>
  </si>
  <si>
    <t>Reparos em peitoril de granilite - estucamento e polimento</t>
  </si>
  <si>
    <t>Reparos em rodapé de granilite - estucamento e polimento</t>
  </si>
  <si>
    <t>Faixa antiderrapante definitiva para degraus, soleiras, patamares ou pisos</t>
  </si>
  <si>
    <t>Resina acrílica para piso granilite</t>
  </si>
  <si>
    <t>Resina epóxi para piso granilite</t>
  </si>
  <si>
    <t>Resina poliuretano para piso granilite</t>
  </si>
  <si>
    <t>Resina acrílica para degrau de granilite</t>
  </si>
  <si>
    <t>Resina epóxi para degrau de granilite</t>
  </si>
  <si>
    <t>Resina poliuretano para degrau granilite</t>
  </si>
  <si>
    <t>Revestimento cerâmico</t>
  </si>
  <si>
    <t>Plaquetas laminadas para revestimentos</t>
  </si>
  <si>
    <t>Revestimento em plaqueta laminada</t>
  </si>
  <si>
    <t>Pisos em placas cerâmicas esmaltadas prensadas</t>
  </si>
  <si>
    <t>Piso cerâmico esmaltado PEI-4 resistência química A, para áreas internas sujeitas à lavagem frequente, assentado com argamassa mista</t>
  </si>
  <si>
    <t>Piso cerâmico esmaltado PEI-4 resistência química A, para áreas internas sujeitas à lavagem frequente, assentado com argamassa colante industrializada</t>
  </si>
  <si>
    <t>Rodapé cerâmico esmaltado PEI-4 resistência química A, para áreas internas sujeitas à lavagem frequente, assentado com argamassa mista</t>
  </si>
  <si>
    <t>Rodapé cerâmico esmaltado PEI-4 resistência química A, para áreas internas sujeitas à lavagem frequente, assentado com argamassa colante industrializada</t>
  </si>
  <si>
    <t>Piso cerâmico esmaltado com textura semi-rugosa PEI-5 resistência química A, para áreas internas, assentado com argamassa mista</t>
  </si>
  <si>
    <t>Piso cerâmico esmaltado com textura semi-rugosa PEI-5 resistência química A, para áreas internas, assentado com argamassa colante industrializada</t>
  </si>
  <si>
    <t>Rodapé cerâmico esmaltado com textura semi-rugosa PEI-5 resistência química A, para áreas internas, assentado com argamassa mista</t>
  </si>
  <si>
    <t>Rodapé cerâmico esmaltado com textura semi-rugosa PEI-5 resistência química A, para áreas internas, assentado com argamassa colante industrializada</t>
  </si>
  <si>
    <t>Piso cerâmico esmaltado PEI-5 resistência química B, para áreas internas, assentado com argamassa mista</t>
  </si>
  <si>
    <t>Piso cerâmico esmaltado PEI-5 resistência química B, para áreas internas, assentado com argamassa colante industrializada</t>
  </si>
  <si>
    <t>Rodapé cerâmico esmaltado PEI-5 resistência química B, para áreas internas, assentado com argamassa mista</t>
  </si>
  <si>
    <t>Rodapé cerâmico esmaltado PEI-5 resistência química B, para áreas internas, assentado com argamassa colante industrializada</t>
  </si>
  <si>
    <t>Piso cerâmico esmaltado antiderrapante PEI-5 resistência química A, para áreas internas com saída para o exterior, assentado com argamassa mista</t>
  </si>
  <si>
    <t>Piso cerâmico esmaltado antiderrapante PEI-5 resistência química A, para áreas internas com saída para o exterior, assentado c/argamassa colante industrializada</t>
  </si>
  <si>
    <t>Rodapé cerâmico esmaltado PEI-5 resistência química A, para áreas internas com saída para o exterior, assentado com argamassa mista</t>
  </si>
  <si>
    <t>Rodapé cerâmico esmaltado PEI-5 resistência química A, para áreas internas com saída para o exterior, assentado com argamassa colante industrializada</t>
  </si>
  <si>
    <t>Piso cerâmico esmaltado rústico PEI-5 resistência química B, para áreas internas com saída para o exterior, assentado com argamassa mista</t>
  </si>
  <si>
    <t>Piso cerâmico esmaltado rústico PEI-5 resistência química B, para áreas internas com saída para o exterior, assentado com argamassa colante industrializada</t>
  </si>
  <si>
    <t>Rodapé cerâmico esmaltado rústico PEI-5 resistência química B, para áreas internas com saída para o exterior, assentado com argamassa mista</t>
  </si>
  <si>
    <t>Rodapé cerâmico esmaltado rústico PEI-5 resistência química B, para áreas internas c/saída para o exterior, assentado com argamassa colante industrializada</t>
  </si>
  <si>
    <t>Piso cerâmico esmaltado texturizado PEI-5 resistência química B, para áreas externas, assentado com argamassa mista</t>
  </si>
  <si>
    <t>Piso cerâmico esmaltado texturizado PEI-5 resistência química B, para áreas externas, assentado com argamassa colante industrializada</t>
  </si>
  <si>
    <t>Rodapé cerâmico esmaltado texturizado PEI-5 resistência química B, para áreas externas, assentado com argamassa mista</t>
  </si>
  <si>
    <t>Rodapé cerâmico esmaltado texturizado PEI-5 resistência química B, para áreas externas, assentado com argamassa colante industrializada</t>
  </si>
  <si>
    <t>Piso cerâmico esmaltado antiderrapante PEI-5 resistência química A, assentado com argamassa colante industrializada</t>
  </si>
  <si>
    <t>Rodapé cerâmico esmaltado antiderrapante PEI-5 resistência química A, assentado com argamassa colante industrializada</t>
  </si>
  <si>
    <t>Rejuntamento de piso em placas cerâmicas com cimento branco, juntas acima de 3 até 5 mm</t>
  </si>
  <si>
    <t>Rejuntamento de piso em placas cerâmicas com argamassa industrializada para rejunte, juntas acima de 3 até 5 mm</t>
  </si>
  <si>
    <t>Rejuntamento de piso em placas cerâmicas com cimento branco, juntas acima 5 até 10 mm</t>
  </si>
  <si>
    <t>Rejuntamento de piso em placas cerâmicas com argamassa industrializada para rejunte, juntas acima de 5 até 10 mm</t>
  </si>
  <si>
    <t>Rejuntamento de rodapé em placas cerâmicas até 10 cm de altura com cimento branco, juntas acima de 3 até 5 mm</t>
  </si>
  <si>
    <t>Rejuntamento de rodapé em placas cerâmicas até 10 cm de altura com argamassa industrializada para rejunte, juntas acima de 3 até 5 mm</t>
  </si>
  <si>
    <t>Rejuntamento de rodapé em placas cerâmicas até 10 cm de altura com cimento branco, juntas acima de 5 até 10 mm</t>
  </si>
  <si>
    <t>Rejuntamento de rodapé em placas cerâmicas até 10 cm de altura com argamassa industrializada para rejunte, juntas acima de 5 até 10 mm</t>
  </si>
  <si>
    <t>Pisos em placas cerâmicas não esmaltadas extrudadas</t>
  </si>
  <si>
    <t>Piso cerâmico não esmaltado extrudado alta resistência química e mecânica, espessura de 9 mm, assentado com argamassa de cimento e areia</t>
  </si>
  <si>
    <t>Piso cerâmico não esmaltado extrudado alta resistência química e mecânica, espessura de 9 mm, assentado com argamassa colante industrializada</t>
  </si>
  <si>
    <t>Piso cerâmico não esmaltado extrudado alta resistência química e mecânica, espessura de 14 mm, assentado com argamassa de cimento e areia</t>
  </si>
  <si>
    <t>Piso cerâmico não esmaltado extrudado alta resistência química e mecânica, espessura de 14 mm, assentado com argamassa colante industrializada</t>
  </si>
  <si>
    <t>Rodapé cerâmico não esmaltado extrudado alta resistência química e mecânica, altura de 10 cm, assentado com argamassa de cimento e areia</t>
  </si>
  <si>
    <t>Rodapé cerâmico não esmaltado extrudado alta resistência química e mecânica, altura de 10 cm, assentado com argamassa colante industrializada</t>
  </si>
  <si>
    <t>Canto de rodapé cerâmico não esmaltado extrudado alta resistência química e mecânica, altura de 10 cm assentado com argamassa de cimento e areia</t>
  </si>
  <si>
    <t>Canto de rodapé cerâmico não esmaltado extrudado alta resistência química e mecânica, altura de 10 cm assentado com argamassa colante industrializada</t>
  </si>
  <si>
    <t>Piso cerâmico não esmaltado extrudado alta resistência química e mecânica, espessura 14mm, assentado com argamassa industrializada, áreas com altas temperaturas</t>
  </si>
  <si>
    <t>Rodapé cerâmico não esmaltado extrudado alta resistência química e mecânica altura de 10cm, assentado com argamassa industrializada, áreas com altas temperturas</t>
  </si>
  <si>
    <t>Rejuntamento de piso cerâmico extrudado antiácido de 9 mm, com argamassa industrializada à base de resina furânica, juntas acima de 3 até 6 mm</t>
  </si>
  <si>
    <t>Rejuntamento de piso cerâmico extrudado antiácido de 9 mm, com argamassa industrializada à base de resina epóxi, juntas acima de 3 até 6 mm</t>
  </si>
  <si>
    <t>Rejuntamento de piso cerâmico extrudado antiácido de 14 mm, com argamassa industrializada à base de resina furânica, juntas acima de 3 até 6 mm</t>
  </si>
  <si>
    <t>Rejuntamento de piso cerâmico extrudado antiácido de 14 mm, com argamassa industrializada à base de resina epóxi, juntas acima de 3 até 6 mm</t>
  </si>
  <si>
    <t>Rejuntamento de revestimento cerâmico extrudado antiácido de 9 mm, com argamassa industrializada à base de resina epóxi, juntas acima de 3 até 6 mm</t>
  </si>
  <si>
    <t>Rejuntamento piso cerâmico extrudado antiácido de 14 mm, com argamassa industrializada à base de bauxita, juntas acima de 3 até 6mm, áreas de altas temperturas</t>
  </si>
  <si>
    <t>Rejuntamento de rodapé cerâmico extrudado antiácido de 9 mm, com argamassa industrializada à base de resina furânica, juntas acima de 3 até 6 mm</t>
  </si>
  <si>
    <t>Rejuntamento de rodapé cerâmico extrudado antiácido de 9 mm, com argamassa industrializada à base de resina epóxi, juntas acima de 3 até 6 mm</t>
  </si>
  <si>
    <t>Revestimento em porcelanato</t>
  </si>
  <si>
    <t>Revestimento em porcelanato esmaltado antiderrapante, grupo de absorção BI-a, rejuntado</t>
  </si>
  <si>
    <t>Rodapé em porcelanato esmaltado antiderrapante, grupo de absorção BI-a, rejuntado</t>
  </si>
  <si>
    <t>Revestimento em porcelanato esmaltado, grupo de absorção BI-a, rejuntado</t>
  </si>
  <si>
    <t>Rodapé em porcelanato esmaltado, grupo de absorção BI-a, rejuntado</t>
  </si>
  <si>
    <t>Revestimento em porcelanato técnico antiderrapante, grupo de absorção BI-a, rejuntado</t>
  </si>
  <si>
    <t>Rodapé em porcelanato técnico antiderrapante, grupo de absorção BI-a, rejuntado</t>
  </si>
  <si>
    <t>Revestimento em porcelanato técnico antiácido, grupo de absorção BI-a, rejuntado com resina epóxi</t>
  </si>
  <si>
    <t>Rodapé em porcelanato técnico antiácido, grupo de absorção BI-a, rejuntado com resina epóxi</t>
  </si>
  <si>
    <t>Revestimento em porcelanato técnico coeficiente de atrito II, grupo de absorção BI-a, rejuntado</t>
  </si>
  <si>
    <t>Rodapé em porcelanato técnico, coeficiente de atrito II, grupo de absorção BI-a, rejuntado</t>
  </si>
  <si>
    <t>Revestimento em porcelanato técnico, coeficiente de atrito I, grupo de absorção BI-a, rejuntado</t>
  </si>
  <si>
    <t>Rodapé em porcelanato técnico, coeficiente de atrito I, grupo de absorção BI-a, rejuntado</t>
  </si>
  <si>
    <t>Revestimentos em placas cerâmicas esmaltadas prensadas</t>
  </si>
  <si>
    <t>Revestimento em placa cerâmica esmaltada para paredes de 15 x 15 cm, assentado com argamassa mista</t>
  </si>
  <si>
    <t>Revestimento em placa cerâmica esmaltada para paredes de 15 x 15 cm, assentado com argamassa colante industrializada</t>
  </si>
  <si>
    <t>Revestimento em placa cerâmica esmaltada para paredes de 20 x 20 cm, assentado com argamassa mista</t>
  </si>
  <si>
    <t>Revestimento em placa cerâmica esmaltada para paredes de 20 x 20 cm, assentado com argamassa AC-I colante industrializada</t>
  </si>
  <si>
    <t>Revestimento em placa cerâmica esmaltada para parede interna de 10 x 10 cm, assentado com argamassa colante industrializada</t>
  </si>
  <si>
    <t>Revestimento em placa cerâmica esmaltada de 10 x 10 cm, assentado com argamassa colante industrializada</t>
  </si>
  <si>
    <t>Revestimento em placa cerâmica esmaltada para paredes de 20 x 20 cm, assentado com argamassa AC-II colante industrializada</t>
  </si>
  <si>
    <t>Rejuntamento de placa cerâmica de 15 x 15 cm com cimento branco, juntas até 3 mm</t>
  </si>
  <si>
    <t>Rejuntamento de placa cerâmica de 15 x 15 cm com argamassa industrializada para rejunte, juntas até 3 mm</t>
  </si>
  <si>
    <t>Rejuntamento de cerâmica esmaltada de 20 x 20 cm com cimento branco, juntas até 3 mm</t>
  </si>
  <si>
    <t>Rejuntamento de cerâmica esmaltada de 20 x 20 cm com argamassa industrializada para rejunte, juntas até 3 mm</t>
  </si>
  <si>
    <t>Rejuntamento de placas cerâmicas de 10 x 10 cm com argamassa industrializada para rejunte, juntas de 6 mm</t>
  </si>
  <si>
    <t>Revestimentos em pastilhas e mosaicos</t>
  </si>
  <si>
    <t>Revestimento em pastilha de porcelana natural ou esmaltada de 5 x 5 cm, assentado e rejuntado com argamassa colante industrializada</t>
  </si>
  <si>
    <t>Revestimento em pastilha de porcelana natural ou esmaltada de 5 x 5 cm, assentado e rejuntado com argamassa colante industrializada, faixas até 40 cm</t>
  </si>
  <si>
    <t>Revestimento em pastilha de porcelana natural ou esmaltada de 2,5 x 2,5 cm, assentado e rejuntado com argamassa colante industrializada</t>
  </si>
  <si>
    <t>Revestimento em pastilha de porcelana natural ou esmaltada de 2,5 x 2,5 cm, assentado e rejuntado com argamassa colante industrializada, faixas até 40 cm</t>
  </si>
  <si>
    <t>Revestimento em placas cerâmicas não esmaltadas extrudadas</t>
  </si>
  <si>
    <t>Revestimento de placa cerâmica não esmaltada extrudada alta resistência química e mecânica, espessura de 9 mm, assentado com argamassa colante industrializada</t>
  </si>
  <si>
    <t>Rejuntamento de revestimento cerâmico não esmaltado extrudado antiácido 9 mm, com argamassa industrializada à base de resina epóxi, juntas acima de 3 até 6 mm</t>
  </si>
  <si>
    <t>Revestimento em pedra</t>
  </si>
  <si>
    <t>Granito</t>
  </si>
  <si>
    <t>Rodapé em granito com 7 cm de altura</t>
  </si>
  <si>
    <t>Revestimento em granito com 2 cm de espessura, assente com massa</t>
  </si>
  <si>
    <t>Revestimento em granito com 3 cm de espessura, assente com massa</t>
  </si>
  <si>
    <t>Peitoril e/ou soleira em granito com espessura de 2 cm e largura até 20 cm</t>
  </si>
  <si>
    <t>Degrau e espelho de granito</t>
  </si>
  <si>
    <t>Rodapé em granito com altura de 7,01 a 10 cm</t>
  </si>
  <si>
    <t>Peitoril e/ou soleira em granito com espessura de 2 cm e largura de 21 até 30 cm</t>
  </si>
  <si>
    <t>Mármore</t>
  </si>
  <si>
    <t>Revestimento em mármore branco de 2 cm, assente com massa</t>
  </si>
  <si>
    <t>Revestimento em mármore travertino nacional de 2 cm, assente com massa</t>
  </si>
  <si>
    <t>Revestimento em mármore branco de 3 cm, assente com massa</t>
  </si>
  <si>
    <t>Revestimento em mármore travertino nacional de 3 cm, assente com massa</t>
  </si>
  <si>
    <t>Degrau e espelho em mármore branco</t>
  </si>
  <si>
    <t>Degrau e espelho em mármore travertino nacional</t>
  </si>
  <si>
    <t>Rodapé em mármore branco, com 7 cm de altura</t>
  </si>
  <si>
    <t>Pedra</t>
  </si>
  <si>
    <t>Revestimento em pedra tipo arenito comum</t>
  </si>
  <si>
    <t>Revestimento em pedra mineira comum</t>
  </si>
  <si>
    <t>Revestimento em pedra miracema</t>
  </si>
  <si>
    <t>Rodapé em pedra miracema com 5,75 cm de altura</t>
  </si>
  <si>
    <t>Rodapé em pedra miracema com 11,5 cm de altura</t>
  </si>
  <si>
    <t>Rodapé em pedra mineira simples com 10 cm de altura</t>
  </si>
  <si>
    <t>Revestimento em pedra ardósia selecionada</t>
  </si>
  <si>
    <t>Rodapé em pedra ardósia com 7 cm de altura</t>
  </si>
  <si>
    <t>Peitoril e/ou soleira em ardósia com espessura de 2 cm e largura até 20 cm</t>
  </si>
  <si>
    <t>Recolocação de mármore, pedras e granitos, assentes com massa</t>
  </si>
  <si>
    <t>Revestimento em madeira</t>
  </si>
  <si>
    <t>Lambris de madeira</t>
  </si>
  <si>
    <t>Lambril em madeira macho/fêmea tarugado, exceto pinus</t>
  </si>
  <si>
    <t>Soalho de madeira</t>
  </si>
  <si>
    <t>Soalho em tábua de madeira aparelhada</t>
  </si>
  <si>
    <t>Tacos</t>
  </si>
  <si>
    <t>Piso em tacos de Ipê colado</t>
  </si>
  <si>
    <t>Rodapé de madeira</t>
  </si>
  <si>
    <t>Rodapé de madeira de 5 x 1,5 cm</t>
  </si>
  <si>
    <t>Rodapé de madeira de 7 x 1,5 cm</t>
  </si>
  <si>
    <t>Cordão de madeira</t>
  </si>
  <si>
    <t>Recolocação de soalho em madeira</t>
  </si>
  <si>
    <t>Recolocação de tacos soltos com cola</t>
  </si>
  <si>
    <t>Recolocação de rodapé e cordão de madeira</t>
  </si>
  <si>
    <t>Raspagem com calafetação e aplicação de verniz sinteco</t>
  </si>
  <si>
    <t>Raspagem com calafetação e aplicação de cera</t>
  </si>
  <si>
    <t>Revestimentos sintéticos e metálicos</t>
  </si>
  <si>
    <t>Revestimento em borracha</t>
  </si>
  <si>
    <t>Revestimento em borracha sintética preta de 4,0 mm - colado</t>
  </si>
  <si>
    <t>Revestimento em borracha sintética preta de 7,0 mm - argamassado</t>
  </si>
  <si>
    <t>Revestimento vinílico</t>
  </si>
  <si>
    <t>Revestimento vinílico de 2,0 mm, para tráfego médio, com impermeabilizante acrílico</t>
  </si>
  <si>
    <t>Revestimento vinílico de 3,2 mm, para tráfego intenso, com impermeabilizante acrílico</t>
  </si>
  <si>
    <t>Revestimento vinílico em manta acústica heterogênea, espessura 3mm</t>
  </si>
  <si>
    <t>Revestimento vinílico em manta heterogênea, espessura 2mm</t>
  </si>
  <si>
    <t>Revestimento vinílico em manta calandrada homogênea flexível com espessura de 2mm</t>
  </si>
  <si>
    <t>Revestimento vinílico heterogêneo flexível em réguas com espessura de 3mm</t>
  </si>
  <si>
    <t>Revestimento metálico</t>
  </si>
  <si>
    <t>Revestimento em aço inoxidável AISI 304, liga 18,8, chapa 20, com espessura de 1 mm, acabamento escovado com grana especial</t>
  </si>
  <si>
    <t>Piso elevado tipo telescópico em chapa de aço, sem revestimento</t>
  </si>
  <si>
    <t>Forração e carpete</t>
  </si>
  <si>
    <t>Revestimento com carpete para tráfego moderado, uso comercial, tipo bouclê de 5,4 até 8 mm</t>
  </si>
  <si>
    <t>Revestimento com carpete para tráfego intenso, uso comercial, tipo bouclê de 6 mm</t>
  </si>
  <si>
    <t>Revestimento em cimento reforçado com fio sintético (CRFS)</t>
  </si>
  <si>
    <t>Piso em painel com miolo de madeira contraplacado por lâminas de madeira e externamente por chapas em CRFS - espessura de 40 mm</t>
  </si>
  <si>
    <t>Revestimento em plástico</t>
  </si>
  <si>
    <t>Piso elevado monolítico em malha de PVC, preenchida com massa autonivelante, altura de 75mm</t>
  </si>
  <si>
    <t>Revestimento sintético</t>
  </si>
  <si>
    <t>Revestimento em laminado melamínico dissipativo</t>
  </si>
  <si>
    <t>Rodapé sintético</t>
  </si>
  <si>
    <t>Rodapé em poliestireno de 7,0 cm</t>
  </si>
  <si>
    <t>Rodapé vinílico de 5,0 cm, com impermeabilizante acrílico</t>
  </si>
  <si>
    <t>Rodapé vinílico de 7,5 cm, com impermeabilizante acrílico</t>
  </si>
  <si>
    <t>Rodapé vinílico hospitalar de 7,5 cm, com impermeabilizante acrílico</t>
  </si>
  <si>
    <t>Rodapé em borracha sintética preta, até 7 cm - colado</t>
  </si>
  <si>
    <t>Rodapé de cordão de poliamida</t>
  </si>
  <si>
    <t>Rodapé com 10cm de altura em laminado melamínico dissipativo</t>
  </si>
  <si>
    <t>Degrau sintético</t>
  </si>
  <si>
    <t>Degrau (piso e espelho) em borracha sintética preta com testeira - colado</t>
  </si>
  <si>
    <t>Testeira para arremate de degrau vinílico, espessura de 2,0 mm, com impermeabilizante acrílico</t>
  </si>
  <si>
    <t>Recolocação de piso sintético com cola</t>
  </si>
  <si>
    <t>Recolocação de piso sintético argamassado</t>
  </si>
  <si>
    <t>Recolocação de piso elevado telescópico metálico, inclusive estrutura de sustentação</t>
  </si>
  <si>
    <t>Furação de piso elevado telescópico em chapa de aço</t>
  </si>
  <si>
    <t>Recolocação de rodapé e cordões sintéticos</t>
  </si>
  <si>
    <t>Fita adesiva antiderrapante fotoluminescente, com largura de 5 cm</t>
  </si>
  <si>
    <t>Cantoneira de sobrepor em PVC de 4,0 x 4,0 cm</t>
  </si>
  <si>
    <t>Canto externo de acabamento em PVC</t>
  </si>
  <si>
    <t>Forro, brise e fachada</t>
  </si>
  <si>
    <t>Forro de madeira</t>
  </si>
  <si>
    <t>Forro em tábuas aparelhadas macho e fêmea de pinus</t>
  </si>
  <si>
    <t>Forro em tábuas aparelhadas macho e fêmea de pinus tarugado</t>
  </si>
  <si>
    <t>Forro xadrez em ripas de angelim-vermelho / bacuri / maçaranduba tarugado</t>
  </si>
  <si>
    <t>Testeira em tábua aparelhada, com largura de até 20 cm</t>
  </si>
  <si>
    <t>Beiral em tábua de angelim-vermelho / bacuri / maçaranduba macho e fêmea com tarugamento</t>
  </si>
  <si>
    <t>Beiral em tábua de angelim-vermelho / bacuri / maçaranduba macho e fêmea</t>
  </si>
  <si>
    <t>Forro de gesso</t>
  </si>
  <si>
    <t>Forro em placa de gesso liso fixo</t>
  </si>
  <si>
    <t>Forro em painéis de gesso acartonado, com espessura de 12,5 mm, fixo</t>
  </si>
  <si>
    <t>Forro em painéis de gesso acartonado, acabamento liso com película em PVC - 625 x 1250 mm, espessura de 9,5 mm, removível</t>
  </si>
  <si>
    <t>Forro de gesso removível com película rígida de PVC de 625 x 625mm</t>
  </si>
  <si>
    <t>Forro sintético</t>
  </si>
  <si>
    <t>Forro em poliestireno expandido com textura acrílica, espessura de 20 mm</t>
  </si>
  <si>
    <t>Forro em lã de vidro revestido em PVC, espessura de 20 mm</t>
  </si>
  <si>
    <t>Forro em fibra mineral acústico, revestido em látex</t>
  </si>
  <si>
    <t>Forro modular removível em PVC - 618 mm x 1243 mm</t>
  </si>
  <si>
    <t>Forro em fibra mineral revestido em látex</t>
  </si>
  <si>
    <t>Forro em lâmina de PVC</t>
  </si>
  <si>
    <t>Forro em fibra mineral com placas acústicas removíveis de 625 x 625mm</t>
  </si>
  <si>
    <t>Forro metálico</t>
  </si>
  <si>
    <t>Forro metálico removivel, em painéis de 625 x 625 mm, tipo colmeia</t>
  </si>
  <si>
    <t>Brise-soléil</t>
  </si>
  <si>
    <t>Brise metálico, espessura 0,5 mm em chapa microperfurada aluzinc, fixado sobre estrutura auxiliar, conforme projeto</t>
  </si>
  <si>
    <t>Termobrise em aluzinc pré-pintado, com injeção de poliuretano expandido, largura 335 mm</t>
  </si>
  <si>
    <t>Brise em placa cimentícia, montado em perfil e chapa metálica</t>
  </si>
  <si>
    <t>Brise em placa cimentícia com espessura de 12mm</t>
  </si>
  <si>
    <t>Placa em fibra de vidro revestida em PVC</t>
  </si>
  <si>
    <t>Recolocação de forros fixados</t>
  </si>
  <si>
    <t>Recolocação de forros apoiados ou encaixados</t>
  </si>
  <si>
    <t>Moldura de gesso simples, largura até 6,0 cm</t>
  </si>
  <si>
    <t>Abertura para vão de luminária em forro de PVC modular</t>
  </si>
  <si>
    <t>Esquadria, marcenaria e elemento em madeira</t>
  </si>
  <si>
    <t>Janela e veneziana em madeira</t>
  </si>
  <si>
    <t>Caixilho de madeira fixo</t>
  </si>
  <si>
    <t>Caixilho em madeira de correr</t>
  </si>
  <si>
    <t>Caixilho em madeira maximar</t>
  </si>
  <si>
    <t>Caixilho em madeira tipo veneziana de correr</t>
  </si>
  <si>
    <t>Porta macho / fêmea montada com batente</t>
  </si>
  <si>
    <t>Acréscimo de bandeira - porta macho e fêmea com batente de madeira</t>
  </si>
  <si>
    <t>Porta macho e fêmea com batente de madeira - 72 x 210 cm</t>
  </si>
  <si>
    <t>Porta macho e fêmea com batente de madeira - 82 x 210 cm</t>
  </si>
  <si>
    <t>Porta macho e fêmea com batente de madeira - 92 x 210 cm</t>
  </si>
  <si>
    <t>Porta macho e fêmea com batente de madeira - 124 x 210 cm</t>
  </si>
  <si>
    <t>Acréscimo de bandeira - porta macho e fêmea com batente metálico</t>
  </si>
  <si>
    <t>Porta macho e fêmea com batente metálico - 72 x 210 cm</t>
  </si>
  <si>
    <t>Porta macho e fêmea com batente metálico - 82 x 210 cm</t>
  </si>
  <si>
    <t>Porta macho e fêmea com batente metálico - 92 x 210 cm</t>
  </si>
  <si>
    <t>Porta macho e fêmea com batente metálico - 124 x 210 cm</t>
  </si>
  <si>
    <t>Porta lisa laminada montada com batente</t>
  </si>
  <si>
    <t>Acréscimo de bandeira - porta lisa revestida com laminado fenólico melamínico e batente de madeira sem revestimento</t>
  </si>
  <si>
    <t>Porta em laminado fenólico melamínico com batente em alumínio - 82 x 180 cm</t>
  </si>
  <si>
    <t>Porta em laminado fenólico melamínico com batente em alumínio - 62 x 160 cm</t>
  </si>
  <si>
    <t>Porta em laminado fenólico melamínico com acabamento liso, batente de madeira sem revestimento - 72 x 210 cm</t>
  </si>
  <si>
    <t>Porta em laminado fenólico melamínico com acabamento liso, batente de madeira sem revestimento - 82 x 210 cm</t>
  </si>
  <si>
    <t>Porta em laminado fenólico melamínico com acabamento liso, batente de madeira sem revestimento - 92 x 210 cm</t>
  </si>
  <si>
    <t>Porta em laminado fenólico melamínico com acabamento liso, batente de madeira sem revestimento - 124 x 210 cm</t>
  </si>
  <si>
    <t>Porta em laminado fenólico melamínico com acabamento liso, batente de madeira sem revestimento - 144 x 210 cm</t>
  </si>
  <si>
    <t>Porta em laminado fenólico melamínico com acabamento liso, batente de madeira sem revestimento - 220 x 210 cm</t>
  </si>
  <si>
    <t>Acréscimo de bandeira - porta lisa revestida com laminado fenólico melamínico e batente metálico</t>
  </si>
  <si>
    <t>Porta em laminado melamínico estrutural com acabamento texturizado, batente em alumínio com ferragens - 62 x 180 cm</t>
  </si>
  <si>
    <t>Porta em laminado fenólico melamínico com acabamento liso, batente metálico - 62 x 160 cm</t>
  </si>
  <si>
    <t>Porta em laminado fenólico melamínico com acabamento liso, batente metálico - 72 x 210 cm</t>
  </si>
  <si>
    <t>Porta em laminado fenólico melamínico com acabamento liso, batente metálico - 82 x 210 cm</t>
  </si>
  <si>
    <t>Porta em laminado fenólico melamínico com acabamento liso, batente metálico - 92 x 210 cm</t>
  </si>
  <si>
    <t>Porta em laminado fenólico melamínico com acabamento liso, batente metálico - 124 x 210 cm</t>
  </si>
  <si>
    <t>Porta em laminado fenólico melamínico com acabamento liso, batente metálico - 62 x 100 cm</t>
  </si>
  <si>
    <t>Marcenaria em geral</t>
  </si>
  <si>
    <t>Estrado em madeira</t>
  </si>
  <si>
    <t>Faixa/batedor de proteção em madeira aparelhada natural 10 x 2,5 cm</t>
  </si>
  <si>
    <t>Faixa/batedor de proteção em madeira de 20 x 5 cm, com acabamento em laminado fenólico melamínico</t>
  </si>
  <si>
    <t>Armário/gabinete embutido em MDF sob medida, revestido em laminado melamínico, com portas e prateleiras</t>
  </si>
  <si>
    <t>Tampo sob medida em compensado, revestido na face superior em laminado fenólico melamínico</t>
  </si>
  <si>
    <t>Prateleira sob medida em compensado, revestida nas duas faces em lamimado fenólico melamínico</t>
  </si>
  <si>
    <t>Armário tipo prateleira com subdivisão em compensado, revestido totalmente em laminado fenólico melamínico</t>
  </si>
  <si>
    <t>Painel em compensado naval, espessura de 25 mm</t>
  </si>
  <si>
    <t>Lousa em laminado melamínico texturizado, verde oficial, ´Greenboard´ - 5,00 x 1,20 m</t>
  </si>
  <si>
    <t>Porta lisa com balcão, batente de madeira, completa - 82 x 210 cm</t>
  </si>
  <si>
    <t>Lousa em laminado melamínico, branco - linha comercial</t>
  </si>
  <si>
    <t>Armário sob medida em compensado de madeira totalmente revestido em folheado de madeira, completo</t>
  </si>
  <si>
    <t>Armário sob medida em compensado de madeira totalmente revestido em laminado melamínico texturizado, completo</t>
  </si>
  <si>
    <t>Lousa em laminado melamínico texturizado, verde oficial, ´Greenboard´ - 2,50 x 1,20 m</t>
  </si>
  <si>
    <t>Porta lisa de correr, em madeira</t>
  </si>
  <si>
    <t>Porta veneziana de correr, em madeira</t>
  </si>
  <si>
    <t>Porta acústica de madeira</t>
  </si>
  <si>
    <t>Porta de armário sob pia revestimento em laminado - de abrir</t>
  </si>
  <si>
    <t>Faixa/batedor de proteção em madeira de 290 x 15 mm, com acabamento em laminado fenólico melamínico</t>
  </si>
  <si>
    <t>Porta lisa comum montada com batente</t>
  </si>
  <si>
    <t>Acréscimo de bandeira - porta lisa comum com batente de madeira</t>
  </si>
  <si>
    <t>Porta lisa com batente madeira - 62 x 210 cm</t>
  </si>
  <si>
    <t>Porta lisa com batente madeira - 72 x 210 cm</t>
  </si>
  <si>
    <t>Porta lisa com batente madeira - 82 x 210 cm</t>
  </si>
  <si>
    <t>Porta lisa com batente madeira - 92 x 210 cm</t>
  </si>
  <si>
    <t>Porta lisa com batente madeira - 124 x 210 cm</t>
  </si>
  <si>
    <t>Porta lisa com batente madeira - 164 x 210 cm</t>
  </si>
  <si>
    <t>Porta lisa com batente madeira - 110 x 210 cm</t>
  </si>
  <si>
    <t>Porta lisa com batente em alumínio, largura 62 cm, altura de 105 a 200 cm</t>
  </si>
  <si>
    <t>Porta lisa com batente em alumínio, largura 82 cm, altura de 105 a 200 cm</t>
  </si>
  <si>
    <t>Porta lisa com batente em alumínio, largura 92 cm, altura de 105 a 200 cm</t>
  </si>
  <si>
    <t>Acréscimo de bandeira - porta lisa comum com batente metálico</t>
  </si>
  <si>
    <t>Porta lisa com batente metálico - 62 x 100 cm</t>
  </si>
  <si>
    <t>Porta lisa com batente metálico - 62 x 160 cm</t>
  </si>
  <si>
    <t>Porta lisa com batente metálico - 82 x 160 cm</t>
  </si>
  <si>
    <t>Porta lisa com batente metálico - 72 x 210 cm</t>
  </si>
  <si>
    <t>Porta lisa com batente metálico - 82 x 210 cm</t>
  </si>
  <si>
    <t>Porta lisa com batente metálico - 92 x 210 cm</t>
  </si>
  <si>
    <t>Porta lisa com batente metálico - 124 x 210 cm</t>
  </si>
  <si>
    <t>Porta lisa com batente metálico - 144 x 210 cm</t>
  </si>
  <si>
    <t>Porta lisa com batente metálico - 164 x 210 cm</t>
  </si>
  <si>
    <t>Porta lisa com batente metálico - 62 x 180 cm</t>
  </si>
  <si>
    <t>Porta lisa com batente metálico - 62 x 210 cm</t>
  </si>
  <si>
    <t>Porta lisa com batente madeira, 2 folhas - 1,40 x 2,10 m</t>
  </si>
  <si>
    <t>Porta lisa para acabamento em verniz montada com batente</t>
  </si>
  <si>
    <t>Acréscimo de bandeira - porta lisa para acabamento em verniz, com batente de madeira</t>
  </si>
  <si>
    <t>Porta lisa para acabamento em verniz, com batente de madeira - 72 x 210 cm</t>
  </si>
  <si>
    <t>Porta lisa para acabamento em verniz, com batente de madeira - 82 x 210 cm</t>
  </si>
  <si>
    <t>Porta lisa para acabamento em verniz, com batente de madeira - 92 x 210 cm</t>
  </si>
  <si>
    <t>Porta lisa para acabamento em verniz, com batente de madeira - 110 x 210 cm</t>
  </si>
  <si>
    <t>Acréscimo de bandeira - porta lisa para acabamento em verniz, com batente metálico</t>
  </si>
  <si>
    <t>Porta lisa para acabamento em verniz, com batente metálico - 72 x 210 cm</t>
  </si>
  <si>
    <t>Porta lisa para acabamento em verniz, com batente metálico - 82 x 210 cm</t>
  </si>
  <si>
    <t>Porta lisa para acabamento em verniz, com batente metálico - 92 x 210 cm</t>
  </si>
  <si>
    <t>Porta lisa para acabamento em verniz, com batente metálico - 110 x 210 cm</t>
  </si>
  <si>
    <t>Recolocação de batentes de madeira</t>
  </si>
  <si>
    <t>Recolocação de folhas de porta ou janela</t>
  </si>
  <si>
    <t>Recolocação de guarnição ou molduras</t>
  </si>
  <si>
    <t>Batente de madeira para porta</t>
  </si>
  <si>
    <t>Visor fixo e requadro de madeira para porta, para receber vidro</t>
  </si>
  <si>
    <t>Guarnição de madeira</t>
  </si>
  <si>
    <t>Acréscimo de visor completo em porta de madeira</t>
  </si>
  <si>
    <t>Folha de porta veneziana maciça, sob medida</t>
  </si>
  <si>
    <t>Folha de porta lisa folheada com madeira, sob medida</t>
  </si>
  <si>
    <t>Folha de porta em madeira para receber vidro, sob medida</t>
  </si>
  <si>
    <t>Folha de porta macho e fêmea, 72 x 210 cm</t>
  </si>
  <si>
    <t>Folha de porta macho e fêmea, 82 x 210 cm</t>
  </si>
  <si>
    <t>Folha de porta macho e fêmea, 92 x 210 cm</t>
  </si>
  <si>
    <t>Folha de porta lisa comum, 62 x 210 cm</t>
  </si>
  <si>
    <t>Folha de porta lisa comum, 72 x 210 cm</t>
  </si>
  <si>
    <t>Folha de porta lisa comum, 82 x 210 cm</t>
  </si>
  <si>
    <t>Folha de porta lisa comum, 92 x 210 cm</t>
  </si>
  <si>
    <t>Folha de porta em laminado fenólico melamínico com acabamento liso, 72 x 210 cm</t>
  </si>
  <si>
    <t>Folha de porta em laminado fenólico melamínico com acabamento liso, 92 x 210 cm</t>
  </si>
  <si>
    <t>Folha de porta em laminado fenólico melamínico com acabamento liso, 82 x 210 cm</t>
  </si>
  <si>
    <t>Folha de porta em madeira com tela de proteção tipo mosqueteira</t>
  </si>
  <si>
    <t>Esquadria, serralheria e elemento em ferro</t>
  </si>
  <si>
    <t>Caixilho em ferro</t>
  </si>
  <si>
    <t>Caixilho em ferro fixo, sob medida</t>
  </si>
  <si>
    <t>Caixilho em ferro basculante, sob medida</t>
  </si>
  <si>
    <t>Caixilho em ferro basculante, linha comercial</t>
  </si>
  <si>
    <t>Caixilho em ferro maximar, sob medida</t>
  </si>
  <si>
    <t>Caixilho em ferro maximar com grade, linha comercial</t>
  </si>
  <si>
    <t>Caixilho em ferro de correr, sob medida</t>
  </si>
  <si>
    <t>Caixilho em ferro de correr, linha comercial</t>
  </si>
  <si>
    <t>Caixilho em ferro com ventilação permanente, sob medida</t>
  </si>
  <si>
    <t>Caixilho em ferro tipo veneziana, linha comercial</t>
  </si>
  <si>
    <t>Caixilho em ferro tipo veneziana, sob medida</t>
  </si>
  <si>
    <t>Caixilho tipo veneziana industrial com montantes em aço galvanizado e aletas em fibra de vidro</t>
  </si>
  <si>
    <t>Caixilho tipo veneziana industrial com aletas em PVC e montantes em aço galvanizado</t>
  </si>
  <si>
    <t>Caixilho removível, em tela de aço galvanizado, tipo ondulada com malha de 1´, fio 12, com requadro tubular de aço carbono, sob medida</t>
  </si>
  <si>
    <t>Caixilho fixo em tela de aço galvanizado, tipo ondulada com malha de 1/2´, fio 12, com requadro em cantoneira de aço carbono, sob medida</t>
  </si>
  <si>
    <t>Caixilho fixo em aço SAE 1010/1020 para vidro à prova de bala, sob medida</t>
  </si>
  <si>
    <t>Caixilho tipo guichê em perfil de chapa dobrada em aço com subdivisões para vidro laminado 3 mm, sob medida</t>
  </si>
  <si>
    <t>Caixilho tipo guichê em chapa de aço</t>
  </si>
  <si>
    <t>Portas, portões e gradis</t>
  </si>
  <si>
    <t>Porta em ferro de abrir, para receber vidro, sob medida</t>
  </si>
  <si>
    <t>Porta em ferro de abrir, para receber vidro, linha comercial</t>
  </si>
  <si>
    <t>Porta/portão tipo gradil sob medida</t>
  </si>
  <si>
    <t>Porta corta-fogo classe P.90 de 90 x 210 cm, completa, com maçaneta tipo alavanca</t>
  </si>
  <si>
    <t>Porta/portão de abrir em chapa, sob medida</t>
  </si>
  <si>
    <t>Porta de ferro de abrir tipo veneziana, linha comercial</t>
  </si>
  <si>
    <t>Porta/portão de abrir em veneziana de ferro, sob medida</t>
  </si>
  <si>
    <t>Portão tubular em tela de aço galvanizado até 2,50 m de altura, completo</t>
  </si>
  <si>
    <t>Portão de 2 folhas, tubular em tela de aço galvanizado acima de 2,50 m de altura, completo</t>
  </si>
  <si>
    <t>Porta/portão de correr em tela ondulada de aço galvanizado, sob medida</t>
  </si>
  <si>
    <t>Porta/portão de correr em chapa cega dupla, sob medida</t>
  </si>
  <si>
    <t>Porta corta-fogo classe P.90 de 100 x 210 cm, completa, com maçaneta tipo alavanca</t>
  </si>
  <si>
    <t>Porta em ferro de correr, para receber vidro, sob medida</t>
  </si>
  <si>
    <t>Porta em ferro de abrir, parte inferior chapeada, parte superior para receber vidro, sob medida</t>
  </si>
  <si>
    <t>Porta em ferro tipo sanfonada, em chapa cega, sob medida</t>
  </si>
  <si>
    <t>Grade de proteção para caixilhos</t>
  </si>
  <si>
    <t>Porta de abrir em tela ondulada de aço galvanizado, completa</t>
  </si>
  <si>
    <t>Portinhola de correr em chapa, para ´passa pacote´, completa, sob medida</t>
  </si>
  <si>
    <t>Portinhola de abrir em chapa, para ´passa pacote´, completa, sob medida</t>
  </si>
  <si>
    <t>Grade em barra chata soldada de 1 1/2´ x 1/4´, sob medida</t>
  </si>
  <si>
    <t>Porta de enrolar manual, cega ou vazada</t>
  </si>
  <si>
    <t>Portão de 2 folhas tubular diâmetro de 3´, com tela em aço galvanizado de 2´, altura acima de 3,00 m, completo</t>
  </si>
  <si>
    <t>Porta/portão de abrir em chapa cega com isolamento acústico, sob medida</t>
  </si>
  <si>
    <t>Portão basculante em chapa metálica, estruturado com perfis metálicos</t>
  </si>
  <si>
    <t>Porta de abrir em chapa dupla com visor, batente envolvente, completa</t>
  </si>
  <si>
    <t>Porta corta-fogo classe P.90, com barra antipânico numa face e maçaneta na outra, completa</t>
  </si>
  <si>
    <t>Porta corta-fogo classe P.120 de 90 x 210 cm, com uma folha de abrir</t>
  </si>
  <si>
    <t>Portão de 2 folhas tubular, com tela em aço galvanizado de 2´ e fio 10, completo</t>
  </si>
  <si>
    <t>Porta corta-fogo classe P.120 de 80 x 210 cm, com uma folha de abrir, completa</t>
  </si>
  <si>
    <t>Elementos em ferro</t>
  </si>
  <si>
    <t>Guarda-corpo tubular com tela em aço galvanizado, diâmetro de 1 1/2´</t>
  </si>
  <si>
    <t>Escada marinheiro (galvanizada)</t>
  </si>
  <si>
    <t>Escada marinheiro com guarda corpo (degrau em ´T´)</t>
  </si>
  <si>
    <t>Alçapão/tampa em chapa de ferro com porta cadeado</t>
  </si>
  <si>
    <t>Tela de proteção tipo mosquiteira em aço galvanizado, com requadro em perfis de ferro</t>
  </si>
  <si>
    <t>Tela de proteção em malha ondulada de 1´, fio 10 (BWG), com requadro</t>
  </si>
  <si>
    <t>Fechamento em chapa de aço galvanizada nº 14 MSG, perfurada com diâmetro de 12,7 mm, requadro em chapa dobrada</t>
  </si>
  <si>
    <t>Fechamento em chapa expandida losangular de 10 x 20 mm, com requadro em cantoneira de aço carbono</t>
  </si>
  <si>
    <t>Corrimão tubular em aço galvanizado, diâmetro 1 1/2´</t>
  </si>
  <si>
    <t>Corrimão tubular em aço galvanizado, diâmetro 2´</t>
  </si>
  <si>
    <t>Tampa em chapa de segurança tipo xadrez, aço galvanizado a fogo antiderrapante de 1/4´</t>
  </si>
  <si>
    <t>Fechamento em chapa perfurada, furos quadrados 4 x 4 mm, com requadro em cantoneira de aço carbono</t>
  </si>
  <si>
    <t>Grade para piso eletrofundida, malha 30 x 100 mm, com barra de 40 x 2 mm</t>
  </si>
  <si>
    <t>Grade para forro eletrofundida, malha 25 x 100 mm, com barra de 25 x 2 mm</t>
  </si>
  <si>
    <t>Porta de enrolar automatizada, em chapa de aço galvanizada microperfurada, com pintura eletrostática, com controle remoto</t>
  </si>
  <si>
    <t>Guarda-corpo com tela trançada, em tubo de aço galvanizado, diâmetro 1 1/2´</t>
  </si>
  <si>
    <t>Esquadria, serralheria de segurança</t>
  </si>
  <si>
    <t>Porta de segurança de correr suspensa em grade de aço SAE 1045, diâmetro de 1´, completa, sem têmpera e revenimento</t>
  </si>
  <si>
    <t>Grade de segurança em aço SAE 1045, diâmetro 1´, sem têmpera e revenimento</t>
  </si>
  <si>
    <t>Grade de segurança, para janela, em aço SAE 1045, diâmetro 1´, sem têmpera e revenimento</t>
  </si>
  <si>
    <t>Grade de segurança em aço SAE 1045 chapeada, diâmetro 1´, sem têmpera e revenimento</t>
  </si>
  <si>
    <t>Porta de segurança de abrir em grade com aço SAE 1045, diâmetro 1´, completa, sem têmpera e revenimento</t>
  </si>
  <si>
    <t>Porta de segurança de abrir em grade com aço SAE 1045 chapeada, diâmetro 1´, completa, sem têmpera e revenimento</t>
  </si>
  <si>
    <t>Porta de segurança de abrir, em grade com aço SAE 1045, diâmetro 1´, com ferrolho longo embutido em caixa, completa, sem têmpera e revenimento</t>
  </si>
  <si>
    <t>Portão de segurança de abrir, para muralha, em grade com aço SAE 1045 chapeado, diâmetro 1´, completo, sem têmpera e revenimento</t>
  </si>
  <si>
    <t>Grade de segurança em aço SAE 1045, diâmetro 1´, com têmpera e revenimento</t>
  </si>
  <si>
    <t>Grade de segurança, para janela, em aço SAE 1045, diâmetro 1´, com têmpera e revenimento</t>
  </si>
  <si>
    <t>Grade de segurança em aço SAE 1045 chapeada, diâmetro 1´, com têmpera e revenimento</t>
  </si>
  <si>
    <t>Porta de segurança de abrir em grade com aço SAE 1045, diâmetro 1´, completa, com têmpera e revenimento</t>
  </si>
  <si>
    <t>Porta de segurança de abrir, em grade com aço SAE 1045 chapeada, diâmetro 1´, completa, com têmpera e revenimento</t>
  </si>
  <si>
    <t>Porta de segurança de abrir, em grade com aço SAE 1045, diâmetro 1´, com ferrolho longo embutido em caixa, completa, com têmpera e revenimento</t>
  </si>
  <si>
    <t>Porta de segurança de abrir, em grade com aço SAE 1045 chapeada, com isolamento acústico, diâmetro 1´, completa, com têmpera e revenimento</t>
  </si>
  <si>
    <t>Portão de segurança de abrir, para muralha, em grade com aço SAE 1045 chapeado, diâmetro 1´, completo, com têmpera e revenimento</t>
  </si>
  <si>
    <t>Porta de segurança de correr suspensa em grade de aço SAE 1045, chapeada, diâmetro de 1´, completa, sem têmpera e revenimento</t>
  </si>
  <si>
    <t>Porta de segurança de correr em grade de aço SAE 1045, diâmetro de 1´, completa, com têmpera e revenimento</t>
  </si>
  <si>
    <t>Porta de segurança de correr suspensa em grade de aço SAE 1045 chapeada, diâmetro de 1´, completa, com têmpera e revenimento</t>
  </si>
  <si>
    <t>Porta de segurança de correr em grade de aço SAE 1045 chapeada, diâmetro de 1´, completa, sem têmpera e revenimento</t>
  </si>
  <si>
    <t>Porta de segurança de correr em grade de aço SAE 1045, diâmetro de 1´, completa, sem têmpera e revenimento</t>
  </si>
  <si>
    <t>Caixilho de segurança em aço SAE 1010/1020 tipo fixo e de correr, para receber vidro, com bandeira tipo veneziana</t>
  </si>
  <si>
    <t>Guichê de segurança em grade com aço SAE 1045, diâmetro de 1´, com têmpera e revenimento</t>
  </si>
  <si>
    <t>Guichê de segurança em grade com aço SAE 1045, diâmetro de 1´, sem têmpera e revenimento</t>
  </si>
  <si>
    <t>Esquadria, serralheria de segurança - padrão Fundação Casa</t>
  </si>
  <si>
    <t>Portão de segurança de abrir, para muralha, em chapa de aço galvanizado, completo - padrão Fundação Casa</t>
  </si>
  <si>
    <t>Porta de segurança de abrir em chapa de aço galvanizado, batente envolvente, completa - padrão Fundação Casa</t>
  </si>
  <si>
    <t>Caixilho de segurança tipo ventilação permanente, com tela de proteção, em chapa expandida, batente envolvente - padrão Fundação Casa</t>
  </si>
  <si>
    <t>Gaiola de segurança, completa - padrão Fundação Casa</t>
  </si>
  <si>
    <t>Caixilho de segurança com ventilação permanente e grade, tipo 1, batente envolvente - padrão Fundação Casa</t>
  </si>
  <si>
    <t>Caixilho de segurança com ventilação permanente, tipo 2, batente envolvente - padrão Fundação Casa</t>
  </si>
  <si>
    <t xml:space="preserve"> Guarda-corpo com vidro de 8mm, em tubo de aço galvanizado, diâmetro 1 1/2´</t>
  </si>
  <si>
    <t>Porta de enrolar automatizado, em perfil meia cana perfurado, tipo transvision</t>
  </si>
  <si>
    <t>Porta de abrir em chapa de aço galvanizado, com requadro em tela ondulada malha 2´ e fio 12</t>
  </si>
  <si>
    <t>Esquadria, serralheria e elemento em aço inoxidável</t>
  </si>
  <si>
    <t>Corrimão duplo em tubo de aço inoxidável escovado, com diâmetro de 1 1/2´ e montantes com diâmetro de 2´</t>
  </si>
  <si>
    <t>Corrimão em tubo de aço inoxidável escovado, diâmetro de 1 1/2´</t>
  </si>
  <si>
    <t>Corrimão em tubo de aço inoxidável escovado, diâmetro de 1 1/2´ e montantes com diâmetro de 2´</t>
  </si>
  <si>
    <t>Recolocação de esquadrias metálicas</t>
  </si>
  <si>
    <t>Recolocação de batentes</t>
  </si>
  <si>
    <t>Recolocação de escada de marinheiro</t>
  </si>
  <si>
    <t>Solda MIG em esquadrias metálicas</t>
  </si>
  <si>
    <t>Brete para instalação lateral em grade de segurança</t>
  </si>
  <si>
    <t>Batente em chapa dobrada para portas</t>
  </si>
  <si>
    <t>Batente em chapa de aço SAE 1010/1020, espessura de 3/16´, para obras de segurança</t>
  </si>
  <si>
    <t>Chapa de ferro nº 14, inclusive soldagem</t>
  </si>
  <si>
    <t>Tela ondulada em aço galvanizado fio 10 BWG, malha de 1´</t>
  </si>
  <si>
    <t>Tela em aço galvanizado fio 16 BWG, malha de 1´ - tipo alambrado</t>
  </si>
  <si>
    <t>Chapa perfurada em aço SAE 1020, furos redondos de diâmetro 7,5 mm, espessura 1/8´ - soldagem tipo MIG</t>
  </si>
  <si>
    <t>Chapa perfurada em aço SAE 1020, furos redondos de diâmetro 25 mm, espessura 1/4´, inclusive soldagem</t>
  </si>
  <si>
    <t>Esquadria, serralheria e elemento em alumínio</t>
  </si>
  <si>
    <t>Caixilho em alumínio</t>
  </si>
  <si>
    <t>Caixilho em alumínio fixo, sob medida</t>
  </si>
  <si>
    <t>Caixilho em alumínio basculante com vidro, linha comercial</t>
  </si>
  <si>
    <t>Caixilho em alumínio basculante, sob medida</t>
  </si>
  <si>
    <t>Caixilho em alumínio maximar com vidro, linha comercial</t>
  </si>
  <si>
    <t>Caixilho em alumínio maximar, sob medida</t>
  </si>
  <si>
    <t>Caixilho em alumínio de correr com vidro, linha comercial</t>
  </si>
  <si>
    <t>Caixilho em alumínio de correr, sob medida</t>
  </si>
  <si>
    <t>Caixilho em alumínio tipo veneziana com vidro, linha comercial</t>
  </si>
  <si>
    <t>Caixilho em alumínio tipo veneziana, sob medida</t>
  </si>
  <si>
    <t>Caixilho guilhotina em alumínio anodizado, sob medida</t>
  </si>
  <si>
    <t>Caixilho tipo veneziana industrial com montantes em alumínio e aletas em fibra de vidro</t>
  </si>
  <si>
    <t>Caixilho fixo em alumínio, sob medida, cor branco</t>
  </si>
  <si>
    <t>Caixilho em alumínio maximar com vidro, cor branco</t>
  </si>
  <si>
    <t>Caixilho em alumínio basculante com vidro, cor branco</t>
  </si>
  <si>
    <t>Caixilho em alumínio de correr com vidro, cor branco</t>
  </si>
  <si>
    <t>Caixilho em alumínio anodizado fixo</t>
  </si>
  <si>
    <t>Caixilho em alumínio anodizado maximar</t>
  </si>
  <si>
    <t>Caixilho em alumínio fixo, tipo fachada</t>
  </si>
  <si>
    <t>Caixilho em alumínio maximar, tipo fachada</t>
  </si>
  <si>
    <t>Caixilho em alumínio para pele de vidro, tipo fachada</t>
  </si>
  <si>
    <t>Gradil em aluminio natural, sob medida</t>
  </si>
  <si>
    <t>Caixilho fixo tipo veneziana em alumínio anodizado, sob medida - branco</t>
  </si>
  <si>
    <t>Caixilho em alumínio com pintura eletrostática, basculante, sob medida - branco</t>
  </si>
  <si>
    <t>Caixilho em alumínio com pintura eletrostática, maximar, sob medida - branco</t>
  </si>
  <si>
    <t>Caixilho em alumínio anodizado fixo, sob medida - bronze/preto</t>
  </si>
  <si>
    <t>Caixilho em alumínio anodizado basculante, sob medida - bronze/preto</t>
  </si>
  <si>
    <t>Caixilho em alumínio anodizado maximar, sob medida - bronze/preto</t>
  </si>
  <si>
    <t>Caixilho em alumínio anodizado de correr, sob medida - bronze/preto</t>
  </si>
  <si>
    <t>Porta em alumínio</t>
  </si>
  <si>
    <t>Porta de entrada de abrir em alumínio com vidro, linha comercial</t>
  </si>
  <si>
    <t>Porta de entrada de abrir em alumínio, sob medida</t>
  </si>
  <si>
    <t>Porta de entrada de correr em alumínio, sob medida</t>
  </si>
  <si>
    <t>Porta veneziana de abrir em alumínio, linha comercial</t>
  </si>
  <si>
    <t>Porta/portinhola em alumínio, sob medida</t>
  </si>
  <si>
    <t>Portinhola tipo veneziana em alumínio, linha comercial</t>
  </si>
  <si>
    <t>Porta veneziana de abrir em alumínio, sob medida</t>
  </si>
  <si>
    <t>Porta veneziana de abrir em alumínio, cor branca</t>
  </si>
  <si>
    <t>Porta de correr em alumínio com veneziana e vidro, cor branca</t>
  </si>
  <si>
    <t>Porta em alumínio anodizado de abrir, sob medida - bronze/preto</t>
  </si>
  <si>
    <t>Porta em alumínio anodizado de correr, sob medida - bronze/preto</t>
  </si>
  <si>
    <t>Porta em alumínio anodizado de abrir, tipo veneziana, sob medida - bronze/preto</t>
  </si>
  <si>
    <t>Portinhola em alumínio anodizado de correr, tipo veneziana, sob medida - bronze/preto</t>
  </si>
  <si>
    <t>Porta de abrir em alumínio com pintura eletrostática, sob medida - cor branca</t>
  </si>
  <si>
    <t>Elementos em alumínio</t>
  </si>
  <si>
    <t>Guarda-corpo com perfis em alumínio</t>
  </si>
  <si>
    <t>Tela de proteção tipo mosqueteira removível, em fibra de vidro com revestimento em PVC e requadro em alumínio</t>
  </si>
  <si>
    <t>Esquadria e elemento em vidro</t>
  </si>
  <si>
    <t>Vidro comum e laminado</t>
  </si>
  <si>
    <t>Vidro liso transparente de 3 mm</t>
  </si>
  <si>
    <t>Vidro liso transparente de 4 mm</t>
  </si>
  <si>
    <t>Vidro liso transparente de 5 mm</t>
  </si>
  <si>
    <t>Vidro liso transparente de 6 mm</t>
  </si>
  <si>
    <t>Vidro liso laminado incolor de 6 mm</t>
  </si>
  <si>
    <t>Vidro liso laminado colorido de 6 mm</t>
  </si>
  <si>
    <t>Vidro liso laminado leitoso de 6 mm</t>
  </si>
  <si>
    <t>Vidro liso laminado incolor de 10 mm</t>
  </si>
  <si>
    <t>Vidro liso laminado incolor de 30 mm</t>
  </si>
  <si>
    <t>Vidro liso laminado jateado de 6 mm</t>
  </si>
  <si>
    <t>Vidro liso laminado incolor de 8 mm</t>
  </si>
  <si>
    <t>Vidro fantasia de 3/4 mm</t>
  </si>
  <si>
    <t>Vidro fantasia colorido de 3/4 mm</t>
  </si>
  <si>
    <t>Vidro aramado de 6/7 mm</t>
  </si>
  <si>
    <t>Vidro liso laminado colorido de 10 mm</t>
  </si>
  <si>
    <t>Vidro liso laminado de alta segurança</t>
  </si>
  <si>
    <t>Vidro laminado refletivo de 8mm, composto por lâmina de vidro ´float´e metalização na face externa tipo ´online´</t>
  </si>
  <si>
    <t>Vidro laminado refletivo de 12mm, composto por lâmina de vidro ´float´e metalização na face externa tipo ´online´</t>
  </si>
  <si>
    <t>Vidro monolítico refletivo de 4mm, composto por lamina de vidro ´float´ e metalização na face externa tipo ´on line´</t>
  </si>
  <si>
    <t>Vidro monolítico refletivo de 6mm, composto por lamina de vidro ´float´ e metalização na face externa tipo ´on line´</t>
  </si>
  <si>
    <t>Vidros temperados</t>
  </si>
  <si>
    <t>Vidro temperado incolor de 6 mm</t>
  </si>
  <si>
    <t>Vidro temperado incolor de 8 mm</t>
  </si>
  <si>
    <t>Vidro temperado incolor de 10 mm</t>
  </si>
  <si>
    <t>Vidro temperado cinza ou bronze de 6 mm</t>
  </si>
  <si>
    <t>Vidro temperado cinza ou bronze de 8 mm</t>
  </si>
  <si>
    <t>Vidro temperado cinza ou bronze de 10 mm</t>
  </si>
  <si>
    <t>Vidro temperado serigrafado incolor de 8 mm</t>
  </si>
  <si>
    <t>Vidro de controle solar, refletivo e metalização ´on line´ com 12mm de espessura</t>
  </si>
  <si>
    <t>Vidros especiais</t>
  </si>
  <si>
    <t>Vidro laminado temperado incolor de 6mm</t>
  </si>
  <si>
    <t>Vidro laminado temperado incolor de 8mm</t>
  </si>
  <si>
    <t>Vidro laminado temperado jateado de 8mm</t>
  </si>
  <si>
    <t>Espelhos</t>
  </si>
  <si>
    <t>Espelho em vidro cristal liso, espessura de 4 mm, colocado sobre a parede</t>
  </si>
  <si>
    <t>Espelho comum de 3 mm com moldura em alumínio</t>
  </si>
  <si>
    <t>Massa para vidro</t>
  </si>
  <si>
    <t>Recolocação de vidro inclusive emassamento ou recolocação de baguetes</t>
  </si>
  <si>
    <t>Furação em vidro</t>
  </si>
  <si>
    <t>Esquadria e elemento em material especial</t>
  </si>
  <si>
    <t>Policarbonato</t>
  </si>
  <si>
    <t>Chapa de policarbonato compacta cristal 6 mm</t>
  </si>
  <si>
    <t>Chapa de policarbonato compacta cristal 10 mm</t>
  </si>
  <si>
    <t>Chapa de policarbonato alveolar de 6 mm</t>
  </si>
  <si>
    <t>Chapa de fibra de vidro</t>
  </si>
  <si>
    <t>Placa de poliéster reforçada com fibra de vidro de 3 mm</t>
  </si>
  <si>
    <t>PVC</t>
  </si>
  <si>
    <t>Caixilho de correr em PVC</t>
  </si>
  <si>
    <t>Corrimão, bate-maca ou protetor de parede em PVC, com amortecimento à impacto, altura de 131 mm</t>
  </si>
  <si>
    <t>Protetor de parede ou bate-maca em PVC flexível, com amortecimento à impacto, altura de 150 mm</t>
  </si>
  <si>
    <t>Bate-maca ou protetor de parede curvo em PVC, com amortecimento à impacto, altura de 200 mm</t>
  </si>
  <si>
    <t>Bate-maca ou protetor de parede em PVC, com amortecimento à impacto, altura de 200 mm</t>
  </si>
  <si>
    <t>Ferragem complementar para esquadrias</t>
  </si>
  <si>
    <t>Ferragem para porta</t>
  </si>
  <si>
    <t>Ferragem completa com maçaneta tipo alavanca para porta externa com 1 folha</t>
  </si>
  <si>
    <t>Ferragem completa com maçaneta tipo alavanca para porta externa com 2 folhas</t>
  </si>
  <si>
    <t>Ferragem completa com maçaneta tipo alavanca para porta interna com 1 folha</t>
  </si>
  <si>
    <t>Ferragem completa com maçaneta tipo alavanca para porta interna com 2 folhas</t>
  </si>
  <si>
    <t>Ferragem completa para porta de box de WC tipo livre/ocupado</t>
  </si>
  <si>
    <t>Ferragem adicional para porta vão simples em divisória</t>
  </si>
  <si>
    <t>Ferragem adicional para porta vão duplo em divisória</t>
  </si>
  <si>
    <t>Fechadura com maçaneta tipo alavanca, em poliamida, para porta interna</t>
  </si>
  <si>
    <t>Fechadura com maçaneta tipo alavanca, em poliamida, para porta externa</t>
  </si>
  <si>
    <t>Fechadura eletromagnética</t>
  </si>
  <si>
    <t>Mola aérea para porta, com esforço acima de 50 kg até 60 kg</t>
  </si>
  <si>
    <t>Mola aérea para porta, com esforço acima de 60 kg até 70 kg</t>
  </si>
  <si>
    <t>Mola aérea para porta com largura até 1,60 m e peso até 250 kg</t>
  </si>
  <si>
    <t>Fechadura com chave para porta corta-fogo</t>
  </si>
  <si>
    <t>Visor tipo olho mágico</t>
  </si>
  <si>
    <t>Fechadura de segurança para cela tipo gorges, com clic e abertura de um lado</t>
  </si>
  <si>
    <t>Fechadura de segurança para cela tipo gorges, com clic e abertura de um lado, embutida em caixa</t>
  </si>
  <si>
    <t>Fechadura de segurança para corredor tipo gorges, com abertura de dois lados</t>
  </si>
  <si>
    <t>Mola hidráulica de piso, para porta com largura até 1,10 m e peso até 120 kg</t>
  </si>
  <si>
    <t>Ferragem completa com maçaneta tipo alavanca, acabamento em alumínio, para porta externa com 1 folha</t>
  </si>
  <si>
    <t>Ferragem completa com maçaneta tipo alavanca, acabamento em alumínio, para sanitário com 1 folha</t>
  </si>
  <si>
    <t>Ferrolho de segurança de 1,20 m, para adaptação em portas de celas, embutido em caixa</t>
  </si>
  <si>
    <t>Ferragem completa com maçaneta tipo alavanca, acabamento em alumínio, para porta externa com 2 folhas</t>
  </si>
  <si>
    <t>Cadeado</t>
  </si>
  <si>
    <t>Cadeado de latão com cilíndro - trava dupla - 25/27mm</t>
  </si>
  <si>
    <t>Cadeado de latão com cilíndro - trava dupla - 35/36mm</t>
  </si>
  <si>
    <t>Cadeado de latão com cilíndro - trava dupla - 50mm</t>
  </si>
  <si>
    <t>Cadeado de latão com cilíndro, de alta segurança com 16 pinos e tetra-chave - 70mm</t>
  </si>
  <si>
    <t>Cadeado de latão com cilindro - trava dupla - 60mm</t>
  </si>
  <si>
    <t>Recolocação de fechaduras de embutir</t>
  </si>
  <si>
    <t>Barra antipânico de sobrepor para porta de 1 folha</t>
  </si>
  <si>
    <t>Recolocação de fechaduras e fechos de sobrepor</t>
  </si>
  <si>
    <t>Barra antipânico de sobrepor e maçaneta livre para porta de 1 folha</t>
  </si>
  <si>
    <t>Recolocação de dobradiças</t>
  </si>
  <si>
    <t>Ferragem para portão de tapume</t>
  </si>
  <si>
    <t>Dobradiça tipo gonzo, diâmetro de 1 1/2´ com abas de 2´ x 3/8´</t>
  </si>
  <si>
    <t>Brete para instalação superior em porta chapa/grade de segurança</t>
  </si>
  <si>
    <t>Ferrolho de segurança para adaptação em portas de celas</t>
  </si>
  <si>
    <t>Dobradiça inferior para porta de vidro temperado</t>
  </si>
  <si>
    <t>Dobradiça superior para porta de vidro temperado</t>
  </si>
  <si>
    <t>Suporte simples de canto para vidro temperado</t>
  </si>
  <si>
    <t>Suporte duplo para vidro temperado fixado em alvenaria</t>
  </si>
  <si>
    <t>Suporte quádruplo para vidro temperado</t>
  </si>
  <si>
    <t>Dobradiça em latão cromado reforçada de 3 1/2´ x 3´</t>
  </si>
  <si>
    <t>Dobradiça em latão cromado de 3 1/2´ x 3´</t>
  </si>
  <si>
    <t>Dobradiça em latão cromado, com mola tipo vai e vem, de 3´</t>
  </si>
  <si>
    <t>par</t>
  </si>
  <si>
    <t>Pivô superior lateral para porta em vidro temperado</t>
  </si>
  <si>
    <t>Mancal inferior com rolamento para porta em vidro temperado</t>
  </si>
  <si>
    <t>Barra antipânico com travamento horizontal e vertical com fechadura, para porta dupla, vãos de 1,40 a 1,60 m</t>
  </si>
  <si>
    <t>Contra fechadura de centro para porta em vidro temperado</t>
  </si>
  <si>
    <t>Fechadura de centro com cilíndro para porta em vidro temperado</t>
  </si>
  <si>
    <t>Puxador duplo em aço inoxidável, para porta de madeira, alumínio ou vidro, de 350 mm</t>
  </si>
  <si>
    <t>Suporte duplo ou central sem núcleo para vidro temperado</t>
  </si>
  <si>
    <t>Suporte triplo com limitador para vidro temperado</t>
  </si>
  <si>
    <t>Capa de proteção para fechadura / ferrolho</t>
  </si>
  <si>
    <t>Espelho para trinco de piso para porta em vidro temperado</t>
  </si>
  <si>
    <t>Trinco de piso para porta em vidro temperado</t>
  </si>
  <si>
    <t>Fechadura externa com maçaneta tipo alavanca e cilindro, acabamento cor prata</t>
  </si>
  <si>
    <t>Barra antipânico com travamento horizontal e vertical para porta dupla, com fechadura - vãos de 1,70 a 2,60 m</t>
  </si>
  <si>
    <t>Equipamento automatizador de portas deslizantes para folha dupla</t>
  </si>
  <si>
    <t>Equipamento automatizador telescópico unilateral de portas deslizantes para folha dupla</t>
  </si>
  <si>
    <t>Barra antipânico de sobrepor com maçaneta e chave, para porta em vidro de 1 folha</t>
  </si>
  <si>
    <t>Barra antipânico de sobrepor com maçaneta e chave, para porta dupla em vidro</t>
  </si>
  <si>
    <t>Inserte metálico</t>
  </si>
  <si>
    <t>Cantoneira</t>
  </si>
  <si>
    <t>Cantoneira em alumínio perfil sextavado</t>
  </si>
  <si>
    <t>Perfil em alumínio natural</t>
  </si>
  <si>
    <t>Cantoneira em alumínio perfil ´Y´</t>
  </si>
  <si>
    <t>Cantoneira em aço galvanizado</t>
  </si>
  <si>
    <t>Cantoneira e perfis em ferro</t>
  </si>
  <si>
    <t>Cabos e cordoalhas</t>
  </si>
  <si>
    <t>Cabo em aço galvanizado com alma de aço, diâmetro de 3/16´ (4,76 mm)</t>
  </si>
  <si>
    <t>Cabo em aço galvanizado com alma de aço, diâmetro de 5/16´ (7,94 mm)</t>
  </si>
  <si>
    <t>Cordoalha de aço galvanizado, diâmetro de 1/4´ (6,35 mm)</t>
  </si>
  <si>
    <t>Cabo em aço galvanizado com alma de aço, diâmetro de 3/8´ (9,52 mm)</t>
  </si>
  <si>
    <t>Alumínio liso para complementos e reparos</t>
  </si>
  <si>
    <t>Acessibilidade</t>
  </si>
  <si>
    <t>Barra de apoio</t>
  </si>
  <si>
    <t>Barra de apoio, para pessoas com mobilidade reduzida, em tubo de aço inoxidável de 1 1/2´</t>
  </si>
  <si>
    <t>Barra de apoio reta, para pessoas com mobilidade reduzida, em tubo de aço inoxidável de 1 1/2´ x 500 mm</t>
  </si>
  <si>
    <t>Barra de apoio reta, para pessoas com mobilidade reduzida, em tubo de aço inoxidável de 1 1/2´ x 800 mm</t>
  </si>
  <si>
    <t>Barra de apoio reta, para pessoas com mobilidade reduzida, em tubo de aço inoxidável de 1 1/2´ x 900 mm</t>
  </si>
  <si>
    <t>Barra de apoio em ângulo de 90°, para pessoas com mobilidade reduzida, em tubo de aço inoxidável de 1 1/2´ x 800 x 800 mm</t>
  </si>
  <si>
    <t>Barra de apoio reta, para pessoas com mobilidade reduzida, em tubo de alumínio, comprimento de 500 mm, acabamento com pintura epóxi</t>
  </si>
  <si>
    <t>Barra de apoio reta, para pessoas com mobilidade reduzida, em tubo de alumínio, comprimento de 800 mm, acabamento com pintura epóxi</t>
  </si>
  <si>
    <t>Barra de apoio, em ângulo de 90°, para pessoas com mobilidade reduzida, em tubo de alumínio de 800 x 800 mm, acabamento com pintura epóxi</t>
  </si>
  <si>
    <t>Barra de apoio reta, para pessoas com mobilidade reduzida, em tubo de alumínio, comprimento de 900 mm, acabamento com pintura epóxi</t>
  </si>
  <si>
    <t>Barra de proteção de sifão, para pessoas com mobilidade reduzida, em tubo de alumínio, acabamento com pintura epóxi</t>
  </si>
  <si>
    <t>Barra de apoio reta, para pessoas com mobilidade reduzida, em tubo de aço inoxidável de 1 1/4´ x 400 mm</t>
  </si>
  <si>
    <t>Barra de proteção para lavatório, para pessoas com mobilidade reduzida, em tubo de alumínio acabamento com pintura epóxi</t>
  </si>
  <si>
    <t>Aparelhos elétricos, hidráulicos e a gás</t>
  </si>
  <si>
    <t>Bebedouro elétrico de pressão em aço inoxidável, capacidade de refrigeração de 06 l/h</t>
  </si>
  <si>
    <t>Bebedouro elétrico de pressão em aço inoxidável, capacidade de refrigeração de 16,6 l/h</t>
  </si>
  <si>
    <t>Revestimento</t>
  </si>
  <si>
    <t>Revestimento em borracha sintética colorida de 5,0 mm, para sinalização tátil de alerta / direcional - assentamento argamassado</t>
  </si>
  <si>
    <t>Revestimento em borracha sintética colorida de 5,0 mm, para sinalização tátil de alerta / direcional - colado</t>
  </si>
  <si>
    <t>Piso em ladrilho hidráulico podotátil várias cores (25x25x2,5cm), assentado com argamassa mista</t>
  </si>
  <si>
    <t>Faixa em policarbonato para sinalização tátil fotoluminescente, para degraus, comprimento de 20 cm</t>
  </si>
  <si>
    <t>Revestimento em chapa de aço inoxidável para proteção de portas, altura de 40 cm</t>
  </si>
  <si>
    <t>Rejuntamento de piso em ladrilho hidráulico (25x25x2,5cm) com argamassa industrializada para rejunte, juntas de 2 mm</t>
  </si>
  <si>
    <t>Sinalização visual de degraus com pintura esmalte epóxi, comprimento de 20 cm</t>
  </si>
  <si>
    <t>Piso tátil de concreto, alerta / direcional, intertravado, espessura de 6 cm, com rejunte em areia</t>
  </si>
  <si>
    <t>Revestimento em porcelanato antiderrapante de alerta / direcional, grupo de absorção BI-a, rejuntado</t>
  </si>
  <si>
    <t>Comunicação visual e sonora</t>
  </si>
  <si>
    <t>Placa para sinalização tátil (início ou final) em braille para corrimão</t>
  </si>
  <si>
    <t>Placa para sinalização tátil (pavimento) em braille para corrimão</t>
  </si>
  <si>
    <t>Anel de borracha para sinalização tátil para corrimão, diâmetro de 4,5 cm</t>
  </si>
  <si>
    <t>Tinta acrílica para sinalização visual de piso, com acabamento microtexturizado e antiderrapante</t>
  </si>
  <si>
    <t>Sinalização de emergência visual e sonora</t>
  </si>
  <si>
    <t>Placa de identificação em alumínio para WC, com desenho universal de acessibilidade</t>
  </si>
  <si>
    <t>Placa de identificação para estacionamento, com desenho universal de acessibilidade, tipo pedestal</t>
  </si>
  <si>
    <t>Sinalização com pictograma para vaga de estacionamento</t>
  </si>
  <si>
    <t>Sinalização com pictograma para vaga de estacionamento, com faixas demarcatórias</t>
  </si>
  <si>
    <t>Aparelhos sanitários</t>
  </si>
  <si>
    <t>Bacia sifonada de louça com abertura frontal - 6 litros</t>
  </si>
  <si>
    <t>Assento para bacia sanitária com abertura frontal, para pessoas com mobilidade reduzida</t>
  </si>
  <si>
    <t>Assento articulado para banho, em alumínio com pintura epóxi de 700 x 450 mm</t>
  </si>
  <si>
    <t>Lavatório de louça para canto sem coluna para pessoas com mobilidade reduzida</t>
  </si>
  <si>
    <t>Trocador acessível em MDF com revestimento em laminado melamínico de 180x80cm</t>
  </si>
  <si>
    <t>Bacia sifonada de louça para pessoas com mobilidade reduzida - 6 litros</t>
  </si>
  <si>
    <t>Ferragens</t>
  </si>
  <si>
    <t>Fechadura com maçaneta para pessoas com mobilidade reduzida, em alumínio</t>
  </si>
  <si>
    <t>Calçadas e passeios</t>
  </si>
  <si>
    <t>Rampa de acessibilidade pré-fabricada de concreto nas dimensões 2,20 x 1,86 x 1,20 m</t>
  </si>
  <si>
    <t>Elevadores e plataformas</t>
  </si>
  <si>
    <t>Elevador de uso restrito a pessoas com mobilidade reduzida com 02 paradas - uso interno em alvenaria</t>
  </si>
  <si>
    <t>Elevador de uso restrito a pessoas com mobilidade reduzida com 03 paradas - uso interno em alvenaria</t>
  </si>
  <si>
    <t>Plataforma para elevação até 2,00 m, nas dimensões de 900 x 1400 mm - percurso até 1,00 m de altura</t>
  </si>
  <si>
    <t>Plataforma para elevação até 2,00 m, nas dimensões de 900 x 1400 mm - percurso superior a 1,00 m de altura</t>
  </si>
  <si>
    <t>Impermeabilização, isolação, proteção e junta</t>
  </si>
  <si>
    <t>Isolamentos térmicos / acústicos</t>
  </si>
  <si>
    <t>Lã de vidro e/ou lã de rocha com espessura de 1´</t>
  </si>
  <si>
    <t>Lã de vidro e/ou lã de rocha com espessura de 2´</t>
  </si>
  <si>
    <t>Argila expandida</t>
  </si>
  <si>
    <t>Espuma flexível de poliuretano poliéter/poliéster para absorção acústica, espessura de 5,0 cm</t>
  </si>
  <si>
    <t>Lâmina refletiva revestida em alumínio nas duas faces, com reforço interno, para isolação térmica</t>
  </si>
  <si>
    <t>Película de controle solar refletiva para aplicação em vidro</t>
  </si>
  <si>
    <t>Membrana isolante térmica e impermeabilizante, acabamento em alumínio e coating acrílico</t>
  </si>
  <si>
    <t>Juntas de dilatação</t>
  </si>
  <si>
    <t>Junta plástica de 3/4´ x 1/8´</t>
  </si>
  <si>
    <t>Junta de latão bitola de 1/8´</t>
  </si>
  <si>
    <t>Junta de dilatação ou vedação com mastique de silicone, 1,0 x 0,5 cm - inclusive guia de apoio em polietileno</t>
  </si>
  <si>
    <t>Junta a base de asfalto oxidado a quente</t>
  </si>
  <si>
    <t>cm³</t>
  </si>
  <si>
    <t>Mangueira plástica flexível para junta de dilatação</t>
  </si>
  <si>
    <t>Junta de dilatação elástica a base de poliuretano</t>
  </si>
  <si>
    <t>Perfil de acabamento com borracha em santoprene contínua flexível, para junta de dilatação de embutir - piso-piso</t>
  </si>
  <si>
    <t>Perfil de acabamento com borracha em santoprene contínua flexível, para junta de dilatação de embutir - piso-parede</t>
  </si>
  <si>
    <t>Perfil de acabamento com borracha em santoprene contínua flexível, para junta de dilatação de embutir - parede-parede ou forro-forro</t>
  </si>
  <si>
    <t>Perfil de acabamento com borracha em santoprene contínua flexível, para junta de dilatação de embutir - parede-parede ou forro-forro - canto</t>
  </si>
  <si>
    <t>Juntas de dilatação estrutural</t>
  </si>
  <si>
    <t>Junta estrutural com poliestireno expandido de alta densidade P-III, espessura de 10 mm</t>
  </si>
  <si>
    <t>Junta estrutural com poliestireno expandido de alta densidade P-III, espessura de 20 mm</t>
  </si>
  <si>
    <t>Junta estrutural com perfilado termoplástico em PVC, perfil O-12</t>
  </si>
  <si>
    <t>Junta estrutural com perfilado termoplástico em PVC, perfil O-22</t>
  </si>
  <si>
    <t>Junta estrutural com perfil elastomérico para fissuras, painéis e estruturas em geral, movimentação máxima 15 mm</t>
  </si>
  <si>
    <t>Junta estrutural com perfil elastomérico para fissuras, painéis e estruturas em geral, movimentação máxima 30 mm</t>
  </si>
  <si>
    <t>Junta Jeene JJ 2540 VV com lábios poliméricos</t>
  </si>
  <si>
    <t>Junta estrutural com perfil elastomérico e lábios poliméricos para obras de arte, movimentação máxima 40 mm</t>
  </si>
  <si>
    <t>Junta estrutural com perfil elastomérico e lábios poliméricos para obras de arte, movimentação máxima 55 mm</t>
  </si>
  <si>
    <t>Junta elástica estrutural de neoprene</t>
  </si>
  <si>
    <t>Apoios e afins</t>
  </si>
  <si>
    <t>Chapa de aço em bitolas medias</t>
  </si>
  <si>
    <t>Apoio em placa de neoprene fretado</t>
  </si>
  <si>
    <t>dm³</t>
  </si>
  <si>
    <t>Envelope de concreto e proteção de tubos</t>
  </si>
  <si>
    <t>Proteção anticorrosiva, a base de resina epóxi com alcatrão, para ramais sob a terra, com DN até 1´</t>
  </si>
  <si>
    <t>Proteção anticorrosiva, a base de resina epóxi com alcatrão, para ramais sob a terra, com DN acima de 1´ até 2´</t>
  </si>
  <si>
    <t>Proteção anticorrosiva, a base de resina epóxi com alcatrão, para ramais sob a terra, com DN acima de 2´ até 3´</t>
  </si>
  <si>
    <t>Proteção anticorrosiva, a base de resina epóxi com alcatrão, para ramais sob a terra, com DN acima de 3´ até 4´</t>
  </si>
  <si>
    <t>Proteção anticorrosiva, com fita adesiva, para ramais sob a terra, com DN até 1´</t>
  </si>
  <si>
    <t>Proteção anticorrosiva, com fita adesiva, para ramais sob a terra, com DN acima de 1´ até 2´</t>
  </si>
  <si>
    <t>Proteção anticorrosiva, com fita adesiva, para ramais sob a terra, com DN acima de 2´ até 3´</t>
  </si>
  <si>
    <t>Proteção anticorrosiva, com fita adesiva, para ramais sob a terra, com DN acima de 3´ até 4´</t>
  </si>
  <si>
    <t>Proteção anticorrosiva, com fita adesiva, para ramais sob a terra, com DN acima de 5´ até 6´</t>
  </si>
  <si>
    <t>Proteção anticorrosiva, a base de resina epóxi com alcatrão, para ramais sob a terra, com DN acima de 5´ até 6´</t>
  </si>
  <si>
    <t>Isolantes térmicos para tubos e dutos</t>
  </si>
  <si>
    <t>Calha isolante com lã de vidro e/ou lã de rocha, espessura de 1´, para tubulação de 2´</t>
  </si>
  <si>
    <t>Calha isolante com lã de vidro e/ou lã de rocha, espessura de 1´, para tubulação de 1 1/2´</t>
  </si>
  <si>
    <t>Calha isolante com lã de vidro e/ou lã de rocha, espessura de 1´, para tubulação de 1´</t>
  </si>
  <si>
    <t>Calha isolante com lã de vidro e/ou lã de rocha, espessura de 1´, para tubulação de 3/4´</t>
  </si>
  <si>
    <t>Calha isolante com lã de vidro e/ou lã de rocha, espessura de 1´, para tubulação de 1/2´</t>
  </si>
  <si>
    <t>Calha isolante com lã de vidro e/ou lã de rocha, espessura de 1´, para tubulação de 1 1/4´</t>
  </si>
  <si>
    <t>Calha isolante com lã de vidro e/ou lã de rocha, espessura de 1´, para tubulação de 2 1/2´</t>
  </si>
  <si>
    <t>Calha isolante com lã de vidro e/ou lã de rocha, espessura de 1´, para tubulação de 3´</t>
  </si>
  <si>
    <t>Calha isolante com lã de vidro e/ou lã de rocha, espessura de 1´, para tubulação de 4´</t>
  </si>
  <si>
    <t>Proteção para isolamento térmico em alumínio</t>
  </si>
  <si>
    <t>Isolamento térmico em polietileno expandido, espessura de 5 mm, para tubulação de 1/2´ (15 mm)</t>
  </si>
  <si>
    <t>Isolamento térmico em polietileno expandido, espessura de 5 mm, para tubulação de 3/4´ (22 mm)</t>
  </si>
  <si>
    <t>Isolamento térmico em polietileno expandido, espessura de 5 mm, para tubulação de 1´ (28 mm)</t>
  </si>
  <si>
    <t>Isolamento térmico em polietileno expandido, espessura de 10 mm, para tubulação de 1 1/4´ (35 mm)</t>
  </si>
  <si>
    <t>Isolamento térmico em polietileno expandido, espessura de 10 mm, para tubulação de 1 1/2´ (42 mm)</t>
  </si>
  <si>
    <t>Isolamento térmico em polietileno expandido, espessura de 10 mm, para tubulação de 2´ (54 mm)</t>
  </si>
  <si>
    <t>Isolamento térmico em polietileno expandido, espessura de 10 mm, para tubulação de 2 1/2´ (66 mm)</t>
  </si>
  <si>
    <t>Isolamento térmico em espuma elastomérica, espessura de 9 a 12 mm, para tubulação de 1/4´ (cobre)</t>
  </si>
  <si>
    <t>Isolamento térmico em espuma elastomérica, espessura de 9 a 12 mm, para tubulação de 1/2´ (cobre)</t>
  </si>
  <si>
    <t>Isolamento térmico em espuma elastomérica, espessura de 9 a 12 mm, para tubulação de 5/8´ (cobre) ou 1/4´ (ferro)</t>
  </si>
  <si>
    <t>Isolamento térmico em espuma elastomérica, espessura de 9 a 12 mm, para tubulação de 1´ (cobre)</t>
  </si>
  <si>
    <t>Isolamento térmico em espuma elastomérica, espessura de 19 a 26 mm, para tubulação de 7/8´ (cobre) ou 1/2´ (ferro)</t>
  </si>
  <si>
    <t>Isolamento térmico em espuma elastomérica, espessura de 19 a 26 mm, para tubulação de 1 1/8´ (cobre) ou 3/4´ (ferro)</t>
  </si>
  <si>
    <t>Isolamento térmico em espuma elastomérica, espessura de 19 a 26 mm, para tubulação de 1 3/8´ (cobre) ou 1´ (ferro)</t>
  </si>
  <si>
    <t>Isolamento térmico em espuma elastomérica, espessura de 19 a 26 mm, para tubulação de 1 5/8´ (cobre) ou 1 1/4´ (ferro)</t>
  </si>
  <si>
    <t>Isolamento térmico em espuma elastomérica, espessura de 19 a 26 mm, para tubulação de 1 1/2´ (ferro)</t>
  </si>
  <si>
    <t>Isolamento térmico em espuma elastomérica, espessura de 19 a 26 mm, para tubulação de 2´ (ferro)</t>
  </si>
  <si>
    <t>Isolamento térmico em espuma elastomérica, espessura de 19 a 26 mm, para tubulação de 2 1/2´ (ferro)</t>
  </si>
  <si>
    <t>Isolamento térmico em espuma elastomérica, espessura de 19 a 26 mm, para tubulação de 3 1/2´ (cobre) ou 3´ (ferro)</t>
  </si>
  <si>
    <t>Isolamento térmico em espuma elastomérica, espessura de 19 a 26 mm, para tubulação de 4´ (ferro)</t>
  </si>
  <si>
    <t>Isolamento térmico em espuma elastomérica, espessura de 19 a 26 mm, para tubulação de 5´ (ferro)</t>
  </si>
  <si>
    <t>Isolamento térmico em espuma elastomérica, espessura de 19 a 26 mm, para tubulação de 6´ (ferro)</t>
  </si>
  <si>
    <t>Manta em espuma elastomérica, espessura de 19 a 26 mm, para isolamento térmico de tubulação acima de 6´</t>
  </si>
  <si>
    <t>Impermeabilização flexível com manta</t>
  </si>
  <si>
    <t>Impermeabilização em manta asfáltica com armadura, tipo III-B, espessura de 3 mm</t>
  </si>
  <si>
    <t>Impermeabilização em manta asfáltica com armadura, tipo III-B, espessura de 4 mm</t>
  </si>
  <si>
    <t>Impermeabilização em manta asfáltica plastomérica com armadura, tipo III, espessura de 3 mm, face exposta em ardósia cinza</t>
  </si>
  <si>
    <t>Impermeabilização em manta asfáltica tipo III-B, espessura de 3 mm, face exposta em geotêxtil, com membrana acrílica</t>
  </si>
  <si>
    <t>Impermeabilização em manta asfáltica plastomérica com armadura, tipo III, espessura de 4 mm, face exposta em geotêxtil com membrana acrílica</t>
  </si>
  <si>
    <t>Impermeabilização com manta asfáltica tipo III, anti raiz, espessura de 4 mm</t>
  </si>
  <si>
    <t>Impermeabilização flexível com membranas</t>
  </si>
  <si>
    <t>Impermeabilização em pintura de asfalto oxidado com solventes orgânicos, sobre massa</t>
  </si>
  <si>
    <t>Impermeabilização em pintura de asfalto oxidado com solventes orgânicos, sobre metal</t>
  </si>
  <si>
    <t>Impermeabilização em membrana de asfalto modificado com elastômeros, na cor preta</t>
  </si>
  <si>
    <t>Impermeabilização em membrana de asfalto modificado com elastômeros, na cor preta e reforço em tela poliéster</t>
  </si>
  <si>
    <t>Impermeabilização em membrana à base de polímeros acrílicos, na cor branca</t>
  </si>
  <si>
    <t>Impermeabilização em membrana à base de polímeros acrílicos, na cor branca e reforço em tela poliéster</t>
  </si>
  <si>
    <t>Impermeabilização em membrana à base de resina termoplástica e cimentos aditivados com reforço em tela poliéster</t>
  </si>
  <si>
    <t>Impermeabilização rígida</t>
  </si>
  <si>
    <t>Impermeabilização em argamassa impermeável com aditivo hidrófugo</t>
  </si>
  <si>
    <t>Impermeabilização em argamassa polimérica para umidade e água de percolação</t>
  </si>
  <si>
    <t>Impermeabilização em argamassa polimérica com reforço em tela poliéster para pressão hidrostática positiva</t>
  </si>
  <si>
    <t>Impermeabilização com cimento cristalizante para umidade e água de percolação</t>
  </si>
  <si>
    <t>Impermeabilização com cimento cristalizante para pressão hidrostática positiva</t>
  </si>
  <si>
    <t>Impermeabilização anticorrosiva em membrana epoxídica com alcatrão de hulha, sobre massa</t>
  </si>
  <si>
    <t>Recolocação de argila expandida</t>
  </si>
  <si>
    <t>Aplicação de papel KRAFT</t>
  </si>
  <si>
    <t>Tela em polietileno, malha hexagonal de 1/2´, para armadura de argamassa</t>
  </si>
  <si>
    <t>Tela galvanizada fio 24 BWG, malha hexagonal de 1/2´, para armadura de argamassa</t>
  </si>
  <si>
    <t>Pintura</t>
  </si>
  <si>
    <t>Preparo de base</t>
  </si>
  <si>
    <t>Estucamento e lixamento de concreto deteriorado</t>
  </si>
  <si>
    <t>Estucamento e lixamento de concreto</t>
  </si>
  <si>
    <t>Imunizante para madeira</t>
  </si>
  <si>
    <t>Reparo de trincas rasas até 5,0 mm de largura, na massa</t>
  </si>
  <si>
    <t>Preparo de base para superfície metálica com fundo anti-oxidante</t>
  </si>
  <si>
    <t>Massa corrida</t>
  </si>
  <si>
    <t>Massa corrida a base de PVA</t>
  </si>
  <si>
    <t>Massa corrida à base de resina acrílica</t>
  </si>
  <si>
    <t>Massa corrida a óleo em esquadrias de madeira</t>
  </si>
  <si>
    <t>Massa corrida a óleo em superfície rebocada</t>
  </si>
  <si>
    <t>Pintura em superfícies de concreto / massa / gesso / pedras</t>
  </si>
  <si>
    <t>Caiação em massa</t>
  </si>
  <si>
    <t>Tinta látex em elemento vazado</t>
  </si>
  <si>
    <t>Mineral impermeável</t>
  </si>
  <si>
    <t>Pintura especial em esmalte para lousa cor verde</t>
  </si>
  <si>
    <t>Verniz acrílico a base de solvente</t>
  </si>
  <si>
    <t>Resina acrílica plastificante</t>
  </si>
  <si>
    <t>Verniz acrílico</t>
  </si>
  <si>
    <t>Hidrorrepelente incolor para fachada à base de silano-siloxano oligomérico disperso em água</t>
  </si>
  <si>
    <t>Hidrorrepelente incolor para fachada à base de silano-siloxano oligomérico disperso em solvente</t>
  </si>
  <si>
    <t>Verniz de proteção antipichação</t>
  </si>
  <si>
    <t>Pintura em superfícies de madeira</t>
  </si>
  <si>
    <t>Verniz fungicida para madeira</t>
  </si>
  <si>
    <t>Enceramento de superfície de madeira à boneca</t>
  </si>
  <si>
    <t>Esmalte em rodapés, baguetes ou molduras de madeira</t>
  </si>
  <si>
    <t>Verniz em superfície de madeira</t>
  </si>
  <si>
    <t>Verniz em rodapés, baguetes ou molduras de madeira</t>
  </si>
  <si>
    <t>Pintura em pisos</t>
  </si>
  <si>
    <t>Acrílico para quadras e pisos cimentados</t>
  </si>
  <si>
    <t>Pintura em estruturas metálicas</t>
  </si>
  <si>
    <t>Esmalte em estrutura metálica</t>
  </si>
  <si>
    <t>Pintura epóxi bicomponente em estruturas metálicas</t>
  </si>
  <si>
    <t>Pintura com esmalte alquídico em estrutura metálica</t>
  </si>
  <si>
    <t>Pintura intumescente para estrutura metálica, TRRF = 60 minutos</t>
  </si>
  <si>
    <t>Pintura de sinalização</t>
  </si>
  <si>
    <t>Borracha clorada para faixas demarcatórias</t>
  </si>
  <si>
    <t>Pintura em superfície de concreto/massa/gesso/pedras, inclusive preparo</t>
  </si>
  <si>
    <t>Tinta látex antimofo em massa, inclusive preparo</t>
  </si>
  <si>
    <t>Tinta látex em massa, inclusive preparo</t>
  </si>
  <si>
    <t>Tinta acrílica antimofo em massa, inclusive preparo</t>
  </si>
  <si>
    <t>Esmalte em massa, inclusive preparo</t>
  </si>
  <si>
    <t>Tinta acrílica em massa, inclusive preparo</t>
  </si>
  <si>
    <t>Epóxi em massa, inclusive preparo</t>
  </si>
  <si>
    <t>Borracha clorada em massa, inclusive preparo</t>
  </si>
  <si>
    <t>Textura acrílica para uso interno / externo, inclusive preparo</t>
  </si>
  <si>
    <t>Pintura em superfície metálica, inclusive preparo</t>
  </si>
  <si>
    <t>Alumínio em superfície metálica, inclusive preparo</t>
  </si>
  <si>
    <t>Esmalte em superfície metálica, inclusive preparo</t>
  </si>
  <si>
    <t>Alumínio em superfície galvanizada e/ou alumínio, inclusive preparo</t>
  </si>
  <si>
    <t>Esmalte em superfície galvanizada e/ou de alumínio, inclusive preparo</t>
  </si>
  <si>
    <t>Pintura em superfície de madeira, inclusive preparo</t>
  </si>
  <si>
    <t>Esmalte em superfície de madeira, inclusive preparo</t>
  </si>
  <si>
    <t>Paisagismo e fechamento</t>
  </si>
  <si>
    <t>Preparação de solo</t>
  </si>
  <si>
    <t>Terra vegetal orgânica comum</t>
  </si>
  <si>
    <t>Limpeza e regularização de áreas para ajardinamento (jardins e canteiros)</t>
  </si>
  <si>
    <t>Vegetação rasteira</t>
  </si>
  <si>
    <t>Plantio de grama batatais em placas (praças e áreas abertas)</t>
  </si>
  <si>
    <t>Plantio de grama batatais em placas (jardins e canteiros)</t>
  </si>
  <si>
    <t>Forração com Lírio Amarelo, mínimo 18 mudas / m² - h= 0,50 m</t>
  </si>
  <si>
    <t>Plantio de grama São Carlos em placas (jardins e canteiros)</t>
  </si>
  <si>
    <t>Forração com Hera Inglesa, mínimo 18 mudas / m² - h= 0,15 m</t>
  </si>
  <si>
    <t>Plantio de grama esmeralda em placas (jardins e canteiros)</t>
  </si>
  <si>
    <t>Forração com clorofito, mínimo de 20 mudas / m² - h= 0,15 m</t>
  </si>
  <si>
    <t>Plantio de grama pelo processo hidrossemeadura</t>
  </si>
  <si>
    <t>Vegetação arbustiva</t>
  </si>
  <si>
    <t>Arbusto Azaléa - h= 0,60 a 0,80 m</t>
  </si>
  <si>
    <t>Arbusto Moréia - h= 0,50 m</t>
  </si>
  <si>
    <t>Arbusto Alamanda - h= 0,60 a 0,80 m</t>
  </si>
  <si>
    <t>Arbusto Curcúligo - h= 0,60 a 0,80 m</t>
  </si>
  <si>
    <t>Árvores</t>
  </si>
  <si>
    <t>Árvore ornamental tipo Pata de Vaca - h= 2,00 m</t>
  </si>
  <si>
    <t>Árvore ornamental tipo Ipê Amarelo - h= 2,00 m</t>
  </si>
  <si>
    <t>Árvore ornamental tipo Areca Bambu - h= 2,00 m</t>
  </si>
  <si>
    <t>Árvore ornamental tipo Manaca-da-serra</t>
  </si>
  <si>
    <t>Árvore ornamental tipo coqueiro Jerivá - h= 4,00 m</t>
  </si>
  <si>
    <t>Árvore ornamental tipo Quaresmeira (Tibouchina granulosa) - h= 1,50 / 2,00 m</t>
  </si>
  <si>
    <t>Cercas e fechamentos</t>
  </si>
  <si>
    <t>Cerca em arame farpado com mourões de eucalipto</t>
  </si>
  <si>
    <t>Cerca em arame farpado com mourões de concreto</t>
  </si>
  <si>
    <t>Cerca em arame farpado com mourões de concreto, com ponta inclinada</t>
  </si>
  <si>
    <t>Cerca em tela de aço galvanizado de 2´, montantes em mourões de concreto com ponta inclinada e arame farpado</t>
  </si>
  <si>
    <t>Alambrado em tela de aço galvanizado de 2´, montantes metálicos e arame farpado, até 4,00 m de altura</t>
  </si>
  <si>
    <t>Alambrado em tela de aço galvanizado de 2´, montantes metálicos e arame farpado, acima de 4,00 m de altura</t>
  </si>
  <si>
    <t>Alambrado em tela de aço galvanizado de 1´, montantes metálicos e arame farpado</t>
  </si>
  <si>
    <t>Barreira de proteção perimetral em aço inoxidável AISI 430, dupla</t>
  </si>
  <si>
    <t>Cerca em arame farpado com mourões de concreto com ponta inclinada, 12 fiadas</t>
  </si>
  <si>
    <t>Alambrado em tela de aço galvanizado de 2´, montantes metálicos com extremo superior duplo e arame farpado, acima de 4,00 m de altura</t>
  </si>
  <si>
    <t>Gradil em aço galvanizado eletrofundido, malha 65 x 132 mm, e pintura eletrostática</t>
  </si>
  <si>
    <t>Alambrado em tela de aço galvanizado de 2´, montantes metálicos retos</t>
  </si>
  <si>
    <t>Portão de abrir em grade de aço galvanizado eletrofundida, malha 65 x 132 mm, e pintura eletrostática</t>
  </si>
  <si>
    <t>Portão de correr em grade de aço galvanizado eletrofundida, malha 65 x 132 mm, e pintura eletrostática</t>
  </si>
  <si>
    <t>Gradil de ferro perfilado, tipo parque</t>
  </si>
  <si>
    <t>Portão de ferro perfilado, tipo parque</t>
  </si>
  <si>
    <t>Cerca de arame liso com mourões de concreto reto</t>
  </si>
  <si>
    <t>Portão de abrir em gradil eletrofundido, malha 5 x 15 cm</t>
  </si>
  <si>
    <t>Gradil tela eletrosoldado, malha de 5 x 15cm, galvanizado</t>
  </si>
  <si>
    <t>Fechamento de divisa - mourão com placas pré moldadas</t>
  </si>
  <si>
    <t>Árvore tipo Aroeira salsa - h= 2,00 m</t>
  </si>
  <si>
    <t>Árvore do tipo Falso barbatimão - h = 2,00m</t>
  </si>
  <si>
    <t>Tela de arame galvanizado fio nº 22 BWG, malha de 2´, tipo galinheiro</t>
  </si>
  <si>
    <t>Tela de aço galvanizado fio nº 10 BWG, malha de 2´, tipo alambrado de segurança</t>
  </si>
  <si>
    <t>Recolocação de barreira de proteção perimetral, simples ou dupla</t>
  </si>
  <si>
    <t>Seixo rolado</t>
  </si>
  <si>
    <t>Recolocação de alambrado, com altura até 4,50 m</t>
  </si>
  <si>
    <t>Recolocação de alambrado, com altura acima de 4,50 m</t>
  </si>
  <si>
    <t>Suporte para apoio de bicicletas em tubo de aço galvanizado, diâmetro de 2 1/2´</t>
  </si>
  <si>
    <t>Grelha arvoreira em ferro fundido</t>
  </si>
  <si>
    <t>Playground e equipamento recreativo</t>
  </si>
  <si>
    <t>Quadra e equipamento de esportes</t>
  </si>
  <si>
    <t>Tela de arame galvanizado fio nº 12 BWG, malha de 2´</t>
  </si>
  <si>
    <t>Trave oficial completa com rede para futebol de salão</t>
  </si>
  <si>
    <t>Tabela completa com suporte e rede para basquete</t>
  </si>
  <si>
    <t>Poste oficial completo com rede para voleibol</t>
  </si>
  <si>
    <t>Piso em fibra de polipropileno corrugado para quadra de esportes, inclusive pintura</t>
  </si>
  <si>
    <t>Abrigo, guarita e quiosque</t>
  </si>
  <si>
    <t>Cancela automática metálica com barreira de alumínio até 3,50 m</t>
  </si>
  <si>
    <t>Cancela manual, metálica, com barreira até 3,50 m</t>
  </si>
  <si>
    <t>Bancos</t>
  </si>
  <si>
    <t>Banco contínuo em concreto vazado</t>
  </si>
  <si>
    <t>Banco em concreto pré-moldado, dimensões 150 x 45 x 45 cm</t>
  </si>
  <si>
    <t>Banco de madeira sobre alvenaria</t>
  </si>
  <si>
    <t>Banco em concreto pré-moldado com pés vazados, dimensões 200 x 42 x 47 cm</t>
  </si>
  <si>
    <t>Equipamento recreativo</t>
  </si>
  <si>
    <t>Centro de atividades em madeira rústica</t>
  </si>
  <si>
    <t>Balanço duplo em madeira rústica</t>
  </si>
  <si>
    <t>Gangorra dupla em madeira rústica</t>
  </si>
  <si>
    <t>Gira-gira em ferro com assento de madeira (8 lugares)</t>
  </si>
  <si>
    <t>Mastro para bandeiras</t>
  </si>
  <si>
    <t>Plataforma com 3 mastros galvanizados, h= 7,00 m</t>
  </si>
  <si>
    <t>Plataforma com 3 mastros galvanizados, h= 9,00 m</t>
  </si>
  <si>
    <t>Mastro para bandeira galvanizado, h= 9,00 m</t>
  </si>
  <si>
    <t>Mastro para bandeira galvanizado, h= 7,00 m</t>
  </si>
  <si>
    <t>Tela em poliamida (nylon), malha 10 x 10 cm, fio 2 mm</t>
  </si>
  <si>
    <t>Entrada de energia elétrica e telefonia</t>
  </si>
  <si>
    <t>Entrada de energia - componentes</t>
  </si>
  <si>
    <t>Cubículo de média tensão, para uso ao tempo, classe 25 kV</t>
  </si>
  <si>
    <t>Cubículo de média tensão, para uso ao tempo, classe 15 kV</t>
  </si>
  <si>
    <t>Cubículo de entrada e medição para uso abrigado, classe 15 kV</t>
  </si>
  <si>
    <t>Caixas de entrada / medição</t>
  </si>
  <si>
    <t>Caixa de medição tipo II (300 x 560 x 200) mm, padrão concessionárias</t>
  </si>
  <si>
    <t>Caixa de medição polifásica (500 x 600 x 200) mm, padrão concessionárias</t>
  </si>
  <si>
    <t>Caixa de medição externa tipo ´L´ (900 x 600 x 270) mm, padrão Eletropaulo</t>
  </si>
  <si>
    <t>Caixa de medição externa tipo ´N´ (1300 x 1200 x 270) mm, padrão Eletropaulo</t>
  </si>
  <si>
    <t>Caixa de medição externa tipo ´M´ (900 x 1200 x 270) mm, padrão Eletropaulo</t>
  </si>
  <si>
    <t>Caixa para seccionadora tipo ´T´ (900 x 600 x 250) mm, padrão Eletropaulo</t>
  </si>
  <si>
    <t>Caixa de medição interna tipo ´A1´ (1000 x 1000 x 300) mm, padrão Eletropaulo</t>
  </si>
  <si>
    <t>Caixa de proteção para transformador de corrente, (1000 x 750 x 300) mm, padrão CPFL</t>
  </si>
  <si>
    <t>Caixa de proteção dos bornes do medidor, (300 x 250 x 90) mm, padrão CPFL</t>
  </si>
  <si>
    <t>Caixa de entrada tipo ´E´ (560 x 350 x 210) mm - padrão Eletropaulo</t>
  </si>
  <si>
    <t>Caixa base lateral tipo ´N´ (130 x 40 x 25) cm</t>
  </si>
  <si>
    <t>Suporte (Braquet)</t>
  </si>
  <si>
    <t>Suporte para 1 isolador de baixa tensão</t>
  </si>
  <si>
    <t>Suporte para 2 isoladores de baixa tensão</t>
  </si>
  <si>
    <t>Suporte para 3 isoladores de baixa tensão</t>
  </si>
  <si>
    <t>Suporte para 4 isoladores de baixa tensão</t>
  </si>
  <si>
    <t>Isoladores</t>
  </si>
  <si>
    <t>Isolador tipo roldana para baixa tensão de 76 x 79 mm</t>
  </si>
  <si>
    <t>Isolador tipo castanha incluindo grampo de sustentação</t>
  </si>
  <si>
    <t>Isolador tipo disco para 23 kV (poste)</t>
  </si>
  <si>
    <t>Isolador tipo disco para 15 kV de 6´ - 150 mm</t>
  </si>
  <si>
    <t>Isolador tipo pino para 25 kV, inclusive pino (poste)</t>
  </si>
  <si>
    <t>Isolador tipo pino para 15 kV, inclusive pino (poste)</t>
  </si>
  <si>
    <t>Isolador pedestal para 15 kV</t>
  </si>
  <si>
    <t>Isolador pedestal para 25 kV</t>
  </si>
  <si>
    <t>Muflas e terminais</t>
  </si>
  <si>
    <t>Terminal modular (mufla) unipolar interno para cabo até 120 mm²/25 kV</t>
  </si>
  <si>
    <t>Terminal modular (mufla) unipolar externo para cabo até 70 mm²/25 kV</t>
  </si>
  <si>
    <t>Terminal modular (mufla) unipolar externo para cabo até 70 mm²/15 kV</t>
  </si>
  <si>
    <t>Terminal modular (mufla) unipolar interno para cabo até 70 mm²/15 kV</t>
  </si>
  <si>
    <t>Pára-raios de média tensão</t>
  </si>
  <si>
    <t>Pára-raios de distribuição, classe 12 kV/5 kA, completo, encapsulado com polímero</t>
  </si>
  <si>
    <t>Pára-raios de distribuição, classe 12 kV/10 kA, completo, encapsulado com polímero</t>
  </si>
  <si>
    <t>Pára-raios de distribuição, classe 15 kV/5 kA, completo, encapsulado com polímero</t>
  </si>
  <si>
    <t>Pára-raios de distribuição, classe 15 kV/10 kA, completo, encapsulado com polímero</t>
  </si>
  <si>
    <t>Pára-raios de distribuição, classe 21 kV/5 kA, completo, encapsulado com polímero</t>
  </si>
  <si>
    <t>Gerador e grupo gerador</t>
  </si>
  <si>
    <t>Grupo gerador com potência de 40/36 kVA, 220/127 V ou 380/220 V e fator de potência de 0,8 indutivo, completo, inclusive painel e conjunto de baterias</t>
  </si>
  <si>
    <t>Grupo gerador com potência de 250/228 kVA, 220/127 V ou 380/220 V e fator de potência de 0,8 indutivo, completo, inclusive painel e conjunto de baterias</t>
  </si>
  <si>
    <t>Grupo gerador com potência de 350/320 kVA, 220/127 V ou 380/220 V e fator de potência de 0,8 indutivo, completo, inclusive painel e conjunto de baterias</t>
  </si>
  <si>
    <t>Grupo gerador com potência de 80-73/88-81 kVA, 220/127 V ou 380/220 V e fator de potência de 0,8 indutivo, completo, inclusive painel e conjunto de baterias</t>
  </si>
  <si>
    <t>Grupo gerador com potência de 165/150 kVA, 220/127 V ou 380/220 V e fator de potência de 0,8 indutivo, completo, inclusive painel e conjunto de baterias</t>
  </si>
  <si>
    <t>Grupo gerador com potência de 450/400 kVA, 220/127 V ou 380/220 V e fator de potência de 0,8 indutivo, completo, inclusive painel e conjunto de baterias</t>
  </si>
  <si>
    <t>Grupo gerador com potência de 25/22 kVA, 220/127 V ou 380/220 V e fator de potência de 0,8 indutivo, completo, inclusive painel e conjunto de baterias</t>
  </si>
  <si>
    <t>Grupo gerador com potência de 54-48/55-50 kVA, 220/127 V ou 380/220 V e fator de potência de 0,8 indutivo, completo, inclusive painel e conjunto de baterias</t>
  </si>
  <si>
    <t>Grupo gerador com potência de 180/168 kVA, 220/127 V ou 380/220 V e fator de potência de 0,8 indutivo, completo, inclusive painel e conjunto de baterias</t>
  </si>
  <si>
    <t>Grupo gerador com potência de 563/513 kVA, 220/127 V ou 380/220V, completo, inclusive conjunto de baterias</t>
  </si>
  <si>
    <t>Grupo gerador carenado, potência de 150/120 kVA, tensão de saída 220/127 V, fator de potência de 0,8 indutivo, conjunto de baterias - completo</t>
  </si>
  <si>
    <t>Gerador 460/434 kVA, 380/220V e fator de potência de 0,8 indutivo, completo, inclusive painel e conjunto de baterias</t>
  </si>
  <si>
    <t>Transformador de entrada</t>
  </si>
  <si>
    <t>Transformador de potência trifásico de 225 kVA, classe 15 kV, a óleo</t>
  </si>
  <si>
    <t>Transformador de potência trifásico de 75 kVA, classe 1,2 kV, a seco</t>
  </si>
  <si>
    <t>Transformador de potência trifásico de 150 kVA, classe 15 kV, a óleo</t>
  </si>
  <si>
    <t>Transformador de potência trifásico de 500 kVA, classe 15 kV, a seco</t>
  </si>
  <si>
    <t>Transformador de potência trifásico de 1000 kVA, classe 15 kV, a seco com cabine</t>
  </si>
  <si>
    <t>Transformador de potência trifásico de 5 kVA, classe 0,6 kV, a seco com cabine</t>
  </si>
  <si>
    <t>Transformador de potência trifásico de 7,5 kVA, classe 0,6 kV, a seco com cabine</t>
  </si>
  <si>
    <t>Transformador de potência trifásico de 15 kVA, classe 1,2 kV, a seco com cabine</t>
  </si>
  <si>
    <t>Transformador de potência trifásico de 75 kVA, classe 15 kV, a óleo</t>
  </si>
  <si>
    <t>Transformador de potência trifásico de 225 kVA, classe 23 kV, a óleo</t>
  </si>
  <si>
    <t>Transformador de potência trifásico de 300 kVA, classe 15 kV, a óleo</t>
  </si>
  <si>
    <t>Transformador de potência trifásico de 112,5 kVA, classe 15 kV, a óleo</t>
  </si>
  <si>
    <t>Transformador de potência trifásico de 500 kVA, classe 15 kV, a seco com cabine</t>
  </si>
  <si>
    <t>Transformador de potência trifásico de 30 kVA, classe 1,2 KV, a seco com cabine</t>
  </si>
  <si>
    <t>Transformador de potência trifásico de 500 kVA, classe 15 kV, a óleo</t>
  </si>
  <si>
    <t>Transformador de potência trifásico de 750 kVA, classe 15 kV, a óleo</t>
  </si>
  <si>
    <t>Transformador de potência trifásico de 750 kVA, classe 15 kV, a seco</t>
  </si>
  <si>
    <t>Transformador de potência trifásico de 300 kVA, classe 15 kV, a seco</t>
  </si>
  <si>
    <t>Transformador de potência trifásico de 45 kVA, classe 15 kV, a seco</t>
  </si>
  <si>
    <t>Transformador de potência trifásico de 500 kVA, classe 15 kV, a óleo - tipo pedestal</t>
  </si>
  <si>
    <t>Transformador trifásico a seco de 112,5 kVA, encapsulado em resina epóxi sob vácuo</t>
  </si>
  <si>
    <t>Transformador trifásico a seco de 150 kVA, encapsulado em resina epóxi sob vácuo</t>
  </si>
  <si>
    <t>Transformador de potência trifásico 45kVA, classe 24,2kV, encapsulado a vácuo em resina epóxi</t>
  </si>
  <si>
    <t>Transformador de potência trifásico 750kVA, classe 24,2kV, encapsulado a vácuo em resina epóxi</t>
  </si>
  <si>
    <t>Transformador de potência trifásico de 300 kVA, classe 25kV, a óleo</t>
  </si>
  <si>
    <t>Transformador de potência trifásico de 500 kVA, classe 25kV, encapsulado a vácuo em resina epóxi</t>
  </si>
  <si>
    <t>Vergalhão de cobre eletrolítico, diâmetro de 3/8´</t>
  </si>
  <si>
    <t>União angular para vergalhão, diâmetro de 3/8´</t>
  </si>
  <si>
    <t>Bobina mínima para disjuntor (a óleo)</t>
  </si>
  <si>
    <t>Terminal para vergalhão, diâmetro de 3/8´</t>
  </si>
  <si>
    <t>Braçadeira para fixação de eletroduto, até 4´</t>
  </si>
  <si>
    <t>Prensa vergalhão ´T´, diâmetro de 3/8´</t>
  </si>
  <si>
    <t>Vara para manobra em cabine em fibra de vidro, para tensão até 36 kV</t>
  </si>
  <si>
    <t>Bucha para passagem interna/externa com isolação para 15 kV</t>
  </si>
  <si>
    <t>Chapa de ferro de 1,50 x 0,50 m para bucha de passagem</t>
  </si>
  <si>
    <t>Cruzeta de madeira de 2400 mm</t>
  </si>
  <si>
    <t>Cruzeta de madeira de 90 x 115 x 3500 mm</t>
  </si>
  <si>
    <t>Luva isolante de borracha, acima de 10 até 20 kV</t>
  </si>
  <si>
    <t>Luva isolante de borracha, acima de 20 até 30 kV</t>
  </si>
  <si>
    <t>Mão francesa de 700 mm</t>
  </si>
  <si>
    <t>Luva isolante de borracha, até 10 kV</t>
  </si>
  <si>
    <t>Mudança de tap do transformador</t>
  </si>
  <si>
    <t>Luva isolante de borracha, acima de 30 até 40 kV</t>
  </si>
  <si>
    <t>Óleo para disjuntor</t>
  </si>
  <si>
    <t>Óleo para transformador</t>
  </si>
  <si>
    <t>Placa de advertência ´Perigo Alta Tensão´ em cabine primária, nas dimensões 400 x 300 mm, chapa 18</t>
  </si>
  <si>
    <t>Luva de couro para proteção de luva isolante</t>
  </si>
  <si>
    <t>Sela para cruzeta de madeira</t>
  </si>
  <si>
    <t>Caixa porta luvas em madeira, com tampa</t>
  </si>
  <si>
    <t>Suporte de transformador em poste ou estaleiro</t>
  </si>
  <si>
    <t>Caixa inviolável para secundário do transformador</t>
  </si>
  <si>
    <t>Tapete de borracha isolante elétrico de 1000 x 1000 mm</t>
  </si>
  <si>
    <t>Cruzeta metálica de 2400 mm, para fixação de mufla ou para-raios</t>
  </si>
  <si>
    <t>Dispositivo Soft Starter para motor 50 cv, trifásico 220 V</t>
  </si>
  <si>
    <t>Dispositivo Soft Starter para motor 15 cv, trifásico 220 V</t>
  </si>
  <si>
    <t>Dispositivo Soft Starter para motor 25 cv, trifásico 220 V</t>
  </si>
  <si>
    <t>Quadro e painel para energia elétrica e telefonia</t>
  </si>
  <si>
    <t>Quadro para telefonia embutir, proteção IP40 chapa nº 16msg</t>
  </si>
  <si>
    <t>Quadro Telebrás de embutir de 200 x 200 x 120 mm</t>
  </si>
  <si>
    <t>Quadro Telebrás de embutir de 400 x 400 x 120 mm</t>
  </si>
  <si>
    <t>Quadro Telebrás de embutir de 600 x 600 x 120 mm</t>
  </si>
  <si>
    <t>Quadro Telebrás de embutir de 800 x 800 x 120 mm</t>
  </si>
  <si>
    <t>Quadro Telebrás de embutir de 1200 x 1200 x 120 mm</t>
  </si>
  <si>
    <t>Quadro para telefonia de sobrepor, proteção IP 40 chapa nº 16msg</t>
  </si>
  <si>
    <t>Quadro Telebrás de sobrepor de 200 x 200 x 120 mm</t>
  </si>
  <si>
    <t>Quadro Telebrás de sobrepor de 400 x 400 x 120 mm</t>
  </si>
  <si>
    <t>Quadro Telebrás de sobrepor de 600 x 600 x 120 mm</t>
  </si>
  <si>
    <t>Quadro Telebrás de sobrepor de 800 x 800 x 120 mm</t>
  </si>
  <si>
    <t>Quadro distribuição de luz e força de embutir universal</t>
  </si>
  <si>
    <t>Quadro de distribuição universal de embutir, para disjuntores 16 DIN / 12 Bolt-on - 150 A - sem componentes</t>
  </si>
  <si>
    <t>Quadro de distribuição universal de embutir, para disjuntores 24 DIN / 18 Bolt-on - 150 A - sem componentes</t>
  </si>
  <si>
    <t>Quadro de distribuição universal de embutir, para disjuntores 34 DIN / 24 Bolt-on - 150 A - sem componentes</t>
  </si>
  <si>
    <t>Quadro de distribuição universal de embutir, para disjuntores 44 DIN / 32 Bolt-on - 150 A - sem componentes</t>
  </si>
  <si>
    <t>Quadro de distribuição universal de embutir, para disjuntores 56 DIN / 40 Bolt-on - 225 A - sem componentes</t>
  </si>
  <si>
    <t>Quadro de distribuição universal de embutir, para disjuntores 70 DIN / 50 Bolt-on - 225 A - sem componentes</t>
  </si>
  <si>
    <t>Quadro distribuição de luz e força de sobrepor universal</t>
  </si>
  <si>
    <t>Quadro de distribuição universal de sobrepor, para disjuntores 16 DIN / 12 Bolt-on - 150 A - sem componentes</t>
  </si>
  <si>
    <t>Quadro de distribuição universal de sobrepor, para disjuntores 24 DIN / 18 Bolt-on - 150 A - sem componentes</t>
  </si>
  <si>
    <t>Quadro de distribuição universal de sobrepor, para disjuntores 34 DIN / 24 Bolt-on - 150 A - sem componentes</t>
  </si>
  <si>
    <t>Quadro de distribuição universal de sobrepor, para disjuntores 44 DIN / 32 Bolt-on - 150 A - sem componentes</t>
  </si>
  <si>
    <t>Quadro de distribuição universal de sobrepor, para disjuntores 56 DIN / 40 Bolt-on - 225 A - sem componentes</t>
  </si>
  <si>
    <t>Quadro de distribuição universal de sobrepor, para disjuntores 70 DIN / 50 Bolt-on - 225 A - sem componentes</t>
  </si>
  <si>
    <t>Quadro de comando</t>
  </si>
  <si>
    <t>Quadro de comando completo para conjunto motor-bomba submersível de poço profundo até 6HP, 220 / 380 V</t>
  </si>
  <si>
    <t>Quadro de comando completo para conjunto motor-bomba submersível de poço profundo acima de 6 HP até 12,5 HP, 220 V</t>
  </si>
  <si>
    <t>Quadro de comando completo para conjunto motor-bomba submersível de poço profundo acima de 12,5 HP até 20 HP, 220 V</t>
  </si>
  <si>
    <t>Quadro de comando completo para conjunto motor-bomba submersível de poço profundo acima de 20 HP até 50 HP, 220 V</t>
  </si>
  <si>
    <t>Quadro de comando completo para conjunto motor-bomba submersível de poço profundo acima de 6 HP até 15 HP, 380 V</t>
  </si>
  <si>
    <t>Quadro de comando completo para conjunto motor-bomba submersível de poço profundo acima de 15 HP até 50 HP, 380 V</t>
  </si>
  <si>
    <t>Quadro de comando completo para conjunto motor-bomba submersível de poço profundo acima de 50 HP até 150 HP, 220 / 380 / 440 V</t>
  </si>
  <si>
    <t>Quadro de comando completo para conjunto motor-bomba submersível de poço profundo acima de 15 HP até 50 HP, 440 V</t>
  </si>
  <si>
    <t>Painel autoportante</t>
  </si>
  <si>
    <t>Painel monobloco autoportante em chapa de aço de 2,0 mm de espessura, com proteção mínima IP 54 - sem componentes</t>
  </si>
  <si>
    <t>Barramentos</t>
  </si>
  <si>
    <t>Barramento de cobre nu</t>
  </si>
  <si>
    <t>Bases</t>
  </si>
  <si>
    <t>Base de fusível Diazed completa para 25 A</t>
  </si>
  <si>
    <t>Base de fusível Diazed completa para 63 A</t>
  </si>
  <si>
    <t>Base de fusível NH até 125 A, com fusível</t>
  </si>
  <si>
    <t>Base de fusível NH até 250 A, com fusível</t>
  </si>
  <si>
    <t>Base de fusível NH até 400 A, com fusível</t>
  </si>
  <si>
    <t>Base de fusível tripolar de 15 kV</t>
  </si>
  <si>
    <t>Base de fusível tripolar de 25 kV</t>
  </si>
  <si>
    <t>Base de fusível unipolar de 15 kV</t>
  </si>
  <si>
    <t>Fusíveis</t>
  </si>
  <si>
    <t>Fusível tipo NH 00 de 6 A até 160 A</t>
  </si>
  <si>
    <t>Fusível tipo NH 1 de 36 A até 250 A</t>
  </si>
  <si>
    <t>Fusível tipo NH 2 de 224 A até 400 A</t>
  </si>
  <si>
    <t>Fusível tipo NH 3 de 400 A até 630 A</t>
  </si>
  <si>
    <t>Fusível tipo NH 4 de 800 A até 1250 A</t>
  </si>
  <si>
    <t>Fusível tipo HH para 15 kV de 2,5 A até 50 A</t>
  </si>
  <si>
    <t>Fusível tipo HH para 25 kV de 6 A até 63 A</t>
  </si>
  <si>
    <t>Fusível tipo HH para 15 kV de 60 A até 100 A</t>
  </si>
  <si>
    <t>Fusível diazed retardado de 2 A até 25 A</t>
  </si>
  <si>
    <t>Fusível diazed retardado de 35 A até 63 A</t>
  </si>
  <si>
    <t>Fusível em vidro para ´TP´ de 0,5 A</t>
  </si>
  <si>
    <t>Disjuntores</t>
  </si>
  <si>
    <t>Disjuntor fixo PVO trifásico, 17,5 kV, 630 A x 350 MVA, 50/60 Hz, com acessórios</t>
  </si>
  <si>
    <t>Disjuntor a seco aberto trifásico, 600 V de 800 A, 50/60 Hz, com acessórios</t>
  </si>
  <si>
    <t>Disjuntor fixo PVO trifásico, 15 kV, 630 A x 350 MVA, com relé de proteção de sobrecorrente e transformadores de corrente</t>
  </si>
  <si>
    <t>Disjuntor em caixa aberta tripolar extraível, 500V de 3200A, com acessórios</t>
  </si>
  <si>
    <t>Disjuntor em caixa aberta tripolar extraível, 500V de 4000A, com acessórios</t>
  </si>
  <si>
    <t>Disjuntor em caixa aberta tripolar extraível, 500V de 5000A, com acessórios</t>
  </si>
  <si>
    <t>Disjuntor termomagnético, unipolar 127/220 V, corrente de 10 A até 30 A</t>
  </si>
  <si>
    <t>Disjuntor termomagnético, unipolar 127/220 V, corrente de 35 A até 50 A</t>
  </si>
  <si>
    <t>Disjuntor termomagnético, unipolar 127/220 V, corrente de 60 A até 70 A</t>
  </si>
  <si>
    <t>Disjuntor termomagnético, bipolar 220/380 V, corrente de 10 A até 50 A</t>
  </si>
  <si>
    <t>Disjuntor termomagnético, bipolar 220/380 V, corrente de 60 A até 100 A</t>
  </si>
  <si>
    <t>Disjuntor termomagnético, tripolar 220/380 V, corrente de 10 A até 50 A</t>
  </si>
  <si>
    <t>Disjuntor termomagnético, tripolar 220/380 V, corrente de 60 A até 100 A</t>
  </si>
  <si>
    <t>Disjuntor série universal, em caixa moldada, térmico e magnético fixos, bipolar 480 V, corrente de 60 A até 100 A</t>
  </si>
  <si>
    <t>Disjuntor série universal, em caixa moldada, térmico e magnético fixos, bipolar 480/600 V, corrente de 125 A</t>
  </si>
  <si>
    <t>Disjuntor série universal, em caixa moldada, térmico fixo e magnético ajustável, tripolar 600 V, corrente de 300 A até 400 A</t>
  </si>
  <si>
    <t>Disjuntor série universal, em caixa moldada, térmico fixo e magnético ajustável, tripolar 600 V, corrente de 500 A até 630 A</t>
  </si>
  <si>
    <t>Disjuntor série universal, em caixa moldada, térmico fixo e magnético ajustável, tripolar 600 V, corrente de 700 A até 800 A</t>
  </si>
  <si>
    <t>Disjuntor em caixa moldada, térmico e magnético ajustáveis, tripolar 630 A/690 V, faixa de ajuste de 440 até 630 A</t>
  </si>
  <si>
    <t>Disjuntor em caixa moldada, térmico e magnético ajustáveis, tripolar 1250 A/690 V, faixa de ajuste de 800 até 1250 A</t>
  </si>
  <si>
    <t>Disjuntor em caixa moldada, térmico e magnético ajustáveis, tripolar 1600 A/690 V, faixa de ajuste de 1000 até 1600 A</t>
  </si>
  <si>
    <t>Mini-disjuntor termomagnético, unipolar 127/220 V, corrente de 10 A até 32 A</t>
  </si>
  <si>
    <t>Mini-disjuntor termomagnético, unipolar 127/220 V, corrente de 40 A até 50 A</t>
  </si>
  <si>
    <t>Mini-disjuntor termomagnético, unipolar 127/220 V, corrente de 63 A</t>
  </si>
  <si>
    <t>Mini-disjuntor termomagnético, bipolar 220/380 V, corrente de 10 A até 32 A</t>
  </si>
  <si>
    <t>Mini-disjuntor termomagnético, bipolar 220/380 V, corrente de 40 A até 50 A</t>
  </si>
  <si>
    <t>Mini-disjuntor termomagnético, bipolar 220/380 V, corrente de 63 A</t>
  </si>
  <si>
    <t>Mini-disjuntor termomagnético, bipolar 400 V, corrente de 80 A até 100 A</t>
  </si>
  <si>
    <t>Mini-disjuntor termomagnético, tripolar 220/380 V, corrente de 10 A até 32 A</t>
  </si>
  <si>
    <t>Mini-disjuntor termomagnético, tripolar 220/380 V, corrente de 40 A até 50 A</t>
  </si>
  <si>
    <t>Mini-disjuntor termomagnético, tripolar 220/380 V, corrente de 63 A</t>
  </si>
  <si>
    <t>Mini-disjuntor termomagnético, tripolar 400 V, corrente de 80 A até 125 A</t>
  </si>
  <si>
    <t>Disjuntor em caixa moldada, térmico ajustável e magnético fixo, tripolar 2000 A / 1200 V, faixa de ajuste de 1600 até 2000 A</t>
  </si>
  <si>
    <t>Disjuntor em caixa moldada, térmico ajustável e magnético fixo, tripolar 2500 A / 1200 V, faixa de ajuste de 2000 até 2500 A</t>
  </si>
  <si>
    <t>Disjuntor em caixa aberta tripolar extraível, 500 V de 6300 A, com acessórios</t>
  </si>
  <si>
    <t>Chave de baixa tensão</t>
  </si>
  <si>
    <t>Chave comutadora, reversão sob carga, tetrapolar, sem porta fusível, para 100 A</t>
  </si>
  <si>
    <t>Chave seccionadora sob carga, tripolar, acionamento rotativo, com prolongador, sem porta-fusível, de 160 A</t>
  </si>
  <si>
    <t>Chave seccionadora sob carga, tripolar, acionamento rotativo, com prolongador, sem porta-fusível, de 250 A</t>
  </si>
  <si>
    <t>Chave seccionadora sob carga, tripolar, acionamento rotativo, com prolongador, sem porta-fusível, de 400 A</t>
  </si>
  <si>
    <t>Chave seccionadora sob carga, tripolar, acionamento rotativo, com prolongador, sem porta-fusível, de 630 A</t>
  </si>
  <si>
    <t>Chave seccionadora sob carga, tripolar, acionamento rotativo, com prolongador, sem porta-fusível, de 1000 A</t>
  </si>
  <si>
    <t>Chave seccionadora sob carga, tripolar, acionamento rotativo, com prolongador, sem porta-fusível, de 1250 A</t>
  </si>
  <si>
    <t>Chave seccionadora sob carga, tripolar, acionamento rotativo, com prolongador e porta-fusível até NH-00-125 A - sem fusíveis</t>
  </si>
  <si>
    <t>Chave seccionadora sob carga, tripolar, acionamento rotativo, com prolongador e porta-fusível até NH-00-160 A - sem fusíveis</t>
  </si>
  <si>
    <t>Chave seccionadora sob carga, tripolar, acionamento rotativo, com prolongador e porta-fusível até NH-1-250 A - sem fusíveis</t>
  </si>
  <si>
    <t>Chave seccionadora sob carga, tripolar, acionamento rotativo, com prolongador e porta-fusível até NH-2-400 A - sem fusíveis</t>
  </si>
  <si>
    <t>Chave seccionadora sob carga, tripolar, acionamento rotativo, com prolongador e porta-fusível até NH-3-630 A - sem fusíveis</t>
  </si>
  <si>
    <t>Chave seccionadora sob carga, tripolar, acionamento tipo punho, com porta-fusível até NH-00-160 A - sem fusíveis</t>
  </si>
  <si>
    <t>Chave seccionadora sob carga, tripolar, acionamento tipo punho, com porta-fusível até NH-1-250 A - sem fusíveis</t>
  </si>
  <si>
    <t>Chave seccionadora sob carga, tripolar, acionamento tipo punho, com porta-fusível até NH-2-400 A - sem fusíveis</t>
  </si>
  <si>
    <t>Chave seccionadora sob carga, tripolar, acionamento tipo punho, com porta-fusível até NH-3-630 A - sem fusíveis</t>
  </si>
  <si>
    <t>Chave comutadora, reversão sob carga, tripolar, sem porta fusível, para 400 A</t>
  </si>
  <si>
    <t>Chave comutadora, reversão sob carga, tripolar, sem porta fusível, para 600/630 A</t>
  </si>
  <si>
    <t>Chave comutadora, reversão sob carga, tripolar, sem porta fusível, para 1000 A</t>
  </si>
  <si>
    <t>Chave comutadora, reversão sob carga, tetrapolar, sem porta fusível, para 630 A / 690 V</t>
  </si>
  <si>
    <t>Barra de contato para chave seccionadora tipo NH1-250 A</t>
  </si>
  <si>
    <t>Barra de contato para chave seccionadora tipo NH2-400 A</t>
  </si>
  <si>
    <t>Barra de contato para chave seccionadora tipo NH3-630 A</t>
  </si>
  <si>
    <t>Chave seccionadora tripolar, abertura sob carga seca até 160 A / 600 V</t>
  </si>
  <si>
    <t>Chave de média tensão</t>
  </si>
  <si>
    <t>Chave seccionadora tripolar sob carga para 400 A - 25 kV - com prolongador</t>
  </si>
  <si>
    <t>Chave seccionadora tripolar sob carga para 400 A - 15 kV - com prolongador</t>
  </si>
  <si>
    <t>Chave seccionadora tripolar sob carga para 600/630 A - 15 kV - com prolongador</t>
  </si>
  <si>
    <t>Chave fusível base ´C´ para 15 kV/100 A, com capacidade de ruptura até 10 kA, com fusível</t>
  </si>
  <si>
    <t>Chave fusível base ´C´ para 15 kV/200 A, com capacidade de ruptura até 10 kA, com fusível</t>
  </si>
  <si>
    <t>Chave fusível base ´C´ para 25 kV/100 A, com capacidade de ruptura até 6,3 kA, com fusível</t>
  </si>
  <si>
    <t>Chave seccionadora tripolar seca para 400 A - 15 kV - com prolongador</t>
  </si>
  <si>
    <t>Chave seccionadora tripolar seca para 600 / 630 A - 15 kV - com prolongador</t>
  </si>
  <si>
    <t>Chave seccionadora tripolar seca para 400 A - 25 kV - com prolongador</t>
  </si>
  <si>
    <t>Bus-way</t>
  </si>
  <si>
    <t>Sistema de barramento blindado &gt; 100 A, trifásico, barra de cobre</t>
  </si>
  <si>
    <t>Axm</t>
  </si>
  <si>
    <t>Dispositivo DR ou interruptor de corrente de fuga</t>
  </si>
  <si>
    <t>Dispositivo diferencial residual de 25 A x 30 mA - 2 pólos</t>
  </si>
  <si>
    <t>Dispositivo diferencial residual de 40 A x 30 mA - 2 pólos</t>
  </si>
  <si>
    <t>Dispositivo diferencial residual de 40 A x 30 mA - 4 pólos</t>
  </si>
  <si>
    <t>Dispositivo diferencial residual de 63 A x 30 mA - 4 pólos</t>
  </si>
  <si>
    <t>Dispositivo diferencial residual de 80 A x 30 mA - 4 pólos</t>
  </si>
  <si>
    <t>Dispositivo diferencial residual de 100 A x 30 mA - 4 pólos</t>
  </si>
  <si>
    <t>Dispositivo diferencial residual de 25 A x 30 mA - 4 pólos</t>
  </si>
  <si>
    <t>Dispositivo diferencial residual de 25 A x 300 mA - 4 pólos</t>
  </si>
  <si>
    <t>Dispositivo diferencial residual de 125 A x 30 mA - 4 pólos</t>
  </si>
  <si>
    <t>Transformador de Potencial</t>
  </si>
  <si>
    <t>Transformador de potencial monofásico até 1000 VA classe 15 kV, a seco, com fusíveis</t>
  </si>
  <si>
    <t>Transformador de potencial monofásico até 2000 VA classe 15 kV, a seco, com fusíveis</t>
  </si>
  <si>
    <t>Transformador de potencial monofásico até 500 VA classe 15 kV, a seco, sem fusíveis</t>
  </si>
  <si>
    <t>Transformador de potencial monofásico até 1000 VA classe 25 kV, a seco, com fusíveis</t>
  </si>
  <si>
    <t>Transformador de corrente</t>
  </si>
  <si>
    <t>Transformador de corrente 800-5 A, janela</t>
  </si>
  <si>
    <t>Transformador de corrente 200-5 A até 600-5 A, janela</t>
  </si>
  <si>
    <t>Transformador de corrente 1000-5 A até 1500-5 A, janela</t>
  </si>
  <si>
    <t>Transformador de corrente 50-5 A até 150-5 A, janela</t>
  </si>
  <si>
    <t>Transformador de corrente 2000-5 A até 2500-5 A - janela</t>
  </si>
  <si>
    <t>Isolador em epóxi de 1 kV para barramento</t>
  </si>
  <si>
    <t>Régua de bornes para 9 pólos de 600 V / 50 A</t>
  </si>
  <si>
    <t>Palheta plástica para disjuntores faltantes</t>
  </si>
  <si>
    <t>Barra de neutro e/ou terra</t>
  </si>
  <si>
    <t>Recolocação de chave seccionadora tripolar de 125 A até 650 A, sem base fusível</t>
  </si>
  <si>
    <t>Recolocação de fundo de quadro de distribuição, sem componentes</t>
  </si>
  <si>
    <t>Recolocação de quadro de distribuição de sobrepor, sem componentes</t>
  </si>
  <si>
    <t>Banco de medição para transformadores TC/TP, padrão Eletropaulo e/ou Cesp</t>
  </si>
  <si>
    <t>Suporte fixo para transformadores de potencial</t>
  </si>
  <si>
    <t>Placa de montagem em chapa de aço de 2,65 mm (12 MSG)</t>
  </si>
  <si>
    <t>Inversor de frequência para variação de velocidade em motores, potência de 0,25 a 20 cv</t>
  </si>
  <si>
    <t>Punho de manobra com articulador de acionamento</t>
  </si>
  <si>
    <t>Capacitor de potência</t>
  </si>
  <si>
    <t>Capacitor de potência trifásico de 10 kVAr, 220 V/60 Hz, para correção de fator de potência</t>
  </si>
  <si>
    <t>Transformador de comando</t>
  </si>
  <si>
    <t>Transformador monofásico de comando de 200 VA classe 0,6 kV, a seco</t>
  </si>
  <si>
    <t>Supressor de surto</t>
  </si>
  <si>
    <t>Supressor de surto monofásico, Fase-Terra, In &gt; ou = 20 kA, Imax. de surto de 65 até 80 kA</t>
  </si>
  <si>
    <t>Supressor de surto monofásico, Neutro-Terra, In &gt; ou = 20 kA, Imax. de surto de 65 até 80 kA</t>
  </si>
  <si>
    <t>Disjuntor fixo a vácuo de 15 a 17,5 kV, equipado com motorização de fechamento, com relê de proteção</t>
  </si>
  <si>
    <t>Disjuntor em caixa moldada tripolar, térmico e magnético fixos, tensão de isolamento 480/690 V, de 10 A a 60 A</t>
  </si>
  <si>
    <t>Disjuntor em caixa moldada tripolar, térmico e magnético fixos, tensão de isolamento 480/690 V, de 70 A até 150 A</t>
  </si>
  <si>
    <t>Disjuntor em caixa moldada tripolar, térmico e magnético fixos, tensão de isolamento 415/690 V, de 175 A a 250 A</t>
  </si>
  <si>
    <t>Disjuntor em caixa moldada bipolar, térmico e magnético fixos - 480 V - de 10 A a 50 A para 120/240 Vca - 25 KA e para 380/440 Vca - 18 KA</t>
  </si>
  <si>
    <t>Disjuntor em caixa moldada bipolar, térmico e magnético fixos - 600V - de 150A para 120/240Vca - 25 KA e para 380/440Vca - 18 KA</t>
  </si>
  <si>
    <t>Disjuntor fixo a vácuo de 25 kV, equipado com motorização de fechamento, com rele de proteção</t>
  </si>
  <si>
    <t>Tubulação e conduto para energia elétrica e telefonia básica</t>
  </si>
  <si>
    <t>Eletroduto em PVC rígido roscável</t>
  </si>
  <si>
    <t>Eletroduto de PVC rígido roscável de 1/2´ - com acessórios</t>
  </si>
  <si>
    <t>Eletroduto de PVC rígido roscável de 3/4´ - com acessórios</t>
  </si>
  <si>
    <t>Eletroduto de PVC rígido roscável de 1´ - com acessórios</t>
  </si>
  <si>
    <t>Eletroduto de PVC rígido roscável de 1 1/4´ - com acessórios</t>
  </si>
  <si>
    <t>Eletroduto de PVC rígido roscável de 1 1/2´ - com acessórios</t>
  </si>
  <si>
    <t>Eletroduto de PVC rígido roscável de 2´ - com acessórios</t>
  </si>
  <si>
    <t>Eletroduto de PVC rígido roscável de 2 1/2´ - com acessórios</t>
  </si>
  <si>
    <t>Eletroduto de PVC rígido roscável de 3´ - com acessórios</t>
  </si>
  <si>
    <t>Eletroduto de PVC rígido roscável de 4´ - com acessórios</t>
  </si>
  <si>
    <t>Eletroduto em ferro galvanizado - médio</t>
  </si>
  <si>
    <t>Eletroduto de ferro galvanizado, médio de 1/2´ - com acessórios</t>
  </si>
  <si>
    <t>Eletroduto de ferro galvanizado, médio de 3/4´ - com acessórios</t>
  </si>
  <si>
    <t>Eletroduto de ferro galvanizado, médio de 1´ - com acessórios</t>
  </si>
  <si>
    <t>Eletroduto de ferro galvanizado, médio de 1 1/4´ - com acessórios</t>
  </si>
  <si>
    <t>Eletroduto de ferro galvanizado, médio de 1 1/2´ - com acessórios</t>
  </si>
  <si>
    <t>Eletroduto de ferro galvanizado, médio de 2´ - com acessórios</t>
  </si>
  <si>
    <t>Eletroduto de ferro galvanizado, médio de 2 1/2´ - com acessórios</t>
  </si>
  <si>
    <t>Eletroduto de ferro galvanizado, médio de 3´ - com acessórios</t>
  </si>
  <si>
    <t>Eletroduto de ferro galvanizado, médio de 4´ - com acessórios</t>
  </si>
  <si>
    <t>Eletroduto em ferro galvanizado - pesado</t>
  </si>
  <si>
    <t>Eletroduto de ferro galvanizado, pesado de 1/2´ - com acessórios</t>
  </si>
  <si>
    <t>Eletroduto de ferro galvanizado, pesado de 3/4´ - com acessórios</t>
  </si>
  <si>
    <t>Eletroduto de ferro galvanizado, pesado de 1´ - com acessórios</t>
  </si>
  <si>
    <t>Eletroduto de ferro galvanizado, pesado de 1 1/4´ - com acessórios</t>
  </si>
  <si>
    <t>Eletroduto de ferro galvanizado, pesado de 1 1/2´ - com acessórios</t>
  </si>
  <si>
    <t>Eletroduto de ferro galvanizado, pesado de 2´ - com acessórios</t>
  </si>
  <si>
    <t>Eletroduto de ferro galvanizado, pesado de 2 1/2´ - com acessórios</t>
  </si>
  <si>
    <t>Eletroduto de ferro galvanizado, pesado de 3´ - com acessórios</t>
  </si>
  <si>
    <t>Eletroduto de ferro galvanizado, pesado de 4´ - com acessórios</t>
  </si>
  <si>
    <t>Eletroduto em ferro galvanizado a quente - pesado</t>
  </si>
  <si>
    <t>Eletroduto de ferro galvanizado a quente, pesado de 1/2´ - com acessórios</t>
  </si>
  <si>
    <t>Eletroduto de ferro galvanizado a quente, pesado de 3/4´ - com acessórios</t>
  </si>
  <si>
    <t>Eletroduto de ferro galvanizado a quente, pesado de 1´ - com acessórios</t>
  </si>
  <si>
    <t>Eletroduto de ferro galvanizado a quente, pesado de 1 1/4´ - com acessórios</t>
  </si>
  <si>
    <t>Eletroduto de ferro galvanizado a quente, pesado de 1 1/2´ - com acessórios</t>
  </si>
  <si>
    <t>Eletroduto de ferro galvanizado a quente, pesado de 2´ - com acessórios</t>
  </si>
  <si>
    <t>Eletroduto de ferro galvanizado a quente, pesado de 2 1/2´ - com acessórios</t>
  </si>
  <si>
    <t>Eletroduto de ferro galvanizado a quente, pesado de 3´ - com acessórios</t>
  </si>
  <si>
    <t>Eletroduto de ferro galvanizado a quente, pesado de 4´ - com acessórios</t>
  </si>
  <si>
    <t>Canaleta, perfilado e acessórios</t>
  </si>
  <si>
    <t>Caixa para tomada fixo perfil, de encaixe rápido, com tampa</t>
  </si>
  <si>
    <t>Grampo tipo ´C´ diâmetro 3/8`, com balancim tamanho grande</t>
  </si>
  <si>
    <t>Tampa de pressão para perfilado de 38 x 38 mm</t>
  </si>
  <si>
    <t>Saída final, diâmetro de 3/4´</t>
  </si>
  <si>
    <t>Saída lateral simples, diâmetro de 3/4´</t>
  </si>
  <si>
    <t>Saída superior, diâmetro de 3/4´</t>
  </si>
  <si>
    <t>Canaleta em PVC de 20 x 10 mm, inclusive acessórios</t>
  </si>
  <si>
    <t>Vergalhão com rosca, porca e arruela de diâmetro 3/8´ (tirante)</t>
  </si>
  <si>
    <t>Vergalhão com rosca, porca e arruela de diâmetro 1/4´ (tirante)</t>
  </si>
  <si>
    <t>Caixa de derivação ´C´ para perfilado 38 x 38 mm em chapa 18 pré-zincada</t>
  </si>
  <si>
    <t>Caixa de derivação ´X´ para perfilado 38 x 38 mm em chapa 18 pré-zincada</t>
  </si>
  <si>
    <t>Caixa de derivação ´X´ para perfilado, 2 x 38 mm / 2 x 76 mm</t>
  </si>
  <si>
    <t>Vergalhão com rosca, porca e arruela de diâmetro 5/16´ (tirante)</t>
  </si>
  <si>
    <t>Perfilado perfurado 38 x 38 mm, com acessórios</t>
  </si>
  <si>
    <t>Perfilado perfurado 38 x 76 mm, com acessórios</t>
  </si>
  <si>
    <t>Saída lateral simples, diâmetro 1´</t>
  </si>
  <si>
    <t>Perfilado liso 38 x 38 mm - com acessórios</t>
  </si>
  <si>
    <t>Duto fechado de piso e acessórios</t>
  </si>
  <si>
    <t>Duto de piso liso em aço, medindo 2 x 25 x 70 mm, com acessórios</t>
  </si>
  <si>
    <t>Duto de piso liso em aço, medindo 3 x 25 x 70 mm, com acessórios</t>
  </si>
  <si>
    <t>Caixa de derivação ou passagem, para cruzamento de duto, medindo 16 x 25 x 70 mm, com cruzadora</t>
  </si>
  <si>
    <t>Caixa de derivação ou passagem para cruzamento de duto, medindo 12 x 25 x 70 mm, com cruzadora</t>
  </si>
  <si>
    <t>Caixa de derivação ou passagem, para cruzamento de duto, medindo 4 x 25 x 70 mm, sem cruzadora</t>
  </si>
  <si>
    <t>Caixa de tomada e tampa basculante com rebaixo de 2 x (25 x 70 mm)</t>
  </si>
  <si>
    <t>Caixa de tomada e tampa basculante com rebaixo de 3 x (25 x 70 mm)</t>
  </si>
  <si>
    <t>Caixa de tomada e tampa basculante com rebaixo de 4 x (25 x 70 mm)</t>
  </si>
  <si>
    <t>Suporte de tomada para caixas com 2, 3 ou 4 vias</t>
  </si>
  <si>
    <t>Leitos e acessórios</t>
  </si>
  <si>
    <t>Leito para cabos, tipo pesado, em aço galvanizado de 400 x 100 mm - com acessórios</t>
  </si>
  <si>
    <t>Leito para cabos, tipo pesado, em aço galvanizado de 600 x 100 mm - com acessórios</t>
  </si>
  <si>
    <t>Leito para cabos, tipo pesado, em aço galvanizado de 300 x 100 mm - com acessórios</t>
  </si>
  <si>
    <t>Leito para cabos, tipo pesado, em aço galvanizado de 500 x 100 mm - com acessórios</t>
  </si>
  <si>
    <t>Leito para cabos, tipo pesado, em aço galvanizado de 800 x 100 mm - com acessórios</t>
  </si>
  <si>
    <t>Leito para cabos, tipo pesado, em aço galvanizado de 1000 x 100 mm - com acessórios</t>
  </si>
  <si>
    <t>Eletroduto em polietileno de alta densidade</t>
  </si>
  <si>
    <t>Eletroduto corrugado em polietileno de alta densidade, DN= 30 mm, com acessórios</t>
  </si>
  <si>
    <t>Eletroduto corrugado em polietileno de alta densidade, DN= 50 mm, com acessórios</t>
  </si>
  <si>
    <t>Eletroduto corrugado em polietileno de alta densidade, DN= 75 mm, com acessórios</t>
  </si>
  <si>
    <t>Eletroduto corrugado em polietileno de alta densidade, DN= 100 mm, com acessórios</t>
  </si>
  <si>
    <t>Eletroduto corrugado em polietileno de alta densidade, DN= 125 mm, com acessórios</t>
  </si>
  <si>
    <t>Eletroduto corrugado em polietileno de alta densidade, DN= 150 mm, com acessórios</t>
  </si>
  <si>
    <t>Eletroduto corrugado em polietileno de alta densidade, DN= 40 mm, com acessórios</t>
  </si>
  <si>
    <t>Eletroduto metálico flexível</t>
  </si>
  <si>
    <t>Eletroduto metálico flexível com capa em PVC de 3/4´</t>
  </si>
  <si>
    <t>Eletroduto metálico flexível com capa em PVC de 1´</t>
  </si>
  <si>
    <t>Eletroduto metálico flexível com capa em PVC de 1 1/2´</t>
  </si>
  <si>
    <t>Eletroduto metálico flexível com capa em PVC de 2´</t>
  </si>
  <si>
    <t>Terminal macho fixo em latão zincado de 3/4´</t>
  </si>
  <si>
    <t>Terminal macho fixo em latão zincado de 1´</t>
  </si>
  <si>
    <t>Terminal macho fixo em latão zincado de 1 1/2´</t>
  </si>
  <si>
    <t>Terminal macho fixo em latão zincado de 2´</t>
  </si>
  <si>
    <t>Terminal macho giratório em latão zincado de 3/4´</t>
  </si>
  <si>
    <t>Terminal macho giratório em latão zincado de 1´</t>
  </si>
  <si>
    <t>Terminal macho giratório em latão zincado de 1 1/2´</t>
  </si>
  <si>
    <t>Terminal macho giratório em latão zincado de 2´</t>
  </si>
  <si>
    <t>Rodapé técnico e acessórios</t>
  </si>
  <si>
    <t>Rodapé técnico triplo, e tampa com pintura eletrostática</t>
  </si>
  <si>
    <t>Curva horizontal tripla de 90°, interna ou externa, e tampa com pintura eletrostática</t>
  </si>
  <si>
    <t>Tê triplo de 90°, horizontal ou vertical, e tampa com pintura eletrostática</t>
  </si>
  <si>
    <t>Caixa para tomadas: de energia, RJ, sobressalente, interruptor ou espelho, com pintura eletrostática, para rodapé técnico triplo</t>
  </si>
  <si>
    <t>Caixa de derivação embutida ou externa com pintura eletrostática, para rodapé técnico triplo</t>
  </si>
  <si>
    <t>Caixa para tomadas: energia, RJ, sobressalente, interruptor ou espelho, com pintura eletrostática, para rodapé técnico duplo</t>
  </si>
  <si>
    <t>Terminal de fechamento ou mata junta com pintura eletrostática, para rodapé técnico triplo</t>
  </si>
  <si>
    <t>Rodapé técnico duplo, e tampa com pintura eletrostática</t>
  </si>
  <si>
    <t>Curva vertical dupla de 90°, interna ou externa, e tampa com pintura eletrostática</t>
  </si>
  <si>
    <t>Terminal de fechamento ou mata junta com pintura eletrostática, para rodapé técnico duplo</t>
  </si>
  <si>
    <t>Curva horizontal dupla de 90°, interna ou externa, e tampa com pintura eletrostática</t>
  </si>
  <si>
    <t>Curva vertical tripla de 90°, interna ou externa, e tampa com pintura eletrostática</t>
  </si>
  <si>
    <t>Poste condutor métálico para distrubuição, com suporte para tomadas elétricas e RJ, com pintura eletrostática, altura de 3,00 m</t>
  </si>
  <si>
    <t>Tê duplo de 90°, horizontal ou vertical, e tampa com pintura eletrostática</t>
  </si>
  <si>
    <t>Caixa de derivação embutida ou externa para rodapé técnico duplo</t>
  </si>
  <si>
    <t>Eletroduto em PVC corrugado flexível</t>
  </si>
  <si>
    <t>Eletroduto de PVC corrugado flexível leve, diâmetro externo de 16 mm</t>
  </si>
  <si>
    <t>Eletroduto de PVC corrugado flexível leve, diâmetro externo de 20 mm</t>
  </si>
  <si>
    <t>Eletroduto de PVC corrugado flexível leve, diâmetro externo de 25 mm</t>
  </si>
  <si>
    <t>Eletroduto de PVC corrugado flexível leve, diâmetro externo de 32 mm</t>
  </si>
  <si>
    <t>Eletroduto de PVC corrugado flexível reforçado, diâmetro externo de 20 mm</t>
  </si>
  <si>
    <t>Eletroduto de PVC corrugado flexível reforçado, diâmetro externo de 25 mm</t>
  </si>
  <si>
    <t>Eletroduto de PVC corrugado flexível reforçado, diâmetro externo de 32 mm</t>
  </si>
  <si>
    <t>Eletrocalha e acessórios</t>
  </si>
  <si>
    <t>Eletrocalha lisa galvanizada a fogo, 50 x 50 mm, com acessórios</t>
  </si>
  <si>
    <t>Eletrocalha lisa galvanizada a fogo, 100 x 50 mm, com acessórios</t>
  </si>
  <si>
    <t>Eletrocalha lisa galvanizada a fogo, 150 x 50 mm, com acessórios</t>
  </si>
  <si>
    <t>Eletrocalha lisa galvanizada a fogo, 200 x 50 mm, com acessórios</t>
  </si>
  <si>
    <t>Eletrocalha lisa galvanizada a fogo, 250 x 50 mm, com acessórios</t>
  </si>
  <si>
    <t>Eletrocalha lisa galvanizada a fogo, 100 x 100 mm, com acessórios</t>
  </si>
  <si>
    <t>Eletrocalha lisa galvanizada a fogo, 150 x 100 mm, com acessórios</t>
  </si>
  <si>
    <t>Eletrocalha lisa galvanizada a fogo, 200 x 100 mm, com acessórios</t>
  </si>
  <si>
    <t>Eletrocalha lisa galvanizada a fogo, 250 x 100 mm, com acessórios</t>
  </si>
  <si>
    <t>Eletrocalha lisa galvanizada a fogo, 300 x 100 mm, com acessórios</t>
  </si>
  <si>
    <t>Eletrocalha lisa galvanizada a fogo, 400 x 100 mm, com acessórios</t>
  </si>
  <si>
    <t>Eletrocalha lisa galvanizada a fogo, 500 x 100 mm, com acessórios</t>
  </si>
  <si>
    <t>Eletrocalha perfurada galvanizada a fogo, 100 x 50 mm, com acessórios</t>
  </si>
  <si>
    <t>Eletrocalha perfurada galvanizada a fogo, 150 x 50 mm, com acessórios</t>
  </si>
  <si>
    <t>Eletrocalha perfurada galvanizada a fogo, 200 x 50 mm, com acessórios</t>
  </si>
  <si>
    <t>Eletrocalha perfurada galvanizada a fogo, 250 x 50 mm, com acessórios</t>
  </si>
  <si>
    <t>Eletrocalha perfurada galvanizada a fogo, 150x100mm, com acessórios</t>
  </si>
  <si>
    <t>Eletrocalha perfurada galvanizada a fogo, 200x100mm, com acessórios</t>
  </si>
  <si>
    <t>Eletrocalha perfurada galvanizada a fogo, 250x100mm, com acessórios</t>
  </si>
  <si>
    <t>Eletrocalha perfurada galvanizada a fogo, 300x100mm, com acessórios</t>
  </si>
  <si>
    <t>Eletrocalha perfurada galvanizada a fogo, 400x100mm, com acessórios</t>
  </si>
  <si>
    <t>Eletrocalha perfurada galvanizada a fogo, 500x100mm, com acessórios</t>
  </si>
  <si>
    <t>Eletrocalha perfurada galvanizada a fogo, 700x100mm, com acessórios</t>
  </si>
  <si>
    <t>Tampa de encaixe para eletrocalha, galvanizada a fogo, L= 50mm</t>
  </si>
  <si>
    <t>Tampa de encaixe para eletrocalha, galvanizada a fogo, L= 100mm</t>
  </si>
  <si>
    <t>Tampa de encaixe para eletrocalha, galvanizada a fogo, L= 150mm</t>
  </si>
  <si>
    <t>Tampa de encaixe para eletrocalha, galvanizada a fogo, L= 200mm</t>
  </si>
  <si>
    <t>Tampa de encaixe para eletrocalha, galvanizada a fogo, L= 250mm</t>
  </si>
  <si>
    <t>Tampa de encaixe para eletrocalha, galvanizada a fogo, L= 300mm</t>
  </si>
  <si>
    <t>Tampa de encaixe para eletrocalha, galvanizada a fogo, L= 400mm</t>
  </si>
  <si>
    <t>Tampa de encaixe para eletrocalha, galvanizada a fogo, L= 500mm</t>
  </si>
  <si>
    <t>Tampa de encaixe para eletrocalha, galvanizada a fogo, L= 700mm</t>
  </si>
  <si>
    <t>Suporte para eletrocalha, galvanizado a fogo, 50x50mm</t>
  </si>
  <si>
    <t>Suporte para eletrocalha, galvanizado a fogo, 100x50mm</t>
  </si>
  <si>
    <t>Suporte para eletrocalha, galvanizado a fogo, 150x50mm</t>
  </si>
  <si>
    <t>Suporte para eletrocalha, galvanizado a fogo, 200x50mm</t>
  </si>
  <si>
    <t>Suporte para eletrocalha, galvanizado a fogo, 250x50mm</t>
  </si>
  <si>
    <t>Suporte para eletrocalha, galvanizado a fogo, 300x50mm</t>
  </si>
  <si>
    <t>Suporte para eletrocalha, galvanizado a fogo, 100x100mm</t>
  </si>
  <si>
    <t>Suporte para eletrocalha, galvanizado a fogo, 150x100mm</t>
  </si>
  <si>
    <t>Suporte para eletrocalha, galvanizado a fogo, 200x100mm</t>
  </si>
  <si>
    <t>Suporte para eletrocalha, galvanizado a fogo, 250x100mm</t>
  </si>
  <si>
    <t>Suporte para eletrocalha, galvanizado a fogo, 300x100mm</t>
  </si>
  <si>
    <t>Suporte para eletrocalha, galvanizado a fogo, 400x100mm</t>
  </si>
  <si>
    <t>Suporte para eletrocalha, galvanizado a fogo, 500x100mm</t>
  </si>
  <si>
    <t>Suporte para eletrocalha, galvanizado a fogo, 700x100mm</t>
  </si>
  <si>
    <t>Mão francesa simples, galvanizada a fogo, L= 200mm</t>
  </si>
  <si>
    <t>Mão francesa simples, galvanizada a fogo, L= 300mm</t>
  </si>
  <si>
    <t>Mão francesa simples, galvanizada a fogo, L= 400mm</t>
  </si>
  <si>
    <t>Mão francesa simples, galvanizada a fogo, L= 500mm</t>
  </si>
  <si>
    <t>Mão francesa dupla, galvanizada a fogo, L= 300mm</t>
  </si>
  <si>
    <t>Mão francesa dupla, galvanizada a fogo, L= 400mm</t>
  </si>
  <si>
    <t>Mão francesa dupla, galvanizada a fogo, L= 500mm</t>
  </si>
  <si>
    <t>Mão francesa dupla, galvanizada a fogo, L= 700mm</t>
  </si>
  <si>
    <t>Mão francesa reforçada, galvanizada a fogo, L= 900mm</t>
  </si>
  <si>
    <t>Condutor e enfiação de energia elétrica e telefonia</t>
  </si>
  <si>
    <t>Cabo de cobre, isolamento 500V / 750 V - isolação em PVC 70°C</t>
  </si>
  <si>
    <t>Cabo de cobre de 1,5 mm², isolamento 750 V - isolação em PVC 70°C</t>
  </si>
  <si>
    <t>Cabo de cobre de 6 mm², isolamento 750 V - isolação em PVC 70°C</t>
  </si>
  <si>
    <t>Cabo de cobre de 10 mm², isolamento 750 V - isolação em PVC 70°C</t>
  </si>
  <si>
    <t>Cabo de cobre de 16 mm², isolamento 750 V - isolação em PVC 70°C</t>
  </si>
  <si>
    <t>Cabo de cobre de 25 mm², isolamento 750 V - isolação em PVC 70°C</t>
  </si>
  <si>
    <t>Cabo de cobre de 35 mm², isolamento 750 V - isolação em PVC 70°C</t>
  </si>
  <si>
    <t>Cabo de cobre de 50 mm², isolamento 750 V - isolação em PVC 70°C</t>
  </si>
  <si>
    <t>Cabo de cobre de 70 mm², isolamento 750 V - isolação em PVC 70°C</t>
  </si>
  <si>
    <t>Cabo de cobre de 95 mm², isolamento 750 V - isolação em PVC 70°C</t>
  </si>
  <si>
    <t>Cabo de cobre de 120 mm², isolamento 750 V - isolação em PVC 70°C</t>
  </si>
  <si>
    <t>Cabo de cobre de 150 mm², isolamento 750 V - isolação em PVC 70°C</t>
  </si>
  <si>
    <t>Cabo de cobre de 185 mm², isolamento 750 V - isolação em PVC 70°C</t>
  </si>
  <si>
    <t>Cabo de cobre de 240 mm², isolamento 750 V - isolação em PVC 70°C</t>
  </si>
  <si>
    <t>Cabo de cobre de 300 mm², isolamento 750 V - isolação em PVC 70°C</t>
  </si>
  <si>
    <t>Cabo de cobre de 2,5 mm², isolamento 750 V - isolação em PVC 70°C</t>
  </si>
  <si>
    <t>Cabo de cobre de 4 mm², isolamento 750 V - isolação em PVC 70°C</t>
  </si>
  <si>
    <t>Cabo de cobre, isolamento 0,6/1kV, isolação em PVC 70°C</t>
  </si>
  <si>
    <t>Cabo de cobre de 4 mm², isolamento 0,6/1 kV - isolação em PVC 70°C</t>
  </si>
  <si>
    <t>Cabo de cobre de 6 mm², isolamento 0,6/1 kV - isolação em PVC 70°C</t>
  </si>
  <si>
    <t>Cabo de cobre de 10 mm², isolamento 0,6/1 kV - isolação em PVC 70°C</t>
  </si>
  <si>
    <t>Cabo de cobre de 16 mm², isolamento 0,6/1 kV - isolação em PVC 70°C</t>
  </si>
  <si>
    <t>Cabo de cobre de 25 mm², isolamento 0,6/1 kV - isolação em PVC 70°C</t>
  </si>
  <si>
    <t>Cabo de cobre de 35 mm², isolamento 0,6/1 kV - isolação em PVC 70°C</t>
  </si>
  <si>
    <t>Cabo de cobre de 50 mm², isolamento 0,6/1 kV - isolação em PVC 70°C</t>
  </si>
  <si>
    <t>Cabo de cobre de 70 mm², isolamento 0,6/1 kV - isolação em PVC 70°C</t>
  </si>
  <si>
    <t>Cabo de cobre de 95 mm², isolamento 0,6/1 kV - isolação em PVC 70°C</t>
  </si>
  <si>
    <t>Cabo de cobre de 120 mm², isolamento 0,6/1 kV - isolação em PVC 70°C</t>
  </si>
  <si>
    <t>Cabo de cobre de 150 mm², isolamento 0,6/1 kV - isolação em PVC 70°C</t>
  </si>
  <si>
    <t>Cabo de cobre de 185 mm², isolamento 0,6/1 kV - isolação em PVC 70°C</t>
  </si>
  <si>
    <t>Cabo de cobre de 240 mm², isolamento 0,6/1 kV - isolação em PVC 70°C</t>
  </si>
  <si>
    <t>Cabo de cobre de 300 mm², isolamento 0,6/1 kV - isolação em PVC 70°C</t>
  </si>
  <si>
    <t>Cabo de cobre de 1,5 mm², isolamento 0,6/1 kV - isolação em PVC 70°C</t>
  </si>
  <si>
    <t>Cabo de cobre de 2,5 mm², isolamento 0,6/1 kV - isolação em PVC 70°C</t>
  </si>
  <si>
    <t>Cabo de cobre de 400 mm², isolamento 0,6/1 kV - isolação em PVC 70°C</t>
  </si>
  <si>
    <t>Cabo de cobre de 500 mm², isolamento 0,6/1 kV - isolação em PVC 70°C</t>
  </si>
  <si>
    <t>Cabo de cobre nu, têmpera mole</t>
  </si>
  <si>
    <t>Cabo de cobre nu, têmpera mole, classe 2, de 10 mm²</t>
  </si>
  <si>
    <t>Cabo de cobre nu, têmpera mole, classe 2, de 16 mm²</t>
  </si>
  <si>
    <t>Cabo de cobre nu, têmpera mole, classe 2, de 25 mm²</t>
  </si>
  <si>
    <t>Cabo de cobre nu, têmpera mole, classe 2, de 35 mm²</t>
  </si>
  <si>
    <t>Cabo de cobre nu, têmpera mole, classe 2, de 50 mm²</t>
  </si>
  <si>
    <t>Cabo de cobre nu, têmpera mole, classe 2, de 70 mm²</t>
  </si>
  <si>
    <t>Cabo de cobre nu, têmpera mole, classe 2, de 95 mm²</t>
  </si>
  <si>
    <t>Cabo de cobre nu, têmpera mole, classe 2, de 120 mm²</t>
  </si>
  <si>
    <t>Cabo de cobre nu, têmpera mole, classe 2, de 150 mm²</t>
  </si>
  <si>
    <t>Cabo de cobre nu, têmpera mole, classe 2, de 185 mm²</t>
  </si>
  <si>
    <t>Cabo de cobre nu, têmpera mole, classe 2, de 240 mm²</t>
  </si>
  <si>
    <t>Cabo de cobre tripolar tensão de isolamento 8,7/15 kV, isolação 90°C</t>
  </si>
  <si>
    <t>Cabo de cobre de 3x25 mm², tensão de isolamento 8,7/15 kV - isolação EPR 90°C</t>
  </si>
  <si>
    <t>Cabo de cobre de 3x35 mm², tensão de isolamento 8,7/15 kV - isolação EPR 90°C</t>
  </si>
  <si>
    <t>Cabo de cobre unipolar, isolamento 8,7/15 kV, isolação EPR 90°C</t>
  </si>
  <si>
    <t>Cabo de cobre de 50 mm², tensão de isolamento 8,7/15 kV - isolação EPR 90°C</t>
  </si>
  <si>
    <t>Cabo de cobre de 70 mm², tensão de isolamento 8,7/15 kV - isolação EPR 90°C</t>
  </si>
  <si>
    <t>Cabo de cobre de 120 mm², tensão de isolamento 8,7/15 kV - isolação EPR 90°C</t>
  </si>
  <si>
    <t>Cabo de cobre de 185 mm², tensão de isolamento 8,7/15 kV - isolação EPR 90°C</t>
  </si>
  <si>
    <t>Cabo de cobre de 25 mm², tensão de isolamento 8,7/15 kV - isolação EPR 90°C</t>
  </si>
  <si>
    <t>Cabo de cobre de 35 mm², tensão de isolamento 8,7/15 kV - isolação EPR 90°C</t>
  </si>
  <si>
    <t>Cabo de cobre de 95 mm², tensão de isolamento 8,7/15 kV - isolação EPR 90°C</t>
  </si>
  <si>
    <t>Cabo de cobre, isolamento 0,6/1 kV, isolação em EPR 90°C</t>
  </si>
  <si>
    <t>Cabo de cobre de 2,5 mm², isolamento 0,6/1 kV - isolação EPR 90°C</t>
  </si>
  <si>
    <t>Cabo de cobre de 4 mm², isolamento 0,6/1 kV - isolação EPR 90°C</t>
  </si>
  <si>
    <t>Cabo de cobre de 6 mm², isolamento 0,6/1 kV - isolação EPR 90°C</t>
  </si>
  <si>
    <t>Cabo de cobre de 10 mm², isolamento 0,6/1 kV - isolação EPR 90°C</t>
  </si>
  <si>
    <t>Cabo de cobre de 16 mm², isolamento 0,6/1 kV - isolação EPR 90°C</t>
  </si>
  <si>
    <t>Cabo de cobre de 25 mm², isolamento 0,6/1 kV - isolação EPR 90°C</t>
  </si>
  <si>
    <t>Cabo de cobre de 35 mm², isolamento 0,6/1 kV - isolação EPR 90°C</t>
  </si>
  <si>
    <t>Cabo de cobre de 50 mm², isolamento 0,6/1 kV - isolação EPR 90°C</t>
  </si>
  <si>
    <t>Cabo de cobre de 70 mm², isolamento 0,6/1 kV - isolação EPR 90°C</t>
  </si>
  <si>
    <t>Cabo de cobre de 95 mm², isolamento 0,6/1 kV - isolação EPR 90°C</t>
  </si>
  <si>
    <t>Cabo de cobre de 120 mm², isolamento 0,6/1 kV - isolação EPR 90°C</t>
  </si>
  <si>
    <t>Cabo de cobre de 150 mm², isolamento 0,6/1 kV - isolação EPR 90°C</t>
  </si>
  <si>
    <t>Cabo de cobre de 185 mm², isolamento 0,6/1 kV - isolação EPR 90°C</t>
  </si>
  <si>
    <t>Cabo de cobre de 240 mm², isolamento 0,6/1 kV - isolação EPR 90°C</t>
  </si>
  <si>
    <t>Cabo de cobre de 300 mm², isolamento 0,6/1 kV - isolação EPR 90°C</t>
  </si>
  <si>
    <t>Cabo de cobre de 400 mm², isolamento 0,6/1 kV - isolação EPR 90°C</t>
  </si>
  <si>
    <t>Cabo de cobre de 500 mm², isolamento 0,6/1 kV - isolação EPR 90°C</t>
  </si>
  <si>
    <t>Cabo de cobre tripolar, isolamento 0,6/1kV, isolação para 90°C</t>
  </si>
  <si>
    <t>Cabo de cobre de 3x1,5 mm², isolamento 0,6/1 kV - isolação EPR 90°C</t>
  </si>
  <si>
    <t>Cabo de cobre de 3x2,5 mm², isolamento 0,6/1 kV - isolação EPR 90°C</t>
  </si>
  <si>
    <t>Cabo de cobre de 3x4 mm², isolamento 0,6/1 kV - isolação EPR 90°C</t>
  </si>
  <si>
    <t>Cabo de cobre de 3x6 mm², isolamento 0,6/1 kV - isolação EPR 90°C</t>
  </si>
  <si>
    <t>Cabo de cobre de 3x10 mm², isolamento 0,6/1 kV - isolação EPR 90°C</t>
  </si>
  <si>
    <t>Cabo de cobre de 3x16 mm², isolamento 0,6/1 kV - isolação EPR 90°C</t>
  </si>
  <si>
    <t>Cabo de cobre de 3x25 mm², isolamento 0,6/1 kV - isolação EPR 90°C</t>
  </si>
  <si>
    <t>Cabo de cobre de 3x35 mm², isolamento 0,6/1 kV - isolação EPR 90°C</t>
  </si>
  <si>
    <t>Conectores</t>
  </si>
  <si>
    <t>Conector terminal tipo BNC para cabo coaxial tipo RG 59</t>
  </si>
  <si>
    <t>Conector split-bolt para cabo de 25 mm², latão, simples</t>
  </si>
  <si>
    <t>Conector de emenda tipo BNC, para cabo coaxial RG 59</t>
  </si>
  <si>
    <t>Conector split-bolt para cabo de 35 mm², latão, simples</t>
  </si>
  <si>
    <t>Conector split-bolt para cabo de 50 mm², latão, simples</t>
  </si>
  <si>
    <t>Conector split-bolt para cabo de 70 mm², latão, simples</t>
  </si>
  <si>
    <t>Conector split-bolt para cabo de 25 mm², latão, com rabicho</t>
  </si>
  <si>
    <t>Conector split-bolt para cabo de 35 mm², latão, com rabicho</t>
  </si>
  <si>
    <t>Conector split-bolt para cabo de 50 mm², latão, com rabicho</t>
  </si>
  <si>
    <t>Conector split-bolt para cabo de 70 mm², latão, com rabicho</t>
  </si>
  <si>
    <t>Conector de passagem com sistema de conexão por parafuso, para cabos de 10 até 35 mm², inclusive sistema de fixação</t>
  </si>
  <si>
    <t>Terminais de pressão e compressão</t>
  </si>
  <si>
    <t>Terminal de pressão/compressão para cabo de 300 mm²</t>
  </si>
  <si>
    <t>Terminal de compressão para cabo de 2,5 mm²</t>
  </si>
  <si>
    <t>Terminal de pressão/compressão para cabo de 6 até 10 mm²</t>
  </si>
  <si>
    <t>Terminal de pressão/compressão para cabo de 16 mm²</t>
  </si>
  <si>
    <t>Terminal de pressão/compressão para cabo de 25 mm²</t>
  </si>
  <si>
    <t>Terminal de pressão/compressão para cabo de 35 mm²</t>
  </si>
  <si>
    <t>Terminal de pressão/compressão para cabo de 50 mm²</t>
  </si>
  <si>
    <t>Terminal de pressão/compressão para cabo de 70 mm²</t>
  </si>
  <si>
    <t>Terminal de pressão/compressão para cabo de 95 mm²</t>
  </si>
  <si>
    <t>Terminal de pressão/compressão para cabo de 150 mm²</t>
  </si>
  <si>
    <t>Terminal de pressão/compressão para cabo de 120 mm²</t>
  </si>
  <si>
    <t>Terminal de pressão/compressão para cabo de 185 mm²</t>
  </si>
  <si>
    <t>Terminal de pressão/compressão para cabo de 240 mm²</t>
  </si>
  <si>
    <t>Fios e cabos telefônicos</t>
  </si>
  <si>
    <t>Cabo telefônico CI, com 10 pares de 0,50 mm, para centrais telefônicas, equipamentos e rede interna</t>
  </si>
  <si>
    <t>Cabo telefônico CI, com 20 pares de 0,50 mm, para centrais telefônicas, equipamentos e rede interna</t>
  </si>
  <si>
    <t>Cabo telefônico CI, com 50 pares de 0,50 mm, para centrais telefônicas, equipamentos e rede interna</t>
  </si>
  <si>
    <t>Fio telefônico tipo FI-60, para ligação de aparelhos telefônicos</t>
  </si>
  <si>
    <t>Fio telefônico externo tipo FE-160</t>
  </si>
  <si>
    <t>Cabo telefônico CTP-APL-SN, com 10 pares de 0,50 mm, para cotos de transição em caixas e entradas</t>
  </si>
  <si>
    <t>Cabo telefônico CCE-APL, com 4 pares de 0,50 mm, para conexões em rede externa</t>
  </si>
  <si>
    <t>Cabo telefônico secundário de distribuição CTP-APL, com 10 pares de 0,50 mm, para rede externa</t>
  </si>
  <si>
    <t>Cabo telefônico secundário de distribuição CTP-APL, com 20 pares de 0,50 mm, para rede externa</t>
  </si>
  <si>
    <t>Cabo telefônico secundário de distribuição CTP-APL, com 50 pares de 0,50 mm, para rede externa</t>
  </si>
  <si>
    <t>Cabo telefônico secundário de distribuição CTP-APL, com 100 pares de 0,50 mm, para rede externa</t>
  </si>
  <si>
    <t>Cabo telefônico secundário de distribuição CTP-APL-G, com 10 pares de 0,50 mm, para rede subterrânea</t>
  </si>
  <si>
    <t>Cabo telefônico secundário de distribuição CTP-APL-G, com 20 pares de 0,50 mm, para rede subterrânea</t>
  </si>
  <si>
    <t>Cabo telefônico secundário de distribuição CTP-APL-G, com 50 pares de 0,50 mm, para rede subterrânea</t>
  </si>
  <si>
    <t>Cabo telefônico secundário de distribuição CTP-APL, com 10 pares de 0,65 mm, para rede externa</t>
  </si>
  <si>
    <t>Cabo telefônico secundário de distribuição CTP-APL, com 20 pares de 0,65 mm, para rede externa</t>
  </si>
  <si>
    <t>Cabo telefônico secundário de distribuição CTP-APL, com 50 pares de 0,65 mm, para rede externa</t>
  </si>
  <si>
    <t>Cabo de cobre de comando para uso geral</t>
  </si>
  <si>
    <t>Cabo de cobre flexível ´PP´ 3x1,5 mm², isolamento 750 V - isolação em PVC 70°C</t>
  </si>
  <si>
    <t>Cabo de cobre flexível ´PP´ 3x2,5 mm², isolamento 750 V - isolação em PVC 70°C</t>
  </si>
  <si>
    <t>Cabo de cobre flexível ´PP´ 3x4 mm², isolamento 750 V - isolação em PVC 70°C</t>
  </si>
  <si>
    <t>Cabo de cobre flexível ´PP´ 3x6 mm², isolamento 750 V - isolação em PVC 70°C</t>
  </si>
  <si>
    <t>Cabo de cobre flexível ´PP´ 3x10 mm², isolamento 750 V - isolação em PVC 70°C</t>
  </si>
  <si>
    <t>Cabo de cobre flexível ´PP´ 2x1,5 mm², isolamento 750 V - isolação em PVC 70°C</t>
  </si>
  <si>
    <t>Cabo de cobre flexível ´PP´ 2x2,5 mm², isolamento 750 V - isolação em PVC 70°C</t>
  </si>
  <si>
    <t>Cabo de cobre flexível ´PP´ 4x6 mm², isolamento 750 V - isolação em PVC 70°C</t>
  </si>
  <si>
    <t>Cabo de cobre flexível ´PP´ 4x10 mm², isolamento 750 V - isolação em PVC 70°C</t>
  </si>
  <si>
    <t>Cabo de cobre flexível blindado de 2 x 1,5 mm², tensão de isolação 600V, isolação termoplástico em VC/E 105°C - classe 4, para detecção de incêndio</t>
  </si>
  <si>
    <t>Cabo de cobre flexível blindado de 3 x 1,5 mm², tensão de isolação 600V, isolação termoplástico em VC/E 105°C - classe 4, para detecção de incêndio</t>
  </si>
  <si>
    <t>Cabo de cobre flexível blindado de 2 x 2,5 mm², tensão de isolação 600V, isolação termoplástico em VC/E 105°C - classe 4, para detecção de incêndio</t>
  </si>
  <si>
    <t>Cabo de alumínio nu com alma de aço</t>
  </si>
  <si>
    <t>Cabo de alumínio nu com alma de aço CAA, 1/0 AWG - Raven</t>
  </si>
  <si>
    <t>Cabo de alumínio nu com alma de aço CAA, 4 AWG - Swan</t>
  </si>
  <si>
    <t>Cabo de alumínio nu sem alma de aço</t>
  </si>
  <si>
    <t>Cabo de alumínio nu sem alma de aço CA, 2 AWG - Iris</t>
  </si>
  <si>
    <t>Cabo de alumínio nu sem alma de aço CA, 2/0 AWG - Aster</t>
  </si>
  <si>
    <t>Cabo de cobre tripolar, isolamento 750V, isolação em borracha de silicone 200°C</t>
  </si>
  <si>
    <t>Cabo de cobre 3x2,5 mm², isolamento 750 V - isolação em borracha de silicone 200°C</t>
  </si>
  <si>
    <t>Cabo para transmissão de dados</t>
  </si>
  <si>
    <t>Cabo coaxial tipo RG 59</t>
  </si>
  <si>
    <t>Cabo coaxial tipo RGC 59</t>
  </si>
  <si>
    <t>Cabo para rede 24 AWG com 4 pares, categoria 6</t>
  </si>
  <si>
    <t>Cabo coaxial tipo RG 11</t>
  </si>
  <si>
    <t>Cabo coaxial tipo RG 6</t>
  </si>
  <si>
    <t>Cabo coaxial tipo RGC 06</t>
  </si>
  <si>
    <t>Cabo para rede U/UTP 23 AWG com 4 pares - categoria 6A</t>
  </si>
  <si>
    <t>Recolocação de condutor aparente com diâmetro externo até 6,5 mm</t>
  </si>
  <si>
    <t>Conector prensa-cabo de 3/4´</t>
  </si>
  <si>
    <t>Recolocação de condutor aparente com diâmetro externo acima de 6,5 mm</t>
  </si>
  <si>
    <t>Cabo de cobre unipolar, isolamento 15/25 kV, isolação 90 °C / 105 °C</t>
  </si>
  <si>
    <t>Cabo de cobre de 35 mm², tensão de isolamento 15/25 kV - isolação EPR 105</t>
  </si>
  <si>
    <t>Cabo de cobre de 50 mm², tensão de isolamento 15/25 kV - isolação EPR 105</t>
  </si>
  <si>
    <t>Cabo de cobre flexível, isolamento 0,6/1kV - 90° C, baixa emissão fumaça e gases</t>
  </si>
  <si>
    <t>Cabo de cobre flexível de 1,5 mm², isolamento 0,6/1 kV - 90°C - baixa emissão de fumaça e gases</t>
  </si>
  <si>
    <t>Cabo de cobre flexível de 2,5 mm², isolamento 0,6/1 kV - 90°C - baixa emissão de fumaça e gases</t>
  </si>
  <si>
    <t>Cabo de cobre flexível de 4 mm², isolamento 0,6/1 kV - 90°C - baixa emissão de fumaça e gases</t>
  </si>
  <si>
    <t>Cabo de cobre flexível de 6 mm², isolamento 0,6/1 kV - 90°C - baixa emissão de fumaça e gases</t>
  </si>
  <si>
    <t>Cabo de cobre flexível de 10 mm², isolamento 0,6/1 kV - 90°C - baixa emissão de fumaça e gases</t>
  </si>
  <si>
    <t>Cabo de cobre flexível de 16 mm², isolamento 0,6/1 kV - 90°C - baixa emissão de fumaça e gases</t>
  </si>
  <si>
    <t>Cabo de cobre flexível de 25 mm², isolamento 0,6/1 kV - 90°C - baixa emissão de fumaça e gases</t>
  </si>
  <si>
    <t>Cabo de cobre flexível de 35 mm², isolamento 0,6/1 kV - 90°C - baixa emissão de fumaça e gases</t>
  </si>
  <si>
    <t>Cabo de cobre flexível de 50 mm², isolamento 0,6/1 kV - 90°C - baixa emissão de fumaça e gases</t>
  </si>
  <si>
    <t>Cabo de cobre flexível de 70 mm², isolamento 0,6/1 kV - 90°C - baixa emissão de fumaça e gases</t>
  </si>
  <si>
    <t>Cabo de cobre flexível de 95 mm², isolamento 0,6/1 kV - 90°C - baixa emissão de fumaça e gases</t>
  </si>
  <si>
    <t>Cabo de cobre flexível de 120 mm², isolamento 0,6/1 kV - 90°C - baixa emissão de fumaça e gases</t>
  </si>
  <si>
    <t>Cabo de cobre flexível de 150 mm², isolamento 0,6/1 kV - 90°C - baixa emissão de fumaça e gases</t>
  </si>
  <si>
    <t>Cabo de cobre flexível de 185 mm², isolamento 0,6/1 kV - 90°C - baixa emissão de fumaça e gases</t>
  </si>
  <si>
    <t>Cabo de cobre flexível de 240 mm², isolamento 0,6/1 kV - 90°C - baixa emissão de fumaça e gases</t>
  </si>
  <si>
    <t>Cabo óptico</t>
  </si>
  <si>
    <t>Cabo óptico de terminação, 2 fibras, 50/125 µm - uso interno/externo</t>
  </si>
  <si>
    <t>Cabo óptico multimodo, 4 fibras, 50/125 µm - uso interno/externo</t>
  </si>
  <si>
    <t>Cabo óptico multimodo, 6 fibras, 50/125 µm - uso interno/externo</t>
  </si>
  <si>
    <t>Cabo óptico multimodo, núcleo geleado, 4 fibras, 50/125 µm - uso externo</t>
  </si>
  <si>
    <t>Cabo óptico multimodo, núcleo geleado, 6 fibras, 50/125 µm - uso externo</t>
  </si>
  <si>
    <t>Cabo de cobre unipolar, isolamento 750 V - 70°C, baixa emissão de fumaça e gases</t>
  </si>
  <si>
    <t>Cabo de cobre flexível de 1,5 mm², isolamento 750 V - 70° C - baixa emissão de fumaça e gases</t>
  </si>
  <si>
    <t>Cabo de cobre flexível de 2,5 mm², isolamento 750 V - 70° C - baixa emissão de fumaça e gases</t>
  </si>
  <si>
    <t>Cabo de cobre flexível de 4 mm², isolamento 750 V - 70° C - baixa emissão de fumaça e gases</t>
  </si>
  <si>
    <t>Cabo de cobre flexível de 6 mm², isolamento 750 V - 70° C - baixa emissão de fumaça e gases</t>
  </si>
  <si>
    <t>Cabo de cobre flexível de 10 mm², isolamento 750 V - 70° C - baixa emissão de fumaça e gases</t>
  </si>
  <si>
    <t>Fios e cabos - audio e vídeo</t>
  </si>
  <si>
    <t>Cabo torcido flexível de 2 x 2,5 mm², isolação em PVC antichama</t>
  </si>
  <si>
    <t>Distribuição de força e comando de energia elétrica e telefonia</t>
  </si>
  <si>
    <t>Caixa de passagem estampada</t>
  </si>
  <si>
    <t>Caixa de ferro estampada 4´ x 2´</t>
  </si>
  <si>
    <t>Caixa de ferro estampada 4´ x 4´</t>
  </si>
  <si>
    <t>Caixa de ferro estampada octogonal fundo móvel 4´ x 4´</t>
  </si>
  <si>
    <t>Caixa de ferro estampada octogonal de 3´ x 3´</t>
  </si>
  <si>
    <t>Caixa de passagem com tampa</t>
  </si>
  <si>
    <t>Caixa de tomada em alumínio para piso 4´ x 4´</t>
  </si>
  <si>
    <t>Caixa de passagem em chapa, com tampa parafusada, 100 x 100 x 80 mm</t>
  </si>
  <si>
    <t>Caixa de passagem em chapa, com tampa parafusada, 150 x 150 x 80 mm</t>
  </si>
  <si>
    <t>Caixa de passagem em chapa, com tampa parafusada, 200 x 200 x 100 mm</t>
  </si>
  <si>
    <t>Caixa de passagem em chapa, com tampa parafusada, 300 x 300 x 120 mm</t>
  </si>
  <si>
    <t>Caixa de passagem em chapa, com tampa parafusada, 400 x 400 x 150 mm</t>
  </si>
  <si>
    <t>Caixa de passagem em chapa, com tampa parafusada, 500 x 500 x 150 mm</t>
  </si>
  <si>
    <t>Caixa de passagem em poliamida, 234 x 174 x 90 mm</t>
  </si>
  <si>
    <t>Caixa de passagem em poliamida, 460 x 380 x 120 mm</t>
  </si>
  <si>
    <t>Caixa em alumínio fundido à prova de tempo, umidade, gases, vapores e pó, 150 x 150 x 150 mm</t>
  </si>
  <si>
    <t>Caixa em alumínio fundido à prova de tempo, umidade, gases, vapores e pó, 200 x 200 x 200 mm</t>
  </si>
  <si>
    <t>Caixa em alumínio fundido à prova de tempo, umidade, gases, vapores e pó, 240 x 240 x 150 mm</t>
  </si>
  <si>
    <t>Caixa em alumínio fundido à prova de tempo, umidade, gases, vapores e pó, 445 x 350 x 220 mm</t>
  </si>
  <si>
    <t>Caixa de passagem em alumínio fundido à prova de tempo, 100 x 100 mm</t>
  </si>
  <si>
    <t>Caixa de passagem em alumínio fundido à prova de tempo, 200 x 200 mm</t>
  </si>
  <si>
    <t>Caixa de passagem em alumínio fundido à prova de tempo, 300 x 300 mm</t>
  </si>
  <si>
    <t>Tomadas</t>
  </si>
  <si>
    <t>Tomada para telefone 4P - padrão TELEBRÁS, com placa</t>
  </si>
  <si>
    <t>Tomada RJ 11 para telefone, sem placa</t>
  </si>
  <si>
    <t>Tomada 3P+T de 63 A, blindada industrial de embutir</t>
  </si>
  <si>
    <t>Tomada 3P+T de 32 A, blindada industrial de sobrepor negativa</t>
  </si>
  <si>
    <t>Tomada de canaleta/perfilado universal 2P+T, com caixa e tampa</t>
  </si>
  <si>
    <t>Plugue e tomada 3P+T de 125 A de sobrepor - 380 / 440 V</t>
  </si>
  <si>
    <t>Plugue e tomada 2P+T de 32 A de sobrepor - 380 / 440 V</t>
  </si>
  <si>
    <t>Plugue e tomada 2P+T de 16 A de sobrepor - 380 / 440 V</t>
  </si>
  <si>
    <t>Tomada RJ 45 para rede de dados, com placa</t>
  </si>
  <si>
    <t>Tomada de energia quadrada com rabicho de 10 A - 250 V , para instalação em painel / rodapé / caixa de tomadas</t>
  </si>
  <si>
    <t>Tomada 2P+T de 10 A - 250 V, completa</t>
  </si>
  <si>
    <t>Tomada 2P+T de 20 A - 250 V, completa</t>
  </si>
  <si>
    <t>Conjunto 2 tomadas 2P+T de 10 A, completo</t>
  </si>
  <si>
    <t>Conjunto 1 interruptor simples e 1 tomada 2P+T de 10 A, completo</t>
  </si>
  <si>
    <t>Conjunto 2 interruptores simples e 1 tomada 2P+T de 10 A, completo</t>
  </si>
  <si>
    <t>Interruptores e minuterias</t>
  </si>
  <si>
    <t>Interruptor com 1 tecla simples e placa</t>
  </si>
  <si>
    <t>Interruptor com 2 teclas simples e placa</t>
  </si>
  <si>
    <t>Interruptor com 3 teclas simples e placa</t>
  </si>
  <si>
    <t>Interruptor com 1 tecla paralelo e placa</t>
  </si>
  <si>
    <t>Interruptor com 2 teclas paralelo e placa</t>
  </si>
  <si>
    <t>Interruptor com 2 teclas, 1 simples, 1 paralelo e placa</t>
  </si>
  <si>
    <t>Interruptor com 3 teclas, 2 simples, 1 paralelo e placa</t>
  </si>
  <si>
    <t>Interruptor com 3 teclas, 1 simples, 2 paralelo e placa</t>
  </si>
  <si>
    <t>Interruptor bipolar paralelo, 1 tecla dupla e placa</t>
  </si>
  <si>
    <t>Interruptor bipolar simples, 1 tecla dupla e placa</t>
  </si>
  <si>
    <t>Pulsador 2 A - 250 V, para minuteria com placa</t>
  </si>
  <si>
    <t>Variador de luminosidade rotativo até 1000 W, 127/220 V, com placa</t>
  </si>
  <si>
    <t>Sensor de presença para teto, com fotocélula, para lâmpada qualquer</t>
  </si>
  <si>
    <t>Sensor de presença infravermelho passivo e microondas, alcance de 12 m - sem fio</t>
  </si>
  <si>
    <t>Conduletes</t>
  </si>
  <si>
    <t>Condulete metálico de 1/2´</t>
  </si>
  <si>
    <t>Condulete metálico de 3/4´</t>
  </si>
  <si>
    <t>Condulete metálico de 1´</t>
  </si>
  <si>
    <t>Condulete metálico de 1 1/4´</t>
  </si>
  <si>
    <t>Condulete metálico de 1 1/2´</t>
  </si>
  <si>
    <t>Condulete metálico de 2´</t>
  </si>
  <si>
    <t>Condulete metálico de 2 1/2´</t>
  </si>
  <si>
    <t>Condulete metálico de 3´</t>
  </si>
  <si>
    <t>Condulete metálico de 4´</t>
  </si>
  <si>
    <t>Condulete em PVC de 3/4´ - com tampa</t>
  </si>
  <si>
    <t>Condulete em PVC  de 1´ - com tampa</t>
  </si>
  <si>
    <t>Caixa de passagem em PVC</t>
  </si>
  <si>
    <t>Caixa em PVC de 4´ x 2´</t>
  </si>
  <si>
    <t>Caixa em PVC de 4´ x 4´</t>
  </si>
  <si>
    <t>Caixa em PVC octogonal de 4´ x 4´</t>
  </si>
  <si>
    <t>Contator</t>
  </si>
  <si>
    <t>Contator de potência 9 A - 2na+2nf</t>
  </si>
  <si>
    <t>Contator de potência 12 A - 1na+1nf</t>
  </si>
  <si>
    <t>Contator de potência 12 A - 2na+2nf</t>
  </si>
  <si>
    <t>Contator de potência 110 A - 2na+2nf</t>
  </si>
  <si>
    <t>Contator de potência 16 A - 2na+2nf</t>
  </si>
  <si>
    <t>Contator de potência 22 A/25 A - 2na+2nf</t>
  </si>
  <si>
    <t>Contator de potência 32 A - 2na+2nf</t>
  </si>
  <si>
    <t>Contator de potência 50 A - 2na+2nf</t>
  </si>
  <si>
    <t>Contator de potência 38/40 A - 2na+2nf</t>
  </si>
  <si>
    <t>Contator de potência 63 A - 2na+2nf</t>
  </si>
  <si>
    <t>Contator de potência de 150 A - 2na+2nf</t>
  </si>
  <si>
    <t>Contator de potência de 220 A - 2na + 2nf</t>
  </si>
  <si>
    <t>Minicontator auxiliar - 4NA</t>
  </si>
  <si>
    <t>Contator auxiliar - 2NA+2NF</t>
  </si>
  <si>
    <t>Contator auxiliar - 4na+4nf</t>
  </si>
  <si>
    <t>Relé</t>
  </si>
  <si>
    <t>Relé fotoelétrico 50/60 Hz 110/220 V - 1200 VA, completo</t>
  </si>
  <si>
    <t>Relé bimetálico de sobrecarga para acoplamento direto, faixas de ajuste de 9,0/12 A</t>
  </si>
  <si>
    <t>Relé bimetálico de sobrecarga para acoplamento direto, faixas de ajuste de 20/32 A até 50/63 A</t>
  </si>
  <si>
    <t>Relé bimetálico de sobrecarga para acoplamento direto, faixas de ajuste de 0,4/0,63 A até 16,0/25,0 A</t>
  </si>
  <si>
    <t>Relé de tempo eletrônico de 0,6 até 6 seg. - 220V - 50/60 Hz</t>
  </si>
  <si>
    <t>Relé supervisor trifásico contra falta de fase, inversão de fase e mínima tensão</t>
  </si>
  <si>
    <t>Relé de sobrecorrente eletromecânico até 120A tipo BG, conjunto de 3 unidades</t>
  </si>
  <si>
    <t>Relé de tempo eletrônico de 1,5 a 15 min. - 110V - 50/60Hz</t>
  </si>
  <si>
    <t>Relé supervisor monofásico detector de mínima tensão</t>
  </si>
  <si>
    <t>Relé de tempo eletrônico cíclico regulável, 110/127V - 43/63 Hz</t>
  </si>
  <si>
    <t>Relé de pulso bipolar 16A/250 V</t>
  </si>
  <si>
    <t>Relé de sobrecarga eletrônico para acoplamento direto, faixa de ajuste de 55 até 250 A</t>
  </si>
  <si>
    <t>Relé de tempo eletrônico de 3 - 30seg 220V 50/60Hz</t>
  </si>
  <si>
    <t>Chave comutadora e seletora</t>
  </si>
  <si>
    <t>Chave comutadora/seletora com 1 pólo e 3 posições para 63 A</t>
  </si>
  <si>
    <t>Chave comutadora/seletora com 1 pólo e 3 posições para 25 A</t>
  </si>
  <si>
    <t>Chave comutadora/seletora com 2 pólos e 2 posições para 25 A</t>
  </si>
  <si>
    <t>Chave comutadora/seletora com 1 pólo e 2 posições para 25 A</t>
  </si>
  <si>
    <t>Chave comutadora/seletora com 3 pólos e 3 posições para 25 A</t>
  </si>
  <si>
    <t>Amperímetro</t>
  </si>
  <si>
    <t>Chave comutadora para amperímetro</t>
  </si>
  <si>
    <t>Amperímetro de ferro móvel de 96 x 96 mm, para ligação em transformador de corrente, escala fixa de 0 A/50 A até 0 A/2,0 kA</t>
  </si>
  <si>
    <t>Voltímetro</t>
  </si>
  <si>
    <t>Chave comutadora para voltímetro</t>
  </si>
  <si>
    <t>Voltímetro de ferro móvel de 96 x 96 mm, escalas variáveis de 0/150 V, 0/250 V, 0/300 V, 0/500 V e 0/600 V</t>
  </si>
  <si>
    <t>Plugue com 3P+T de 63 A, 220/240 V, industrial</t>
  </si>
  <si>
    <t>Sinalizador com lâmpada</t>
  </si>
  <si>
    <t>Botão de comando duplo sem sinalizador</t>
  </si>
  <si>
    <t>Botão de comando duplo com sinalizador</t>
  </si>
  <si>
    <t>Botoeira com retenção para quadro/painel</t>
  </si>
  <si>
    <t>Botoeira de comando liga-desliga, sem sinalização</t>
  </si>
  <si>
    <t>Alarme sonoro bitonal 220 V para painel de comando</t>
  </si>
  <si>
    <t>Placa de 4´ x 2´</t>
  </si>
  <si>
    <t>Placa de 4´ x 4´</t>
  </si>
  <si>
    <t>Chave de bóia normalmente fechada ou aberta</t>
  </si>
  <si>
    <t>Plugue com 3P+T de 32A, 220/240V, industrial</t>
  </si>
  <si>
    <t>Plugue com 3P+N+T de 63A, 220/240V, industrial</t>
  </si>
  <si>
    <t>Plugue com 2P+T de 10A, 250V</t>
  </si>
  <si>
    <t>Plugue prolongador com 2P+T de 10A, 250V</t>
  </si>
  <si>
    <t>Chave de nível tipo bóia pendular (pera), com contato microswitch</t>
  </si>
  <si>
    <t>Placa/espelho em latão escovado 4´ x 4´, para 02 tomadas elétrica</t>
  </si>
  <si>
    <t>Placa/espelho em latão escovado 4´ x 4´, para 01 tomada elétrica</t>
  </si>
  <si>
    <t>Placa/espelho em latão escovado 4´ x 4´, para tomada de lógica RJ-45</t>
  </si>
  <si>
    <t>Iluminação</t>
  </si>
  <si>
    <t>Acessórios para iluminação</t>
  </si>
  <si>
    <t>Receptáculo de porcelana com parafuso de fixação com rosca E-27</t>
  </si>
  <si>
    <t>Receptáculo de porcelana com parafuso de fixação com rosca E-40</t>
  </si>
  <si>
    <t>Trilho eletrificado de alimentação com 1 circuito, em alumínio com pintura na cor branco, inclusive acessórios</t>
  </si>
  <si>
    <t>Soquete convencional para lâmpada fluorescente</t>
  </si>
  <si>
    <t>Soquete antivibratório para lâmpada fluorescente com placa de pressão e fixação</t>
  </si>
  <si>
    <t>Lâmpada de descarga de alta potência</t>
  </si>
  <si>
    <t>Lâmpada mista, base E27 de 160 W</t>
  </si>
  <si>
    <t>Lâmpada mista, base E27 ou E40 de 250 W</t>
  </si>
  <si>
    <t>Lâmpada mista, base E40 de 500 W</t>
  </si>
  <si>
    <t>Lâmpada de vapor de sódio elipsoidal, base E27 de 70 W</t>
  </si>
  <si>
    <t>Lâmpada de vapor de sódio elipsoidal ou tubular, base E40 de 150 W</t>
  </si>
  <si>
    <t>Lâmpada de vapor de sódio elipsoidal ou tubular, base E40 de 250 W</t>
  </si>
  <si>
    <t>Lâmpada de vapor de sódio elipsoidal ou tubular, base E40 de 400 W</t>
  </si>
  <si>
    <t>Lâmpada de vapor de sódio tubular, base E40 de 1000 W</t>
  </si>
  <si>
    <t>Lâmpada fluorescente compacta eletrônica, base E27 com 59W ou 60W</t>
  </si>
  <si>
    <t>Lâmpada de vapor metálico elipsoidal, base E40 de 250 W</t>
  </si>
  <si>
    <t>Lâmpada de vapor metálico elipsoidal, base E40 de 400 W</t>
  </si>
  <si>
    <t>Lâmpada de vapor metálico tubular, base E40 de 2000 W</t>
  </si>
  <si>
    <t>Lâmpada de vapor metálico tubular, base G12 de 70 W</t>
  </si>
  <si>
    <t>Lâmpada de vapor metálico tubular, base G12 de 150 W</t>
  </si>
  <si>
    <t>Lâmpada de vapor metálico tubular, base RX7s bilateral de 70 W</t>
  </si>
  <si>
    <t>Lâmpada de vapor metálico tubular, base RX7s bilateral de 150 W</t>
  </si>
  <si>
    <t>Lâmpada de vapor metálico tubular, base FC2 bilateral de 400 W</t>
  </si>
  <si>
    <t>Lâmpadas incandescentes</t>
  </si>
  <si>
    <t>Lâmpada halógena refletora PAR20, base E27 de 50 W - 220 V</t>
  </si>
  <si>
    <t>Lâmpada halógena refletora PAR20, base E27 de 50 W - 110 V</t>
  </si>
  <si>
    <t>Lâmpada halógena refletora PAR30, base E27 de 75 W - 220 V</t>
  </si>
  <si>
    <t>Lâmpada halógena com refletor dicróico, de 50 W - 12 V</t>
  </si>
  <si>
    <t>Lâmpada halógena tubular, base R7s bilateral de 150 W - 110 ou 220 V</t>
  </si>
  <si>
    <t>Lâmpada halógena tubular, base R7s bilateral de 300 W - 110 ou 220 V</t>
  </si>
  <si>
    <t>Lâmpada halógena tubular, base R7s bilateral de 500 W - 110 ou 220 V</t>
  </si>
  <si>
    <t>Lâmpadas fluorescentes</t>
  </si>
  <si>
    <t>Lâmpada fluorescente tubular, base bipino bilateral de 15 W</t>
  </si>
  <si>
    <t>Lâmpada fluorescente tubular, base bipino bilateral de 16 W</t>
  </si>
  <si>
    <t>Lâmpada fluorescente tubular, base bipino bilateral de 14 W</t>
  </si>
  <si>
    <t>Lâmpada fluorescente tubular, base bipino bilateral de 20 W</t>
  </si>
  <si>
    <t>Lâmpada fluorescente tubular, base bipino bilateral de 28 W</t>
  </si>
  <si>
    <t>Lâmpada fluorescente tubular, base bipino bilateral de 32 W</t>
  </si>
  <si>
    <t>Lâmpada fluorescente tubular, base bipino bilateral de 40 W</t>
  </si>
  <si>
    <t>Lâmpada fluorescente tubular, base bipino bilateral de 54 W</t>
  </si>
  <si>
    <t>Lâmpada fluorescente tubular, base bipino bilateral de 32 W, com camada trifósforo</t>
  </si>
  <si>
    <t>Lâmpada fluorescente tubular ´HO´, base bipino bilateral de 110 W</t>
  </si>
  <si>
    <t>Lâmpada fluorescente compacta eletrônica ´2U´, base E27 de 9 W - 110 ou 220 V</t>
  </si>
  <si>
    <t>Lâmpada fluorescente compacta eletrônica ´2U´, base E27 de 11 W - 110 ou 220 V</t>
  </si>
  <si>
    <t>Lâmpada fluorescente compacta eletrônica ´3U´, base E27 de 15 W - 110 ou 220 V</t>
  </si>
  <si>
    <t>Lâmpada fluorescente compacta eletrônica ´3U´, base E27 de 20 W - 110 ou 220 V</t>
  </si>
  <si>
    <t>Lâmpada fluorescente compacta eletrônica ´3U´, base E27 de 23 W - 110 ou 220 V</t>
  </si>
  <si>
    <t>Lâmpada fluorescente compacta eletrônica ´3U´, base E27 de 25 W - 110 ou 220 V</t>
  </si>
  <si>
    <t>Lâmpada fluorescente compacta ´1U´, base G-23 de 9 W</t>
  </si>
  <si>
    <t>Lâmpada fluorescente compacta ´2U´, base G-24D-2 de 18 W</t>
  </si>
  <si>
    <t>Lâmpada fluorescente compacta ´2U´, base G-24D-3 de 26 W</t>
  </si>
  <si>
    <t>Lâmpada fluorescente compacta longa ´1U´, base 2G11 de 36 W</t>
  </si>
  <si>
    <t>Lâmpada fluorescente compacta´2U´, base G24q-2 de 18 W</t>
  </si>
  <si>
    <t>Lâmpada fluorescente compacta´2U´, base G24q-3 de 26 W</t>
  </si>
  <si>
    <t>Reatores e equipamentos para lâmpadas de descarga de alta potência</t>
  </si>
  <si>
    <t>Transformador eletrônico para lâmpada halógena dicróica de 50 W - 220 V</t>
  </si>
  <si>
    <t>Reator eletromagnético de alto fator de potência, para lâmpada vapor de sódio 70 W / 220 V</t>
  </si>
  <si>
    <t>Reator eletromagnético de alto fator de potência, para lâmpada vapor de sódio 150 W / 220 V</t>
  </si>
  <si>
    <t>Reator eletromagnético de alto fator de potência, para lâmpada vapor de sódio 250 W / 220 V</t>
  </si>
  <si>
    <t>Reator eletromagnético de alto fator de potência, para lâmpada vapor de sódio 400 W / 220 V</t>
  </si>
  <si>
    <t>Reator eletromagnético de alto fator de potência, para lâmpada vapor de sódio 1000 W / 220 V</t>
  </si>
  <si>
    <t>Reator eletromagnético de alto fator de potência, para lâmpada vapor metálico 70 W / 220 V</t>
  </si>
  <si>
    <t>Reator eletromagnético de alto fator de potência, para lâmpada vapor metálico 150 W / 220 V</t>
  </si>
  <si>
    <t>Reator eletromagnético de alto fator de potência, para lâmpada vapor metálico 250 W / 220 V</t>
  </si>
  <si>
    <t>Reator eletromagnético de alto fator de potência, para lâmpada vapor metálico 400 W / 220 V</t>
  </si>
  <si>
    <t>Reator eletromagnético de alto fator de potência, para lâmpada vapor metálico 2000 W / 220 V</t>
  </si>
  <si>
    <t>Reatores e equipamentos para lâmpadas fluorescentes</t>
  </si>
  <si>
    <t>Reator eletromagnético de alto fator de potência com partida rápida, para duas lâmpadas fluorescentes tubulares, base bipino bilateral de 14 W - 127 V / 220 V</t>
  </si>
  <si>
    <t>Reator eletromagnético de alto fator de potência com partida rápida, para uma lâmpada fluorescente tubular, base bipino bilateral, 32 / 40 W - 127 V / 220 V</t>
  </si>
  <si>
    <t>Reator eletromagnético de alto fator de potência com partida rápida, para uma lâmpada fluorescente tubulares de 54 W</t>
  </si>
  <si>
    <t>Reator eletromagnético de alto fator de potência com partida rápida, para duas lâmpadas fluorescentes tubulares ´HO´, base bipino bilateral, 110 W - 220 V</t>
  </si>
  <si>
    <t>Reator eletromagnético de baixo fator de potência com partida convencional, para uma lâmpada fluorescente compacta ´2U´, base G24D 3, 26 W - 127 V</t>
  </si>
  <si>
    <t>Reator eletromagnético de baixo fator de potência com partida convencional, para uma lâmpada fluorescente compacta ´1U´, base G23, 9 W - 220 V</t>
  </si>
  <si>
    <t>Reator eletromagnético de baixo fator de potência com partida convencional, para uma lâmpada fluorescente compacta ´2U´, base G24D 2, 18 W - 220 V</t>
  </si>
  <si>
    <t>Reator eletromagnético de baixo fator de potência com partida convencional, para uma lâmpada fluorescente compacta ´2U´, base G24D 3, 26 W - 220 V</t>
  </si>
  <si>
    <t>Reator eletromagnético de baixo fator de potência com partida convencional, para uma lâmpada fluorescente tubular, base bipino bilateral, 15 W - 220 V</t>
  </si>
  <si>
    <t>Reator eletromagnético de baixo fator de potência com partida convencional, para uma lâmpada fluorescente tubular, base bipino bilateral, 20 W - 220 V</t>
  </si>
  <si>
    <t>Reator eletrônico de alto fator de potência com partida instantânea, para duas lâmpadas fluorescentes tubulares, base bipino bilateral, 28 W - 220 V</t>
  </si>
  <si>
    <t>Reator eletrônico de alto fator de potência com partida instantânea, para uma lâmpada fluorescente tubular, base bipino bilateral, 32 W - 127 V / 220 V</t>
  </si>
  <si>
    <t>Reator eletrônico de alto fator de potência com partida instantânea, para uma lâmpada fluorescente tubular ´HO´, base bipino bilateral, 110 W - 220 V</t>
  </si>
  <si>
    <t>Reator eletrônico de alto fator de potência com partida instantânea, para duas lâmpadas fluorescentes tubulares, base bipino bilateral, 16 W - 127 V / 220 V</t>
  </si>
  <si>
    <t>Reator eletrônico de alto fator de potência com partida instantânea, para duas lâmpadas fluorescentes tubulares, base bipino bilateral, 32 W - 127 V / 220 V</t>
  </si>
  <si>
    <t>Reator eletrônico de alto fator de potência com partida instantânea, para duas lâmpadas fluorescentes tubulares ´HO´, base bipino bilateral, 110 W - 220 V</t>
  </si>
  <si>
    <t>Reator eletrônico de alto fator de potência com partida instantânea, para uma lâmpada fluorescente compacta´2U´, base G24q-2, 18 W - 220 V</t>
  </si>
  <si>
    <t>Reator eletrônico de alto fator de potência com partida instantânea, para uma lâmpada fluorescente compacta´2U´, base G24q-3, 26 W - 220 V</t>
  </si>
  <si>
    <t>Reator eletrônico de alto fator de potência com partida instantânea, para duas lâmpadas fluorescentes compactas´2U´, base G24q-2, 18 W - 220 V</t>
  </si>
  <si>
    <t>Reator eletrônico de alto fator de potência com partida instantânea, para duas lâmpadas fluorescentes compactas´2U´, base G24q-3, 26 W - 220 V</t>
  </si>
  <si>
    <t>Reator eletrônico de alto fator de potência com partida instantânea, para duas lâmpadas fluorescentes compactas longas ´1U´, base 2G11, 36 W - 220 V</t>
  </si>
  <si>
    <t>Postes e acessórios</t>
  </si>
  <si>
    <t>Braço em tubo de ferro galvanizado de 1´ x 1,00 m para fixação de uma luminária</t>
  </si>
  <si>
    <t>Cruzeta reforçada em ferro galvanizado para fixação de quatro luminárias</t>
  </si>
  <si>
    <t>Cruzeta reforçada em ferro galvanizado para fixação de duas luminárias</t>
  </si>
  <si>
    <t>Poste telecônico curvo em aço SAE 1010/1020 galvanizado a fogo, altura de 7,0 m</t>
  </si>
  <si>
    <t>Poste telecônico curvo duplo em aço SAE 1010/1020 galvanizado a fogo, altura de 9,00 m</t>
  </si>
  <si>
    <t>Poste telecônico curvo em aço SAE 1010/1020 galvanizado a fogo, altura de 8,00 m</t>
  </si>
  <si>
    <t>Poste telecônico curvo em aço SAE 1010/1020 galvanizado a fogo, altura de 10,00 m</t>
  </si>
  <si>
    <t>Poste telecônico reto em aço SAE 1010/1020 galvanizado a fogo, altura de 15,00 m</t>
  </si>
  <si>
    <t>Poste telecônico reto em aço SAE 1010/1020 galvanizado a fogo, altura de 10,00 m</t>
  </si>
  <si>
    <t>Poste telecônico reto em aço SAE 1010/1020 galvanizado a fogo, altura de 8,00 m</t>
  </si>
  <si>
    <t>Poste telecônico reto em aço SAE 1010/1020 galvanizado a fogo, altura de 9,00 m</t>
  </si>
  <si>
    <t>Poste telecônico em aço SAE 1010/1020 galvanizado a fogo, com espera para uma luminária, altura de 3,00 m</t>
  </si>
  <si>
    <t>Poste telecônico em aço SAE 1010/1020 galvanizado a fogo, com espera para duas luminárias, altura de 3,00 m</t>
  </si>
  <si>
    <t>Poste telecônico reto em aço SAE 1010/1020 galvanizado a fogo, altura de 12,00 m</t>
  </si>
  <si>
    <t>Poste telecônico reto em aço SAE 1010/1020 galvanizado a fogo, altura de 6,00 m</t>
  </si>
  <si>
    <t>Poste tubular reto em aço SAE 1010/1020, seção quadrada, altura de 7,50 m</t>
  </si>
  <si>
    <t>Poste telecônico curvo duplo para duas luminárias, em aço SAE 1010/1020 galvanizado a fogo, altura de 10,00 metros</t>
  </si>
  <si>
    <t>Poste telecônico reto em aço galvanizado a fogo, com base - altura de 7,00 m</t>
  </si>
  <si>
    <t>Poste telecônico reto em aço SAE 1010/1020 galvanizado a fogo, altura de 4,00 m</t>
  </si>
  <si>
    <t>Aparelho de iluminação pública e decorativa</t>
  </si>
  <si>
    <t>Luminária esferica fechada para iluminação decorativa externa</t>
  </si>
  <si>
    <t>Luminária fechada para iluminação pública, sem alojamento para reator</t>
  </si>
  <si>
    <t>Luminária fechada para iluminação pública tipo pétala pequena</t>
  </si>
  <si>
    <t>Luminária com corpo em tubo de alumínio tipo balizador para uso externo</t>
  </si>
  <si>
    <t>Luminária retangular fechada para iluminação externa em poste, tipo pétala grande</t>
  </si>
  <si>
    <t>Luminária retangular fechada para iluminação externa em poste, tipo pétala pequena</t>
  </si>
  <si>
    <t>Luminária arandela retangular fechada para iluminação externa, tipo pétala pequena</t>
  </si>
  <si>
    <t>Luminária pública fechada tipo pétala, com alojamento para reator, com abertura na parte superior</t>
  </si>
  <si>
    <t>Suporte tubular de fixação em poste para 1 luminária tipo pétala</t>
  </si>
  <si>
    <t>Suporte tubular de fixação em poste para 2 luminárias tipo pétala</t>
  </si>
  <si>
    <t>Suporte tubular de fixação em poste para 3 luminárias tipo pétala</t>
  </si>
  <si>
    <t>Suporte tubular de fixação em poste para 4 luminárias tipo pétala</t>
  </si>
  <si>
    <t>Luminária led retangular para poste de 10.800 até 13.530 lm, eficiência mínima 90 lm/W</t>
  </si>
  <si>
    <t>Luminária led retangular para parede/piso de 10.800 até 13.530 lm, eficiência mínima 90 lm/W</t>
  </si>
  <si>
    <t>Luminária led retangular para poste de 4.750 até 7.800 lm, eficiência mínima 95 lm/W</t>
  </si>
  <si>
    <t>Aparelho de iluminação de longo alcance e específica</t>
  </si>
  <si>
    <t>Projetor retangular fechado, com alojamento para reator, para lâmpadas vapor metálico ou vapor de sódio de 150 a 400 W</t>
  </si>
  <si>
    <t>Projetor retangular fechado, para lâmpadas vapor de sódio 1000 W e vapor metálico 2000 W</t>
  </si>
  <si>
    <t>Projetor retangular fechado, para lâmpadas vapor metálico 70/150W e halógena 300/500W</t>
  </si>
  <si>
    <t>Projetor retangular fechado, para lâmpadas vapor metálico e sódio 250/400W</t>
  </si>
  <si>
    <t>Projetor cônico fechado, para lâmpadas vapor metálico e sódio 250/400W, mista 250/500W</t>
  </si>
  <si>
    <t>Projetor retangular fechado, uso abrigado, para lâmpadas vapor metálico e sódio 250/400W</t>
  </si>
  <si>
    <t>Projetor retangular fechado, para lâmpada halógena de 1000 W</t>
  </si>
  <si>
    <t>Projetor de sobrepor com foco orientável, para lâmpada vapor metálico ou vapor de sódio 250/400 W</t>
  </si>
  <si>
    <t>Aparelho de iluminação a prova de tempo, gases e vapores</t>
  </si>
  <si>
    <t>Luminária blindada, retangular, de embutir para lâmpada mista 160 W</t>
  </si>
  <si>
    <t>Luminária blindada de sobrepor ou pendente em calha fechada para 1 lâmpada fluorescente de 32/36/40W</t>
  </si>
  <si>
    <t>Luminária blindada de sobrepor ou pendente em calha fechada para 2 lâmpadas fluorescentes de 32/36/40W</t>
  </si>
  <si>
    <t>Luminária blindada de sobrepor ou pendente em calha fechada para 4 lâmpadas fluorescentes de 32/36/40W</t>
  </si>
  <si>
    <t>Luminária blindada plafonier para lâmpada mista 250W</t>
  </si>
  <si>
    <t>Luminária blindada pendente para lâmpada mista 250W</t>
  </si>
  <si>
    <t>Luminária blindada arandela 45º e 90º, para lâmpadas mista, vapor metálico, de mercúrio, vapor de sódio até 250 W e fluorescente compacta até 45 W</t>
  </si>
  <si>
    <t>Luminária blindada, arandela 45° e 90°, para lâmpadas mista, vapor metálico, vapor mercúrio até 160 W, vapor de sódio até 70 W e fluorescente compacta até 23 W</t>
  </si>
  <si>
    <t>Luminária blindada, arandela 45° e 90°, para lâmpada fluorescente compacta</t>
  </si>
  <si>
    <t>Luminária blindada, oval, de sobrepor ou arandela para lâmpada fluorescentes compacta</t>
  </si>
  <si>
    <t>Aparelho de iluminação comercial e industrial</t>
  </si>
  <si>
    <t>Luminária retangular de embutir tipo calha fechada com difusor plano em acrílico para 2 lâmpadas fluorescentes tubulares de 28/32/36/54W</t>
  </si>
  <si>
    <t>Luminária retangular de embutir tipo calha aberta com refletor em chapa de aço com pintura eletrostática para 2 lâmpadas fluorescentes tubulares de 32/36W</t>
  </si>
  <si>
    <t>Luminária retangular de sobrepor tipo calha aberta para 1 lâmpada fluorescente tubular de 32W</t>
  </si>
  <si>
    <t>Luminária retangular de sobrepor tipo calha aberta para 2 lâmpadas fluorescentes tubulares de 32W</t>
  </si>
  <si>
    <t>Luminária retangular de sobrepor tipo calha aberta para 4 lâmpadas fluorescentes tubulares de 32W</t>
  </si>
  <si>
    <t>Luminária retangular de sobrepor tipo calha fechada com difusor em acrílico translúcido para 2 lâmpadas fluorescentes de 28/32/36/54W</t>
  </si>
  <si>
    <t>Luminária retangular de sobrepor tipo calha aberta para 1 lâmpada fluorescente tubular de 110W</t>
  </si>
  <si>
    <t>Luminária retangular de sobrepor tipo calha aberta para 2 lâmpadas fluorescentes tubulares de 110W</t>
  </si>
  <si>
    <t>Luminária retangular de embutir tipo calha aberta com refletor em chapa de aço com pintura eletrostática para 2 lâmpadas fluorescentes tubulares de 16/18W</t>
  </si>
  <si>
    <t>Luminária retangular de sobrepor tipo calha aberta com aletas parabólicas para 2 lâmpadas fluorescentes tubulares de 32/36W</t>
  </si>
  <si>
    <t>Luminária industrial de sobrepor ou pendente com refletor em acrílico para 1 lâmpada multivapor metálico elipsoidal de 250/400W</t>
  </si>
  <si>
    <t>Luminária quadrada de embutir tipo calha aberta com aletas planas para 2 lâmpadas fluorescentes compactas de 18/26W</t>
  </si>
  <si>
    <t>Luminária quadrada de sobrepor tipo calha aberta com refletor em alumínio de alto brilho para 2 lâmpadas fluorescentes de 18W/26W</t>
  </si>
  <si>
    <t>Luminária retangular de sobrepor tipo calha aberta com refletor em chapa de aço pintada para 2 lâmpadas fluorescentes tubulares 32/36W</t>
  </si>
  <si>
    <t>Luminária redonda de embutir com difusor recuado para 1 ou 2 lâmpadas fluorescentes compactas de 15/18/20/23/26W</t>
  </si>
  <si>
    <t>Luminária retangular pendente tipo calha aberta instalação em perfilado para 2 lâmpadas fluorescentes tubulares de 32/36W</t>
  </si>
  <si>
    <t>Luminária retangular de sobrepor tipo calha aberta com refletor em alumínio de alto brilho para 2 lâmpadas fluorescentes tubulares 32/36W</t>
  </si>
  <si>
    <t>Luminária quadrada de embutir tipo calha aberta com refletor e aleta parabólicas em alumínio acetinado para 2 ou 4 lâmpadas fluorescentes de 14/16/18/36/55W</t>
  </si>
  <si>
    <t>Luminária quadrada de embutir tipo calha aberta com refletor e aleta parabólicas em alumínio de alto brilho para 4 lâmpadas fluorescentes de 14/16/18W</t>
  </si>
  <si>
    <t>Luminária retangular de embutir tipo calha aberta com refletor e aletas parabólicas para 2 lâmpadas fluorescentes tubulares de 16/18W</t>
  </si>
  <si>
    <t>Luminária retangular de sobrepor tipo calha aberta com refletor facetado em chapa de aço pintada para 1 ou 2 lâmpadas fluorescentes de 32W</t>
  </si>
  <si>
    <t>Luminária retangular de sobrepor tipo calha aberta com refletor facetado em chapa de aço pintada para 2 lâmpadas fluorescentes de 16W</t>
  </si>
  <si>
    <t>Luminária industrial pendente com refletor prismático sem alojamento para reator, para lâmpadas vapor de sódio/metálico ou mista de 150/250/400W</t>
  </si>
  <si>
    <t>Luminária redonda de sobrepor com difusor em vidro temperado jateado para 1 ou 2 lâmpadas fluorescentes compactas de 18/26W</t>
  </si>
  <si>
    <t>Luminária retangular de sobrepor tipo calha aberta com aletas duplas parabólicas para 2 lâmpadas fluorescentes tubulares de 28/54W</t>
  </si>
  <si>
    <t>Luminária retangular de embutir tipo calha aberta com aletas duplas parabólicas para 2 lâmpadas fluorescentes tubulares de 28/54W</t>
  </si>
  <si>
    <t>Luminária retangular de embutir tipo calha aberta com aletas parabólicas para 2 lâmpadas fluorescentes tubulares de 28/54W</t>
  </si>
  <si>
    <t>Luminária industrial pendente tipo calha aberta instalação em perfilado para 1 ou 2 lâmpadas fluorescentes tubulares 14W</t>
  </si>
  <si>
    <t>Luminária industrial pendente tipo calha aberta instalação em perfilado para 1 ou 2 lâmpadas fluorescentes tubulares 28/54W</t>
  </si>
  <si>
    <t>Luminária retangular de sobrepor tipo calha aberta com refletor e aletas parabólicas para 2 lâmpadas fluorescentes tubulares 14W</t>
  </si>
  <si>
    <t>Luminária retangular de sobrepor tipo calha aberta com refletor e aletas parabólicas para 2 lâmpadas fluorescentes tubulares 28/54W</t>
  </si>
  <si>
    <t>Luminária retangular de embutir tipo calha aberta com refletor em alumínio para 2 lâmpadas fluorescentes tubulares de 14W</t>
  </si>
  <si>
    <t>Luminária retagular de embutir tipo calha aberta com refletor em alumínio de alto brilho para 2 lâmpadas fluorescentes tubulares de 28/54W</t>
  </si>
  <si>
    <t>Luminária retangular de embutir tipo calha aberta com refletor e aletas parabólicas para 2 lâmpadas fluorescentes tubulares de 14W</t>
  </si>
  <si>
    <t>Luminária retangular de embutir tipo calha aberta com refletor e aletas parabólicas para 2 lâmpadas fluorescentes tubulares de 28/54W</t>
  </si>
  <si>
    <t>Luminária triangular de sobrepor tipo arandela para fluorescente compacta de 15/20/23W</t>
  </si>
  <si>
    <t>Luminária retangular de sobrepor ou arandela tipo calha fechada com difusor em acrílico para 1 lâmpada fluorescente tubular de 28/54W</t>
  </si>
  <si>
    <t>Luminária redonda de sobrepor com refletor em alumínio jateado e difusor em vidro para 1 lâmpada vapor metálico de 70/150W</t>
  </si>
  <si>
    <t>Luminária redonda de embutir com refletor em alumínio jateado e difusor em vidro para 1 lâmpada vapor metálico de 70/150W</t>
  </si>
  <si>
    <t>Luminária redonda de embutir com refletor em alumínio jateado e difusor em vidro para 2 lâmpadas fluorescentes compactas duplas de 18/26W</t>
  </si>
  <si>
    <t>Luminária retangular de embutir assimétrica para 1 lâmpada fluorescente tubular de 14W</t>
  </si>
  <si>
    <t>Luminária redonda de sobrepor ou pendente com refletor em alumínio anodizado facho concentrado para 1 lâmpada vapor metálico elipsoidal de 250W</t>
  </si>
  <si>
    <t>Luminária retangular de sobrepor tipo calha aberta com refletor facetado em chapa de aço pintada para 1 ou 2 lâmpadas fluorescentes de 110W</t>
  </si>
  <si>
    <t>Luminária quadrada de embutir tipo calha fechada, com difusor plano em acrílico, para 4 lâmpadas fluorescentes tubulares de 14/16/18 W</t>
  </si>
  <si>
    <t>Luminária retangular de sobrepor tipo calha fechada, com difusor plano em acrílico, para 4 lâmpadas fluorescentes tubulares de 14/16/18 W</t>
  </si>
  <si>
    <t>Luminária retangular de embutir tipo calha aberta com refletor assimétrico em alumínio de alto brilho para 2 lâmpadas fluorescentes tubulares de 28/54W</t>
  </si>
  <si>
    <t>Aparelho de iluminação interna decorativa</t>
  </si>
  <si>
    <t>Luminária plafonier de embutir com alojamento para 1 lâmpada halógena PAR 20 de 50W</t>
  </si>
  <si>
    <t>Luminária redonda de embutir, com foco orientável e acessório antiofuscante, para 1 lâmpada dicróica de 50 W</t>
  </si>
  <si>
    <t>Luminária redonda de embutir com lâmpada LED, fluxo luminoso 2000 LM, temperatura de cor 4000 K, IRC 85, e driver multitensão de 100 a 250 V</t>
  </si>
  <si>
    <t>Luminária tipo ´Spot´ para trilho, foco orientável, corpo em alumínio pintado, refletor em alumínio anodizado, para uma lâmpada halógena PAR30 de 75 W</t>
  </si>
  <si>
    <t>Recolocação de aparelhos de iluminação ou projetores fixos em teto, piso ou parede</t>
  </si>
  <si>
    <t>Recolocação de aparelhos de iluminação ou projetores fixos em poste ou braço</t>
  </si>
  <si>
    <t>Conjunto ou kit de suspensão em tubo de aço galvanizado, para fixação de aparelhos de iluminação em eletrodutos e caixa de ligação</t>
  </si>
  <si>
    <t>Suspensão em tubo de aço tratado e pintado, para fixação de aparelhos de iluminação em perfilado - DN 3/8´</t>
  </si>
  <si>
    <t>Suspensão em tubo de aço tratado e pintado, para fixação de aparelhos de iluminação em perfilado - DN 1/2´</t>
  </si>
  <si>
    <t>Plafon plástico e/ou PVC para acabamento de ponto de luz, com soquete E-27 para lâmpada fluorescente compacta</t>
  </si>
  <si>
    <t>Luminária e acessórios especiais</t>
  </si>
  <si>
    <t>Mini refletor com cone interno para lâmpada de 50 W / 12 V</t>
  </si>
  <si>
    <t>Luminária tipo arandela para lâmpada vapor metálico de 250 W ou 400 W</t>
  </si>
  <si>
    <t>Pára-raios para edificação</t>
  </si>
  <si>
    <t>Complementos para pára-raios</t>
  </si>
  <si>
    <t>Captor tipo Franklin, h= 300 mm, 4 pontos, 1 descida, acabamento cromado</t>
  </si>
  <si>
    <t>Captor tipo Franklin, h= 300 mm, 4 pontos, 2 descidas, acabamento cromado</t>
  </si>
  <si>
    <t>Captor tipo terminal aéreo, h= 600 mm, diâmetro de 3/8´ galvanizado a fogo</t>
  </si>
  <si>
    <t>Luva de redução galvanizada de 2´ x 3/4´</t>
  </si>
  <si>
    <t>Niple duplo galvanizado de 2´</t>
  </si>
  <si>
    <t>Captor tipo terminal aéreo, h= 300 mm, diâmetro de 1/4´ em cobre</t>
  </si>
  <si>
    <t>Captor terminal aéreo, h= 250 mm, diâmetro de 3/8´ galvanizado a fogo</t>
  </si>
  <si>
    <t>Captor tipo terminal aéreo, h = 300 mm em alumínio</t>
  </si>
  <si>
    <t>Isoladores galvanizados uso geral</t>
  </si>
  <si>
    <t>Isolador galvanizado uso geral, simples com rosca mecânica</t>
  </si>
  <si>
    <t>Isolador galvanizado uso geral, reforçado para fixação a 90°</t>
  </si>
  <si>
    <t>Isolador galvanizado uso geral, reforçado com rosca mecânica</t>
  </si>
  <si>
    <t>Isolador galvanizado uso geral, simples com chapa de encosto</t>
  </si>
  <si>
    <t>Isolador galvanizado uso geral, reforçado com rosca soberba</t>
  </si>
  <si>
    <t>Isolador galvanizado uso geral, reforçado com chapa de encosto</t>
  </si>
  <si>
    <t>Isolador galvanizado uso geral, simples com calha para telha ondulada</t>
  </si>
  <si>
    <t>Isolador galvanizado uso geral, reforçado com calha para telha ondulada</t>
  </si>
  <si>
    <t>Isolador galvanizado uso geral, reforçado com grapa para chumbar</t>
  </si>
  <si>
    <t>Isoladores galvanizados para mastros</t>
  </si>
  <si>
    <t>Isolador galvanizado para mastro de diâmetro 2´, simples com 1 descida</t>
  </si>
  <si>
    <t>Isolador galvanizado para mastro de diâmetro 2´, simples com 2 descidas</t>
  </si>
  <si>
    <t>Isolador galvanizado para mastro de diâmetro 2´, reforçado com 1 descida</t>
  </si>
  <si>
    <t>Isolador galvanizado para mastro de diâmetro 2´, reforçado com 2 descidas</t>
  </si>
  <si>
    <t>Componente de sustentação para mastro galvanizado</t>
  </si>
  <si>
    <t>Braçadeira de contraventagem para mastro de diâmetro 2´</t>
  </si>
  <si>
    <t>Apoio para mastro de diâmetro 2´</t>
  </si>
  <si>
    <t>Base para mastro de diâmetro 2´</t>
  </si>
  <si>
    <t>Contraventagem com cabo para mastro de diâmetro 2´</t>
  </si>
  <si>
    <t>Contraventagem com tubo para mastro de diâmetro 2´</t>
  </si>
  <si>
    <t>Mastro simples galvanizado de diâmetro 2´</t>
  </si>
  <si>
    <t>Suporte porta bandeira simples para mastro de diâmetro 2´</t>
  </si>
  <si>
    <t>Suporte porta bandeira reforçado para mastro de diâmetro 2´</t>
  </si>
  <si>
    <t>Componentes para cabo de descida</t>
  </si>
  <si>
    <t>Sinalizador de obstáculo simples, sem célula fotoelétrica</t>
  </si>
  <si>
    <t>Braçadeira para fixação do aparelho sinalizador para mastro de diâmetro 2´</t>
  </si>
  <si>
    <t>Sinalizador de obstáculo duplo, sem célula fotoelétrica</t>
  </si>
  <si>
    <t>Sinalizador de obstáculo simples, com célula fotoelétrica</t>
  </si>
  <si>
    <t>Sinalizador de obstáculo duplo, com célula fotoelétrica</t>
  </si>
  <si>
    <t>Caixa de inspeção suspensa</t>
  </si>
  <si>
    <t>Conector cabo/haste de 3/4´</t>
  </si>
  <si>
    <t>Conector de emenda em latão para cabo de até 50 mm² com 4 parafusos</t>
  </si>
  <si>
    <t>Conector olhal cabo/haste de 3/4´</t>
  </si>
  <si>
    <t>Conector olhal cabo/haste de 5/8´</t>
  </si>
  <si>
    <t>Vergalhão liso de aço galvanizado, diâmetro de 3/8´</t>
  </si>
  <si>
    <t>Esticador em latão para cabo de cobre</t>
  </si>
  <si>
    <t>Haste de aterramento de 3/4´ x 3,00 m</t>
  </si>
  <si>
    <t>Haste de aterramento de 5/8´ x 2,40 m</t>
  </si>
  <si>
    <t>Haste de aterramento de 5/8´ x 3,00 m</t>
  </si>
  <si>
    <t>Mastro para sinalizador de obstáculo, de 1,50 m x 3/4´</t>
  </si>
  <si>
    <t>Clips de fixação para vergalhão em aço galvanizado de 3/8´</t>
  </si>
  <si>
    <t>Suporte para tubo de proteção com chapa de encosto, diâmetro 2´</t>
  </si>
  <si>
    <t>Barra condutora chata de alumínio, 3/4´ x 1/4´ - inclusive acessórios de fixação</t>
  </si>
  <si>
    <t>Suporte para tubo de proteção com grapa para chumbar, diâmetro 2´</t>
  </si>
  <si>
    <t>Conector em latão estanhado para cabos de 16 a 50 mm² e vergalhões até 3/8´</t>
  </si>
  <si>
    <t>Suporte para tubo de proteção com rosca soberba, diâmetro 2´</t>
  </si>
  <si>
    <t>Suporte para fixação de terminal aéreo e/ou de cabo de cobre nu, com base plana</t>
  </si>
  <si>
    <t>Tampa para caixa de inspeção cilíndrica, aço galvanizado</t>
  </si>
  <si>
    <t>Caixa de inspeção do terra cilíndrica em PVC rígido, diâmetro de 300 mm - h= 250 mm</t>
  </si>
  <si>
    <t>Caixa de inspeção do terra cilíndrica em PVC rígido, diâmetro de 300 mm - h= 400 mm</t>
  </si>
  <si>
    <t>Caixa de inspeção do terra cilíndrica em PVC rígido, diâmetro de 300 mm - h= 600 mm</t>
  </si>
  <si>
    <t>Barra condutora chata em cobre, 3/4´ x 3/16´ - inclusive acessórios de fixação</t>
  </si>
  <si>
    <t>Caixa de equalização de embutir em aço com barramento, de 400 x 400 mm e tampa</t>
  </si>
  <si>
    <t>Caixa de equalização de embutir em aço com barramento, de 200 x 200 mm e tampa</t>
  </si>
  <si>
    <t>Presilha em latão para cabos de 16 até 50 mm²</t>
  </si>
  <si>
    <t>Presilha em latão para cabos acima de 50 até 120 mm²</t>
  </si>
  <si>
    <t>Suporte para fixação de terminal aéreo e/ou de cabo de cobre nu, com base ondulada</t>
  </si>
  <si>
    <t>Suporte para fixação de terminal aéreo e/ou cabo de cobre nu, com base em alumínio</t>
  </si>
  <si>
    <t>Barra condutora chata de alumínio, 7/8´ x 1/8´ - inclusive acessórios de fixação</t>
  </si>
  <si>
    <t>Conector com rabicho e porca em latão para cabo de 16 a 35 mm²</t>
  </si>
  <si>
    <t>Sinalizador visual para advertência</t>
  </si>
  <si>
    <t>Sinalizador audio-visual para advertência</t>
  </si>
  <si>
    <t>Suporte para fixação de fita de alumínio 7/8´ x 1/8´  e/ou cabo de cobre nú, com base ondulada</t>
  </si>
  <si>
    <t>Suporte para fixação de fita de alumínio 7/8´ x 1/8´ , com base plana</t>
  </si>
  <si>
    <t>Fita perfurada em latão niquelado, de 20 x 1,2 mm, com furos de 7 mm</t>
  </si>
  <si>
    <t>Tela equipotencial em aço inoxidável, largura de 610 mm, espessura de 2,5 mm</t>
  </si>
  <si>
    <t>Cordoalha flexível `Jumpers´ de 25 x 235 mm, com 4 furos de 11 mm</t>
  </si>
  <si>
    <t>Cordoalha flexível `Jumpers´ de 25 x 300 mm, com 4 furos de 11 mm</t>
  </si>
  <si>
    <t>Terminal estanhado com 1 furo e 1 compressão - 16 mm²</t>
  </si>
  <si>
    <t>Terminal estanhado com 1 furo e 1 compressão - 35 mm²</t>
  </si>
  <si>
    <t>Terminal estanhado com 1 furo e 1 compressão - 50 mm²</t>
  </si>
  <si>
    <t>Terminal estanhado com 2 furos e 1 compressão - 16 mm²</t>
  </si>
  <si>
    <t>Terminal estanhado com 2 furos e 1 compressão - 35 mm²</t>
  </si>
  <si>
    <t>Terminal estanhado com 2 furos e 1 compressão - 50 mm²</t>
  </si>
  <si>
    <t>Conector tipo  ´X´ para aterramento de telas, acabamento estanhado, para cabo 16 - 50 mm²</t>
  </si>
  <si>
    <t>Tampão / tampa em ferro fundido de 300 x 300 mm</t>
  </si>
  <si>
    <t>Malha fechada pré-fabricada em fio de cobre de 16mm e mesch 30 x 30cm para aterramento</t>
  </si>
  <si>
    <t>Tampa em ferro fundido circular reforçada, com diâmetro de 300 mm, com boca de visita quadrada articulada</t>
  </si>
  <si>
    <t>Solda exotérmica conexão cabo-cabo horizontal em X, bitola do cabo de 16-16mm² a 35-35mm²</t>
  </si>
  <si>
    <t>Solda exotérmica conexão cabo-cabo horizontal em X, bitola do cabo de 50-25mm² a 95-50mm²</t>
  </si>
  <si>
    <t>Solda exotérmica conexão cabo-cabo horizontal em X, bitola do cabo de 95-70mm² a 95-95mm²</t>
  </si>
  <si>
    <t>Solda exotérmica conexão cabo-cabo horizontal em X sobreposto, bitola do cabo de 16-16mm² a 25-25mm²</t>
  </si>
  <si>
    <t>Solda exotérmica conexão cabo-cabo horizontal em X sobreposto, bitola do cabo de 35-35mm² a 50-35mm²</t>
  </si>
  <si>
    <t>Solda exotérmica conexão cabo-cabo horizontal em X sobreposto, bitola do cabo de 50-50mm² a 95-50mm²</t>
  </si>
  <si>
    <t>Solda exotérmica conexão cabo-cabo horizontal em X sobreposto, bitola do cabo de 95-95mm²</t>
  </si>
  <si>
    <t>Solda exotérmica conexão cabo-cabo horizontal em T, bitola do cabo de 16-16mm² a 50-35mm², 70-35mm² e 95-35mm²</t>
  </si>
  <si>
    <t>Solda exotérmica conexão cabo-cabo horizontal em T, bitola do cabo de 50-50mm² a 95-50mm²</t>
  </si>
  <si>
    <t>Solda exotérmica conexão cabo-cabo horizontal reto, bitola do cabo de 16mm² a 70mm²</t>
  </si>
  <si>
    <t>Solda exotérmica conexão cabo-cabo horizontal reto, bitola do cabo de 95mm²</t>
  </si>
  <si>
    <t>Solda exotérmica conexão cabo-haste em X sobreposto, bitola do cabo de 35mm² a 50mm² para haste de 5/8 e 3/4</t>
  </si>
  <si>
    <t>Solda exotérmica conexão cabo-haste em X sobreposto, bitola do cabo de 70mm² a 95mm² para haste de 5/8 e 3/4</t>
  </si>
  <si>
    <t>Solda exotérmica conexão cabo-haste em T, bitola do cabo de 35mm² para haste de 5/8 e 3/4</t>
  </si>
  <si>
    <t>Solda exotérmica conexão cabo-haste em T, bitola do cabo de 50mm² a 95mm² para haste de 5/8 e 3/4</t>
  </si>
  <si>
    <t>Solda exotérmica conexão cabo-haste na lateral, bitola do cabo de 25mm² a 70mm² para haste de 5/8 e 3/4</t>
  </si>
  <si>
    <t>Solda exotérmica conexão cabo-haste no topo, bitola do cabo de 25mm² a 35mm² para haste de 5/8</t>
  </si>
  <si>
    <t>Solda exotérmica conexão cabo-haste no topo, bitola do cabo de 50mm² a 95mm² para haste de 5/8 e 3/4</t>
  </si>
  <si>
    <t>Solda exotérmica conexão cabo-ferro de construção com cabo paralelo, bitola do cabo de 35mm² para haste de 5/8 e 3/4</t>
  </si>
  <si>
    <t>Solda exotérmica conexão cabo-ferro de construção com cabo paralelo, bitola do cabo de 50mm² a 70mm² para haste de 5/8 e 3/4</t>
  </si>
  <si>
    <t>Solda exotérmica conexão cabo-ferro de construção com cabo em X sobreposto, bitola do cabo de 35mm² a 70mm² para haste de 5/8</t>
  </si>
  <si>
    <t>Solda exotérmica conexão cabo-ferro de construção com cabo em X sobreposto, bitola do cabo de 35mm² a 70mm² para haste de 3/8</t>
  </si>
  <si>
    <t>Solda exotérmica conexão cabo-terminal com duas fixações, bitola do cabo de 25mm² a 50mm² para terminal 3x25</t>
  </si>
  <si>
    <t>Solda exotérmica conexão cabo-superfície de aço, bitola do cabo de 16mm² a 35mm²</t>
  </si>
  <si>
    <t>Solda exotérmica conexão cabo-superfície de aço, bitola do cabo de 50mm² a 95mm²</t>
  </si>
  <si>
    <t>Bebedouros</t>
  </si>
  <si>
    <t>Bebedouro elétrico de pressão em aço inoxidável, capacidade 4 l/h - simples</t>
  </si>
  <si>
    <t>Bebedouro elétrico de pressão em aço inoxidável, capacidade 4 l/h - conjugado</t>
  </si>
  <si>
    <t>Chuveiros</t>
  </si>
  <si>
    <t>Chuveiro frio em PVC, diâmetro de 10 cm</t>
  </si>
  <si>
    <t>Chuveiro, com válvula de acionamento, antivandalismo, DN= 3/4´</t>
  </si>
  <si>
    <t>Chuveiro elétrico de 6500W/220V com resistência blindada</t>
  </si>
  <si>
    <t>Chuveiro com jato regulável em metal com acabamento cromado</t>
  </si>
  <si>
    <t>Chuveiro frio em PVC, diâmetro de 10 cm, com registro e tubo de ligação acoplados</t>
  </si>
  <si>
    <t>Chuveiro frio em PVC, diâmetro de 15 cm, com registro e tubo de ligação acoplados</t>
  </si>
  <si>
    <t>Chuveiro elétrico de 5500 W / 220 V em PVC</t>
  </si>
  <si>
    <t>Chuveiro lava-olhos, acionamento manual, tubulação em ferro galvanizado com pintura epóxi cor verde</t>
  </si>
  <si>
    <t>Chuveiro elétrico de 7.500 W - 220 V, com resistência blindada</t>
  </si>
  <si>
    <t>Ducha multitemperaturas, com regulagem de inclinação, de 7.500 W - 220 V</t>
  </si>
  <si>
    <t>Aquecedores</t>
  </si>
  <si>
    <t>Aquecedor a gás de acumulação, capacidade 300 l</t>
  </si>
  <si>
    <t>Aquecedor a gás de acumulação, capacidade 500 l</t>
  </si>
  <si>
    <t>Aquecedor de passagem elétrico individual, baixa pressão, 5.100 W / 127 V ou 5.200 W / 220 V</t>
  </si>
  <si>
    <t>Sistema de aquecimento de passagem a gás com sistema misturador para abastecimento de até 08 duchas</t>
  </si>
  <si>
    <t>Sistema de aquecimento de passagem a gás com sistema misturador para abastecimento de até 16 duchas</t>
  </si>
  <si>
    <t>Sistema de aquecimento de passagem a gás com sistema misturador para abastecimento de até 24 duchas</t>
  </si>
  <si>
    <t>Coletor em alumínio para sistema de aquecimento solar com área coletora até 1,60m²</t>
  </si>
  <si>
    <t>Coletor em alumínio para sistema de aquecimento solar com área coletora até 2,00m²</t>
  </si>
  <si>
    <t>Reservatório térmico horizontal em aço inoxidável AISI 304, capacidade de 500 litros</t>
  </si>
  <si>
    <t>Torneiras elétricas</t>
  </si>
  <si>
    <t>Torneira elétrica</t>
  </si>
  <si>
    <t>Exaustor, ventilador e circulador de ar</t>
  </si>
  <si>
    <t>Exaustor elétrico tipo domiciliar</t>
  </si>
  <si>
    <t>Exaustor elétrico em plástico, vazão 190m³/h</t>
  </si>
  <si>
    <t>Emissores de som</t>
  </si>
  <si>
    <t>Cigarra de embutir 50/60HZ até 127V, com placa</t>
  </si>
  <si>
    <t>Aparelho condicionador de ar</t>
  </si>
  <si>
    <t>Ar condicionado a frio, tipo split parede, capacidade de 24.000 BTU/h</t>
  </si>
  <si>
    <t>Ar condicionado a frio, tipo split parede, capacidade de 30.000 BTU/h</t>
  </si>
  <si>
    <t>Ar condicionado a frio, tipo split parede, capacidade de 12.000 BTU/h</t>
  </si>
  <si>
    <t>Ar condicionado a frio, tipo split parede, capacidade de 18.000 BTU/h</t>
  </si>
  <si>
    <t>Ar condicionado a frio, tipo split piso teto, capacidade de 18.000 BTU/h</t>
  </si>
  <si>
    <t>Ar condicionado a frio, tipo split cassete, capacidade de 18.000 BTU/h</t>
  </si>
  <si>
    <t>Ar condicionado a frio, tipo split cassete, capacidade de 24.000 BTU/h</t>
  </si>
  <si>
    <t>Ar condicionado a frio, tipo split cassete, capacidade de 36.000 BTU/h</t>
  </si>
  <si>
    <t>Ar condicionado a frio, tipo split piso teto, capacidade de 24.000 BTU/h</t>
  </si>
  <si>
    <t>Ar condicionado a frio, tipo split piso teto, capacidade de 36.000 BTU/h</t>
  </si>
  <si>
    <t>Bombas centrífugas - uso geral</t>
  </si>
  <si>
    <t>Conjunto motor-bomba (centrífuga) 1,5 cv multiestágio, Hman= 20 a 35 mca, Q= 7,1 a 4,5 m³/h</t>
  </si>
  <si>
    <t>Conjunto motor-bomba (centrífuga) 10 cv monoestágio, Hman= 24 a 36 mca,Q= 53 a 45 m³/h</t>
  </si>
  <si>
    <t>Conjunto motor-bomba (centrífuga) 3 cv multiestágio, Hman= 35 a 60 mca, Q= 7,8 a 5,8 m³/h</t>
  </si>
  <si>
    <t>Conjunto motor-bomba (centrífuga) 20 cv monoestágio, Hman= 40 a 70 mca, Q= 76 a 28 m³/h</t>
  </si>
  <si>
    <t>Conjunto motor-bomba (centrífuga) 5 cv monoestágio, Hmam= 14 a 26 mca,Q= 56 a 30 m³/h</t>
  </si>
  <si>
    <t>Conjunto motor-bomba (centrífuga) 3/4 cv monoestágio, Hman= 10 a 16 mca, Q= 12,7 a 8 m³/h</t>
  </si>
  <si>
    <t>Conjunto motor-bomba (centrífuga) 3 cv multiestágio, Hman= 30 a 45 mca, Q= 12,4 a 8,4 m³/h</t>
  </si>
  <si>
    <t>Conjunto motor-bomba (centrífuga) 2 cv multiestágio, Hman= 30 a 70 mca, Q= 7,9 a 4,9 m³/h</t>
  </si>
  <si>
    <t>Conjunto motor-bomba (centrífuga) 60 cv monoestágio, Hman= 90 a 125 mca, Q= 115 a 50 m³/h</t>
  </si>
  <si>
    <t>Conjunto motor-bomba (centrífuga) 2 cv monoestágio, Hman= 12 a 27 mca, Q= 25 a 8 m³/h</t>
  </si>
  <si>
    <t>Conjunto motor-bomba (centrífuga) 15 cv monoestágio, Hman= 30 a 60 mca, Q= 82 a 20 m³/h</t>
  </si>
  <si>
    <t>Conjunto motor-bomba (centrífuga) 5 cv monoestágio, Hman= 24 a 33 mca, Q= 41,6 a 35,2 m³/h</t>
  </si>
  <si>
    <t>Conjunto motor-bomba (centrífuga) 1/2 cv monoestágio, Hman= 12 a 20 mca, Q= 8,3 a 5,2 m³/h</t>
  </si>
  <si>
    <t>Conjunto motor-bomba (centrífuga) 30 cv monoestágio, Hman= 20 a 50 mca, Q= 197 a 112 m³/h</t>
  </si>
  <si>
    <t>Conjunto motor-bomba (centrífuga) 7,5 cv multiestágio, Hman= 30 a 80 mca, Q= 21,6 a 12,0 m³/h</t>
  </si>
  <si>
    <t>Conjunto motor-bomba centrífuga, potência de 5 cv multiestágio, Hman= 25 a 50 mca, Q= 21,0 a 13,3 m³/h</t>
  </si>
  <si>
    <t>Conjunto motor-bomba (centrífuga), 0,5 cv, monoestágio, Hman= 10 a 20 mca, Q= 7,5 a 1,5 m³/h</t>
  </si>
  <si>
    <t>Conjunto motor-bomba (centrífuga), monoestágio, 0,5 cv, trifásica, Hman= 9 a 21 mca, Q= 8,3 a 2,0 m³/h</t>
  </si>
  <si>
    <t>Conjunto motor-bomba (centrífuga) 30 cv, monoestágio trifásica, Hman= 70 a 94 mca, Q= 34,80 a 61,7 m³/h</t>
  </si>
  <si>
    <t>Conjunto motor-bomba (centrífuga) 20 cv, monoestágio trifásica, Hman= 62 a 90 mca, Q= 21,1 a 43,8 m³/h</t>
  </si>
  <si>
    <t>Conjunto motor-bomba (centrífuga) 1cv, monoestágio trifásica, Hman= 8 a 25 mca e Q= 11 a 1,50 m³/h</t>
  </si>
  <si>
    <t>Conjunto motor-bomba (centrífuga) 1cv, multiestágio trifásica, Hman= 70 a 115 mca e Q= 1,0 a 1,6 m³/h</t>
  </si>
  <si>
    <t>Conjunto motor-bomba (centrífuga) 40cv, monoestágio trifásico, Hman= 45 a 75 mca e Q= 120 a 75 m³/h</t>
  </si>
  <si>
    <t>Conjunto motor-bomba (centrífuga) 50cv, monoestágio trifásico, Hman= 61 a 81 mca e Q= 170 a 80 m³/h</t>
  </si>
  <si>
    <t>Bombas submersíveis</t>
  </si>
  <si>
    <t>Conjunto motor-bomba submersível para poço profundo de 6´, Q= 5 a 13 m³/h, Hman= 122 a 65,5 mca, até 6 HP</t>
  </si>
  <si>
    <t>Conjunto motor-bomba submersível para poço profundo de 6´, Q= 5 a 13 m³/h, Hman= 170 a 91,5 mca, 8 HP</t>
  </si>
  <si>
    <t>Conjunto motor-bomba submersível para poço profundo de 6´, Q= 5 a 13 m³/h, Hman = 218 a 120 mca, 10 HP</t>
  </si>
  <si>
    <t>Conjunto motor-bomba submersível para poço profundo de 6´, Q= 5 a 13 m³/h, Hman= 279 a 153 mca, 12,5 HP</t>
  </si>
  <si>
    <t>Conjunto motor-bomba submersível para poço profundo de 6´, Q= 10 a 20m³/h, Hman= 80 a 48 mca, até 6 HP</t>
  </si>
  <si>
    <t>Conjunto motor-bomba submersível para poço profundo de 6´, Q= 10 a 20m³/h, Hman= 108 a 64,5 mca, 8 HP</t>
  </si>
  <si>
    <t>Conjunto motor-bomba submersível para poço profundo de 6´, Q= 10 a 20m³/h, Hman= 136 a 81 mca, 10 HP</t>
  </si>
  <si>
    <t>Conjunto motor-bomba submersível para poço profundo de 6´, Q= 10 a 20m³/h, Hman= 164 a 98 mca, 12,5 HP</t>
  </si>
  <si>
    <t>Conjunto motor-bomba submersível para poço profundo de 6´, Q= 10 a 20m³/h, Hman= 206 a 127 mca, 15 HP</t>
  </si>
  <si>
    <t>Conjunto motor-bomba submersível para poço profundo de 6´, Q= 10 a 20m³/h, Hman= 274 a 170 mca, 20 HP</t>
  </si>
  <si>
    <t>Conjunto motor-bomba submersível para poço profundo de 6´, Q= 20 a 34m³/h, Hman= 56,5 a 32 mca, até 8 HP</t>
  </si>
  <si>
    <t>Conjunto motor-bomba submersível para poço profundo de 6´, Q= 20 a 34m³/h, Hman= 69 a 40 mca, 10 HP</t>
  </si>
  <si>
    <t>Conjunto motor-bomba submersível para poço profundo de 6´, Q= 20 a 34m³/h, Hman= 92,5 a 53 mca, 12,5 HP</t>
  </si>
  <si>
    <t>Conjunto motor-bomba submersível para poço profundo de 6´, Q= 20 a 34m³/h, Hman= 116 a 67 mca, 15 HP</t>
  </si>
  <si>
    <t>Conjunto motor-bomba submersível para poço profundo de 6´, Q= 20 a 34m³/h, Hman= 152 a 88 mca, 20 HP</t>
  </si>
  <si>
    <t>Conjunto motor-bomba submersível para poço profundo de 6´, Q= 20 a 34m³/h, Hman= 194 a 111 mca, 25 HP</t>
  </si>
  <si>
    <t>Conjunto motor-bomba submersível para poço profundo de 6´ e 8´, Q= 28a 50 m³/h, Hman= 241 a 132 mca, 40 HP</t>
  </si>
  <si>
    <t>Conjunto motor-bomba submersível para poço profundo de 6´ e 8´, Q= 28a 50 m³/h, Hman= 215 a 117 mca, 35 HP</t>
  </si>
  <si>
    <t>Conjunto motor-bomba submersível para poço profundo de 6´ e 8´, Q= 45a 80 m³/h, Hman= 107 a 67,5 mca, 30 HP</t>
  </si>
  <si>
    <t>Conjunto motor-bomba submersível vertical para esgoto, Q= 5 a 20 m³/h, Hman= 42 a 25 mca, potência de 6,25 cv, 4,6 kW, 60 Hz</t>
  </si>
  <si>
    <t>Conjunto motor-bomba submersível vertical para esgoto, Q= 4,8 a 25,8 m³/h, Hmam= 19 a 5 mca, potência 1 cv, diâmetro de sólidos até 20mm</t>
  </si>
  <si>
    <t>Conjunto motor-bomba submersível vertical para esgoto, Q= 4,6 a 57,2 m³/h, Hman= 13 a 4 mca, potência 2 a 3,5 cv, diâmetro de sólidos até 50mm</t>
  </si>
  <si>
    <t>Conjunto motor-bomba submersível vertical para esgoto, Q= 5 a 19 m³/h, Hman= 63 a 45 mca, potência 13,6 cv, 10 kW, 60 Hz</t>
  </si>
  <si>
    <t>Conjunto motor-bomba submersível vertical para águas residuais, Q= 2 a16 m³/h, Hman= 12 a 2 mca, potência de 0,5 cv</t>
  </si>
  <si>
    <t>Conjunto motor-bomba submersível vertical para águas residuais, Q= 3 a 20 m³/h, Hman= 13 a 5 mca, potência de 1 cv</t>
  </si>
  <si>
    <t>Conjunto motor-bomba submersível vertical para águas residuais, Q= 10 a 50 m³/h, Hman= 22 a 4 mca, potência 4 cv</t>
  </si>
  <si>
    <t>Conjunto motor-bomba submersível vertical para águas residuais, Q= 8 a 45 m³/h, Hman= 10,5 a 3,5 mca, potência 1,5 cv</t>
  </si>
  <si>
    <t>Conjunto motor-bomba submersível vertical para esgoto, Q= 3,4 a 86,3 m³/h, Hman= 14 a 5 mca, potência 5 cv</t>
  </si>
  <si>
    <t>Conjunto motor-bomba submersível vertical para esgoto, Q= 9,1 a 113,6m³/h, Hman= 20 a 15 mca, potência 10 cv</t>
  </si>
  <si>
    <t>Conjunto motor-bomba submersível vertical para esgoto, Q=9,3 a 69,0 m³/h, Hman=15 a 7 mca, potência 3cv, diâmetro de sólidos 50/65mm</t>
  </si>
  <si>
    <t>Conjunto motor-bomba submersível vertical para esgoto, Q= 40 m³/h, Hman= 40 mca, diâmetro de sólidos até 50 mm</t>
  </si>
  <si>
    <t>Caixa de passagem para condicionamento de ar tipo Split, com saída de dreno único na vertical - 39 x 22 x 6 cm</t>
  </si>
  <si>
    <t>Bomba de remoção de condensados para condicionadores de ar</t>
  </si>
  <si>
    <t>Controlador de temperatura analógico</t>
  </si>
  <si>
    <t>Bomba de circulação para água quente</t>
  </si>
  <si>
    <t>Bancadas, aparelhos, louças e metais</t>
  </si>
  <si>
    <t>Aparelhos e louças</t>
  </si>
  <si>
    <t>Bacia turca de louça - 6 litros</t>
  </si>
  <si>
    <t>Bacia sifonada com caixa de descarga acoplada e tampa - infantil</t>
  </si>
  <si>
    <t>Bacia sifonada de louça sem tampa - 6 litros</t>
  </si>
  <si>
    <t>Bacia sifonada de louça sem tampa com saída horizontal - 6 litros</t>
  </si>
  <si>
    <t>Lavatório de louça sem coluna</t>
  </si>
  <si>
    <t>Lavatório de louça com coluna</t>
  </si>
  <si>
    <t>Lavatório de louça pequeno com coluna suspensa - linha especial</t>
  </si>
  <si>
    <t>Lavatório em polipropileno</t>
  </si>
  <si>
    <t>Mictório de louça sifonado auto aspirante</t>
  </si>
  <si>
    <t>Lavatório em louça com coluna suspensa</t>
  </si>
  <si>
    <t>Cuba de louça de embutir oval</t>
  </si>
  <si>
    <t>Tanque de louça com coluna de 30 litros</t>
  </si>
  <si>
    <t>Tanque simples em concreto pré-moldado</t>
  </si>
  <si>
    <t>Tanque de louça com coluna de 18 a 20 litros</t>
  </si>
  <si>
    <t>Tanque em granito sintético, linha comercial - sem pertences</t>
  </si>
  <si>
    <t>Pia com cuba simples em mármore sintético, linha comercial - sem pertences</t>
  </si>
  <si>
    <t>Lavatório de louça para canto, sem coluna - sem pertences</t>
  </si>
  <si>
    <t>Caixa de descarga em plástico, de sobrepor, capacidade 6 litros com engate flexível</t>
  </si>
  <si>
    <t>Caixa de descarga em plástico, de sobrepor, capacidade 9 litros com engate flexível</t>
  </si>
  <si>
    <t>Tanque de louça sem coluna de 30 litros</t>
  </si>
  <si>
    <t>Banheira para imersão sem hidromassagem</t>
  </si>
  <si>
    <t>Bacia sifonada com caixa de descarga acoplada sem tampa - 6 litros</t>
  </si>
  <si>
    <t>Cuba de louça de embutir redonda</t>
  </si>
  <si>
    <t>Bancadas e tampos</t>
  </si>
  <si>
    <t>Tampo/bancada em granito com espessura de 3 cm</t>
  </si>
  <si>
    <t>Tampo/bancada em mármore nacional espessura de 3 cm</t>
  </si>
  <si>
    <t>Tampo/bancada em concreto armado, revestido em aço inoxidável fosco polido</t>
  </si>
  <si>
    <t>Tampo/bancada em granito amêndoa, espessura de 2 cm</t>
  </si>
  <si>
    <t>Acessórios e metais</t>
  </si>
  <si>
    <t>Dispenser toalheiro em ABS e policarbonato para bobina de 20cm x 200m, com alavanca</t>
  </si>
  <si>
    <t>Meia saboneteira de louça de embutir</t>
  </si>
  <si>
    <t>Dispenser toalheiro metálico esmaltado para bobina de 25cm x 50m, sem alavanca</t>
  </si>
  <si>
    <t>Saboneteira de louça de embutir</t>
  </si>
  <si>
    <t>Dispenser papel higienico em ABS para rolão 300/600m, com visor</t>
  </si>
  <si>
    <t>Porta-papel de louça de embutir</t>
  </si>
  <si>
    <t>Cabide cromado para banheiro</t>
  </si>
  <si>
    <t>Cabide de louça com 2 ganchos</t>
  </si>
  <si>
    <t>Porta-toalhas com bastão</t>
  </si>
  <si>
    <t>Saboneteira tipo dispenser, para refil de 800 ml</t>
  </si>
  <si>
    <t>Dispenser toalheiro em ABS, para folhas</t>
  </si>
  <si>
    <t>Ducha cromada simples</t>
  </si>
  <si>
    <t>Armário, para lavatório, de embutir plástico</t>
  </si>
  <si>
    <t>Torneira volante tipo alavanca</t>
  </si>
  <si>
    <t>Torneira de mesa para lavatório, acionamento hidromecânico, com registro integrado regulador de vazão, em latão cromado, DN= 1/2´</t>
  </si>
  <si>
    <t>Ducha higiênica cromada</t>
  </si>
  <si>
    <t>Torneira curta com rosca para uso geral, em latão fundido sem acabamento, DN= 1/2´</t>
  </si>
  <si>
    <t>Torneira curta com rosca para uso geral, em latão fundido sem acabamento, DN= 3/4´</t>
  </si>
  <si>
    <t>Torneira curta com rosca para uso geral, em latão fundido cromado, DN= 1/2´</t>
  </si>
  <si>
    <t>Torneira curta com rosca para uso geral, em latão fundido cromado, DN= 3/4´</t>
  </si>
  <si>
    <t>Torneira curta sem rosca para uso geral, em latão fundido sem acabamento, DN= 1/2´</t>
  </si>
  <si>
    <t>Torneira curta sem rosca para uso geral, em latão fundido sem acabamento, DN= 3/4´</t>
  </si>
  <si>
    <t>Torneira curta sem rosca para uso geral, em latão fundido cromado, DN= 1/2´</t>
  </si>
  <si>
    <t>Torneira curta sem rosca para uso geral, em latão fundido cromado, DN= 3/4´</t>
  </si>
  <si>
    <t>Torneira longa sem rosca para uso geral, em latão fundido cromado</t>
  </si>
  <si>
    <t>Torneira para lavatório em latão fundido cromado, DN= 1/2´</t>
  </si>
  <si>
    <t>Torneira de parede para pia com bica móvel e arejador, em latão fundido cromado</t>
  </si>
  <si>
    <t>Torneira de mesa para lavatório compacta, acionamento hidromecânico, em latão cromado, DN= 1/2´</t>
  </si>
  <si>
    <t>Aparelho misturador de parede, para pia, com bica móvel, acabamento cromado</t>
  </si>
  <si>
    <t>Torneira de parede antivandalismo, DN= 3/4´</t>
  </si>
  <si>
    <t>Torneira de mesa para pia com bica móvel e arejador em latão fundido cromado</t>
  </si>
  <si>
    <t>Torneira de acionamento restrito, em latão cromado, DN= 1/2´ ou 3/4´</t>
  </si>
  <si>
    <t>Torneira de parede acionamento hidromecânico, em latão cromado, DN= 1/2´ ou 3/4´</t>
  </si>
  <si>
    <t>Caixa de descarga de embutir, acionamento frontal, completa</t>
  </si>
  <si>
    <t>Torneira de parede em ABS, DN 1/2´ ou 3/4´, 10cm</t>
  </si>
  <si>
    <t>Torneira de parede em ABS, DN 1/2´ ou 3/4´, 15cm</t>
  </si>
  <si>
    <t>Torneira de mesa para lavatório, acionamento hidromecânico com alavanca, registro integrado regulador de vazão, em latão cromado, DN= 1/2´</t>
  </si>
  <si>
    <t>Ducha higiênica branca de PVC</t>
  </si>
  <si>
    <t>Secador de mãos em ABS</t>
  </si>
  <si>
    <t>Ducha higiênica com registro</t>
  </si>
  <si>
    <t>Desviador para ducha elétrica</t>
  </si>
  <si>
    <t>Válvula dupla para bancada de laboratório, uso em GLP, com bico para mangueira - diâmetro de 1/4´ a 1/2´</t>
  </si>
  <si>
    <t>Válvula para cuba de laboratório, com nuca giratória e bico escalonado para mangueira</t>
  </si>
  <si>
    <t>Prateleiras</t>
  </si>
  <si>
    <t>Prateleira em granito com espessura de 2 cm</t>
  </si>
  <si>
    <t>Prateleira em granilite</t>
  </si>
  <si>
    <t>Prateleira em granito com espessura de 3 cm</t>
  </si>
  <si>
    <t>Aparelhos de aço inoxidável</t>
  </si>
  <si>
    <t>Lavatório coletivo em aço inoxidável</t>
  </si>
  <si>
    <t>Mictório coletivo em aço inoxidável</t>
  </si>
  <si>
    <t>Tanque em aço inoxidável</t>
  </si>
  <si>
    <t>Cuba em aço inoxidável simples de 300 x 140mm</t>
  </si>
  <si>
    <t>Cuba em aço inoxidável simples de 400x340x140mm</t>
  </si>
  <si>
    <t>Cuba em aço inoxidável simples de 465x300x140mm</t>
  </si>
  <si>
    <t>Cuba em aço inoxidável simples de 560x330x140mm</t>
  </si>
  <si>
    <t>Cuba em aço inoxidável simples de 500x400x400mm</t>
  </si>
  <si>
    <t>Cuba em aço inoxidável simples de 500x400x200mm</t>
  </si>
  <si>
    <t>Cuba em aço inoxidável simples de 500x400x300mm</t>
  </si>
  <si>
    <t>Cuba em aço inoxidável simples de 600x500x300mm</t>
  </si>
  <si>
    <t>Cuba em aço inoxidável simples de 600x500x350mm</t>
  </si>
  <si>
    <t>Cuba em aço inoxidável simples de 600x400x400mm</t>
  </si>
  <si>
    <t>Cuba em aço inoxidável simples de 600x500x400mm</t>
  </si>
  <si>
    <t>Cuba em aço inoxidável simples de 700x600x450mm</t>
  </si>
  <si>
    <t>Cuba em aço inoxidável simples de 1400x900x500mm</t>
  </si>
  <si>
    <t>Cuba em aço inoxidável simples de 1100x600x400mm</t>
  </si>
  <si>
    <t>Cuba em aço inoxidável dupla de 715x400x140mm</t>
  </si>
  <si>
    <t>Cuba em aço inoxidável dupla de 835x340x140mm</t>
  </si>
  <si>
    <t>Cuba em aço inoxidável dupla de 1020x400x250mm</t>
  </si>
  <si>
    <t>Sifão plástico sanfonado universal de 1´</t>
  </si>
  <si>
    <t>Recolocação de torneiras</t>
  </si>
  <si>
    <t>Recolocação de sifões</t>
  </si>
  <si>
    <t>Recolocação de aparelhos sanitários, incluindo acessórios</t>
  </si>
  <si>
    <t>Recolocação de caixas de descarga de sobrepor</t>
  </si>
  <si>
    <t>Engate flexível metálico DN= 1/2´</t>
  </si>
  <si>
    <t>Engate flexível de PVC DN= 1/2´</t>
  </si>
  <si>
    <t>Canopla para válvula de descarga</t>
  </si>
  <si>
    <t>Tubo de ligação para mictório, DN= 1/2´</t>
  </si>
  <si>
    <t>Acabamento cromado para registro</t>
  </si>
  <si>
    <t>Botão para válvula de descarga</t>
  </si>
  <si>
    <t>Reparo para válvula de descarga</t>
  </si>
  <si>
    <t>Sifão de metal cromado de 1 1/2´ x 2´</t>
  </si>
  <si>
    <t>Sifão de metal cromado de 1´ x 1 1/2´</t>
  </si>
  <si>
    <t>Tubo de ligação para sanitário</t>
  </si>
  <si>
    <t>Sifão plástico com copo, rígido, de 1´ x 1 1/2´</t>
  </si>
  <si>
    <t>Sifão plástico com copo, rígido, de 1 1/4´ x 2´</t>
  </si>
  <si>
    <t>Tampa de plástico para bacia sanitária</t>
  </si>
  <si>
    <t>Bolsa para bacia sanitária</t>
  </si>
  <si>
    <t>Filtro de pressão em ABS, para 360 l/h</t>
  </si>
  <si>
    <t>Válvula de PVC para lavatório</t>
  </si>
  <si>
    <t>Válvula americana</t>
  </si>
  <si>
    <t>Válvula de metal cromado de 1 1/2´</t>
  </si>
  <si>
    <t>Válvula de metal cromado de 1´</t>
  </si>
  <si>
    <t>Espargidor de ferro galvanizado para mictório tipo cocho</t>
  </si>
  <si>
    <t>Entrada de água, incêndio e gás</t>
  </si>
  <si>
    <t>Entrada de água</t>
  </si>
  <si>
    <t>Entrada completa de água com abrigo e registro de gaveta, DN= 3/4´</t>
  </si>
  <si>
    <t>Entrada completa de água com abrigo e registro de gaveta, DN= 3´</t>
  </si>
  <si>
    <t>Entrada completa de água com abrigo e registro de gaveta, DN= 1´</t>
  </si>
  <si>
    <t>Entrada completa de água com abrigo e registro de gaveta, DN= 2´</t>
  </si>
  <si>
    <t>Entrada completa de água com abrigo e registro de gaveta, DN= 1 1/2´</t>
  </si>
  <si>
    <t>Entrada completa de água com abrigo e registro de gaveta, DN= 2 1/2´</t>
  </si>
  <si>
    <t>Entrada de gás</t>
  </si>
  <si>
    <t>Entrada completa de gás GLP domiciliar com 2 bujões de 13 kg</t>
  </si>
  <si>
    <t>Entrada completa de gás GLP com 2 cilíndros de 45 kg</t>
  </si>
  <si>
    <t>Entrada completa de gás GLP com 4 cilíndros de 45 kg</t>
  </si>
  <si>
    <t>Entrada completa de gás GLP com 6 cilíndros de 45 kg</t>
  </si>
  <si>
    <t>Abrigo padronizado de gás GLP encanado</t>
  </si>
  <si>
    <t>Hidrômetro</t>
  </si>
  <si>
    <t>Hidrômetro em ferro fundido, diâmetro 50 mm (2´)</t>
  </si>
  <si>
    <t>Hidrômetro em ferro fundido, diâmetro 80 mm (3´)</t>
  </si>
  <si>
    <t>Hidrômetro em ferro fundido, diâmetro 100 mm (4´)</t>
  </si>
  <si>
    <t>Hidrômetro em ferro fundido, diâmetro 150 mm (6´)</t>
  </si>
  <si>
    <t>Hidrômetro em bronze, diâmetro de 25 mm (1´)</t>
  </si>
  <si>
    <t>Hidrômetro em bronze, diâmetro de 40 mm (1 1/2´)</t>
  </si>
  <si>
    <t>Filtro tipo cesto para hidrômetro de 50 mm (2´)</t>
  </si>
  <si>
    <t>Filtro tipo cesto para hidrômetro de 80 mm (3´)</t>
  </si>
  <si>
    <t>Filtro tipo cesto para hidrômetro de 100 mm (4´)</t>
  </si>
  <si>
    <t>Filtro tipo cesto para hidrômetro de 150 mm (6´)</t>
  </si>
  <si>
    <t>Cilíndro de gás (GLP) de 45 kg, com carga</t>
  </si>
  <si>
    <t>Tubulação e condutores para líquidos e gases</t>
  </si>
  <si>
    <t>Tubulação com conexões em PVC rígido marrom para sistemas prediais de água fria</t>
  </si>
  <si>
    <t>Tubo de PVC rígido soldável marrom, DN= 20 mm, (1/2´), inclusive conexões</t>
  </si>
  <si>
    <t>Tubo de PVC rígido soldável marrom, DN= 25 mm, (3/4´), inclusive conexões</t>
  </si>
  <si>
    <t>Tubo de PVC rígido soldável marrom, DN= 32 mm, (1´), inclusive conexões</t>
  </si>
  <si>
    <t>Tubo de PVC rígido soldável marrom, DN= 40 mm, (1 1/4´), inclusive conexões</t>
  </si>
  <si>
    <t>Tubo de PVC rígido soldável marrom, DN= 50 mm, (1 1/2´), inclusive conexões</t>
  </si>
  <si>
    <t>Tubo de PVC rígido soldável marrom, DN= 60 mm, (2´), inclusive conexões</t>
  </si>
  <si>
    <t>Tubo de PVC rígido soldável marrom, DN= 75 mm, (2 1/2´), inclusive conexões</t>
  </si>
  <si>
    <t>Tubo de PVC rígido soldável marrom, DN= 85 mm, (3´), inclusive conexões</t>
  </si>
  <si>
    <t>Tubo de PVC rígido soldável marrom, DN= 110 mm, (4´), inclusive conexões</t>
  </si>
  <si>
    <t>Tubulação com conexões em PVC rígido branco para esgoto domiciliar</t>
  </si>
  <si>
    <t>Tubo de PVC rígido branco, pontas lisas, soldável, linha esgoto série normal, DN= 40 mm, inclusive conexões</t>
  </si>
  <si>
    <t>Tubo de PVC rígido branco PxB com virola e anel de borracha, linha esgoto série normal, DN= 50 mm, inclusive conexões</t>
  </si>
  <si>
    <t>Tubo de PVC rígido branco PxB com virola e anel de borracha, linha esgoto série normal, DN= 75 mm, inclusive conexões</t>
  </si>
  <si>
    <t>Tubo de PVC rígido branco PxB com virola e anel de borracha, linha esgoto série normal, DN= 100 mm, inclusive conexões</t>
  </si>
  <si>
    <t>Tubulação c/conexões em PVC rígido branco série R - A.P e esgoto domiciliar</t>
  </si>
  <si>
    <t>Tubo de PVC rígido PxB com virola e anel de borracha, linha esgoto série reforçada ´R´, DN= 75 mm, inclusive conexões</t>
  </si>
  <si>
    <t>Tubo de PVC rígido PxB com virola e anel de borracha, linha esgoto série reforçada ´R´, DN= 100 mm, inclusive conexões</t>
  </si>
  <si>
    <t>Tubo de PVC rígido PxB com virola e anel de borracha, linha esgoto série reforçada ´R´. DN= 150 mm, inclusive conexões</t>
  </si>
  <si>
    <t>Tubo de PVC rígido, pontas lisas, soldável, linha esgoto série reforçada ´R´, DN= 40 mm, inclusive conexões</t>
  </si>
  <si>
    <t>Tubo de PVC rígido PxB com virola e anel de borracha, linha esgoto série reforçada ´R´, DN= 50 mm, inclusive conexões</t>
  </si>
  <si>
    <t>Tubulação c/conexões em PVC rígido c/junta elástica - adução e distribuição água</t>
  </si>
  <si>
    <t>Tubo de PVC rígido tipo PBA classe 15, DN= 50mm, (DE= 60mm), inclusive conexões</t>
  </si>
  <si>
    <t>Tubo de PVC rígido tipo PBA classe 15, DN= 75mm, (DE= 85mm), inclusive conexões</t>
  </si>
  <si>
    <t>Tubo de PVC rígido tipo PBA classe 15, DN= 100mm, (DE= 110mm), inclusive conexões</t>
  </si>
  <si>
    <t>Tubo de PVC rígido DEFoFo, DN= 100mm (DE= 118mm), inclusive conexões</t>
  </si>
  <si>
    <t>Tubo de PVC rígido DEFoFo, DN= 150mm (DE= 170mm), inclusive conexões</t>
  </si>
  <si>
    <t>Tubo de PVC rígido DEFoFo, DN= 200mm (DE= 222mm), inclusive conexões</t>
  </si>
  <si>
    <t>Tubo de PVC rígido DEFoFo, DN= 250mm (DE= 274mm), inclusive conexões</t>
  </si>
  <si>
    <t>Tubo de PVC rígido DEFoFo, DN= 300mm (DE= 326mm), inclusive conexões</t>
  </si>
  <si>
    <t>Tubulação c/conexões em PVC rígido com junta elástica - rede de esgoto</t>
  </si>
  <si>
    <t>Tubo PVC rígido, junta elástica, tipo Vinilfort, DN= 100 mm, inclusive conexões</t>
  </si>
  <si>
    <t>Tubo PVC rígido, junta elástica, tipo Vinilfort, DN= 150 mm, inclusive conexões</t>
  </si>
  <si>
    <t>Tubo PVC rígido, junta elástica, tipo Vinilfort, DN= 200 mm, inclusive conexões</t>
  </si>
  <si>
    <t>Tubo PVC rígido, junta elástica, tipo Vinilfort, DN= 250 mm, inclusive conexões</t>
  </si>
  <si>
    <t>Tubo PVC rígido, junta elástica, tipo Vinilfort, DN= 300 mm, inclusive conexões</t>
  </si>
  <si>
    <t>Tubo PVC rígido, junta elástica, tipo Vinilfort, DN= 350 mm, inclusive conexões</t>
  </si>
  <si>
    <t>Tubo PVC rígido, junta elástica, tipo Vinilfort, DN= 400 mm, inclusive conexões</t>
  </si>
  <si>
    <t>Tubulação com conexões em ferro galvanizado</t>
  </si>
  <si>
    <t>Tubo de ferro galvanizado DN= 1/2´, inclusive conexões</t>
  </si>
  <si>
    <t>Tubo de ferro galvanizado DN= 3/4´, inclusive conexões</t>
  </si>
  <si>
    <t>Tubo de ferro galvanizado DN= 1´, inclusive conexões</t>
  </si>
  <si>
    <t>Tubo de ferro galvanizado DN= 1 1/4´, inclusive conexões</t>
  </si>
  <si>
    <t>Tubo de ferro galvanizado DN= 1 1/2´, inclusive conexões</t>
  </si>
  <si>
    <t>Tubo de ferro galvanizado DN= 2´, inclusive conexões</t>
  </si>
  <si>
    <t>Tubo de ferro galvanizado DN= 2 1/2´, inclusive conexões</t>
  </si>
  <si>
    <t>Tubo de ferro galvanizado DN= 3´, inclusive conexões</t>
  </si>
  <si>
    <t>Tubo de ferro galvanizado DN= 4´, inclusive conexões</t>
  </si>
  <si>
    <t>Tubo de ferro galvanizado DN= 6´, inclusive conexões</t>
  </si>
  <si>
    <t>Tubulação com conexões em aço galvanizado classe schedule</t>
  </si>
  <si>
    <t>Tubo aço galvanizado sem costura schedule 40, DN= 3/4´, inclusive conexões</t>
  </si>
  <si>
    <t>Tubo aço galvanizado sem costura schedule 40, DN= 1´, inclusive conexões</t>
  </si>
  <si>
    <t>Tubo aço galvanizado sem costura schedule 40, DN= 1 1/4´, inclusive conexões</t>
  </si>
  <si>
    <t>Tubo aço galvanizado sem costura schedule 40, DN= 1 1/2´, inclusive conexões</t>
  </si>
  <si>
    <t>Tubo aço galvanizado sem costura schedule 40, DN= 2´, inclusive conexões</t>
  </si>
  <si>
    <t>Tubo aço galvanizado sem costura schedule 40, DN= 1/2´, inclusive conexões</t>
  </si>
  <si>
    <t>Tubo aço galvanizado sem costura schedule 40, DN= 2 1/2´, inclusive conexões</t>
  </si>
  <si>
    <t>Tubo aço galvanizado sem costura schedule 40, DN= 3´, inclusive conexões</t>
  </si>
  <si>
    <t>Tubo aço galvanizado sem costura schedule 40, DN= 4´, inclusive conexões</t>
  </si>
  <si>
    <t>Tubo aço galvanizado sem costura schedule 40, DN= 6´, inclusive conexões</t>
  </si>
  <si>
    <t>Conexões e acessórios em ferro fundido, predial e tradicional, esgoto e pluvial</t>
  </si>
  <si>
    <t>Joelho 45° em ferro fundido, linha predial tradicional, DN= 50 mm</t>
  </si>
  <si>
    <t>Joelho 45° em ferro fundido, linha predial tradicional, DN= 75 mm</t>
  </si>
  <si>
    <t>Joelho 45° em ferro fundido, linha predial tradicional, DN= 100 mm</t>
  </si>
  <si>
    <t>Joelho 45° em ferro fundido, linha predial tradicional, DN= 150 mm</t>
  </si>
  <si>
    <t>Joelho 87° 30´ em ferro fundido, linha predial tradicional, DN= 50 mm</t>
  </si>
  <si>
    <t>Joelho 87° 30´ em ferro fundido, linha predial tradicional, DN= 75 mm</t>
  </si>
  <si>
    <t>Joelho 87° 30´ em ferro fundido, linha predial tradicional, DN= 100 mm</t>
  </si>
  <si>
    <t>Joelho 87° 30´ em ferro fundido, linha predial tradicional, DN= 150 mm</t>
  </si>
  <si>
    <t>Luva bolsa e bolsa em ferro fundido, linha predial tradicional, DN= 50 mm</t>
  </si>
  <si>
    <t>Luva bolsa e bolsa em ferro fundido, linha predial tradicional, DN= 75 mm</t>
  </si>
  <si>
    <t>Luva bolsa e bolsa em ferro fundido, linha predial tradicional, DN= 100 mm</t>
  </si>
  <si>
    <t>Luva bolsa e bolsa em ferro fundido, linha predial tradicional, DN= 150 mm</t>
  </si>
  <si>
    <t>Placa cega em ferro fundido, linha predial tradicional, DN= 75 mm</t>
  </si>
  <si>
    <t>Placa cega em ferro fundido, linha predial tradicional, DN= 100 mm</t>
  </si>
  <si>
    <t>Junção 45° em ferro fundido, linha predial tradicional, DN= 50 x 50 mm</t>
  </si>
  <si>
    <t>Junção 45° em ferro fundido, linha predial tradicional, DN= 75 x 50 mm</t>
  </si>
  <si>
    <t>Junção 45° em ferro fundido, linha predial tradicional, DN= 75 x 75 mm</t>
  </si>
  <si>
    <t>Junção 45° em ferro fundido, linha predial tradicional, DN= 100 x 50 mm</t>
  </si>
  <si>
    <t>Junção 45° em ferro fundido, linha predial tradicional, DN= 100 x 75 mm</t>
  </si>
  <si>
    <t>Junção 45° em ferro fundido, linha predial tradicional, DN= 100 x 100 mm</t>
  </si>
  <si>
    <t>Junção 45° em ferro fundido, linha predial tradicional, DN= 150 x 100 mm</t>
  </si>
  <si>
    <t>Junção dupla 45° em ferro fundido, linha predial tradicional, DN= 100 mm</t>
  </si>
  <si>
    <t>Te sanitário 87° 30´ em ferro fundido, linha predial tradicional, DN= 50 x 50 mm</t>
  </si>
  <si>
    <t>Te sanitário 87° 30´ em ferro fundido, linha predial tradicional, DN= 75 x 50 mm</t>
  </si>
  <si>
    <t>Te sanitário 87° 30´ em ferro fundido, linha predial tradicional, DN= 75 x 75 mm</t>
  </si>
  <si>
    <t>Te sanitário 87° 30´ em ferro fundido, linha predial tradicional, DN= 100 x 50 mm</t>
  </si>
  <si>
    <t>Te sanitário 87° 30´ em ferro fundido, linha predial tradicional, DN= 100 x 75 mm</t>
  </si>
  <si>
    <t>Te sanitário 87° 30´ em ferro fundido, linha predial tradicional, DN= 100 x 100 mm</t>
  </si>
  <si>
    <t>Bucha de redução em ferro fundido, linha predial tradicional, DN= 75 x 50 mm</t>
  </si>
  <si>
    <t>Bucha de redução em ferro fundido, linha predial tradicional, DN= 100 x 75 mm</t>
  </si>
  <si>
    <t>Bucha de redução em ferro fundido, linha predial tradicional, DN= 150 x 100 mm</t>
  </si>
  <si>
    <t>Tubulação com conexões em cobre para água quente, gás e vapor</t>
  </si>
  <si>
    <t>Tubo de cobre classe A, DN= 15mm (1/2´), inclusive conexões</t>
  </si>
  <si>
    <t>Tubo de cobre classe A, DN= 22mm (3/4´), inclusive conexões</t>
  </si>
  <si>
    <t>Tubo de cobre classe A, DN= 28mm (1´), inclusive conexões</t>
  </si>
  <si>
    <t>Tubo de cobre classe A, DN= 35mm (1 1/4´), inclusive conexões</t>
  </si>
  <si>
    <t>Tubo de cobre classe A, DN= 42mm (1 1/2´), inclusive conexões</t>
  </si>
  <si>
    <t>Tubo de cobre classe A, DN= 54mm (2´), inclusive conexões</t>
  </si>
  <si>
    <t>Tubo de cobre classe A, DN= 66mm (2 1/2´), inclusive conexões</t>
  </si>
  <si>
    <t>Tubo de cobre classe A, DN= 79mm (3´), inclusive conexões</t>
  </si>
  <si>
    <t>Tubo de cobre classe A, DN= 104mm (4´), inclusive conexões</t>
  </si>
  <si>
    <t>Tubo de cobre classe E, DN= 22mm (3/4´), inclusive conexões</t>
  </si>
  <si>
    <t>Tubo de cobre classe E, DN= 28mm (1´), inclusive conexões</t>
  </si>
  <si>
    <t>Tubo de cobre classe E, DN= 35mm (1 1/4´), inclusive conexões</t>
  </si>
  <si>
    <t>Tubo de cobre classe E, DN= 42mm (1 1/2´), inclusive conexões</t>
  </si>
  <si>
    <t>Tubo de cobre classe E, DN= 54mm (2´), inclusive conexões</t>
  </si>
  <si>
    <t>Tubo de cobre classe E, DN= 66mm (2 1/2´), inclusive conexões</t>
  </si>
  <si>
    <t>Tubulação em concreto para rede de águas pluviais</t>
  </si>
  <si>
    <t>Tubo de concreto (PS-1), DN= 300mm</t>
  </si>
  <si>
    <t>Tubo de concreto (PS-1), DN= 400mm</t>
  </si>
  <si>
    <t>Tubo de concreto (PS-1), DN= 500mm</t>
  </si>
  <si>
    <t>Tubo de concreto (PS-1), DN= 600mm</t>
  </si>
  <si>
    <t>Tubo de concreto (PS-2), DN= 300mm</t>
  </si>
  <si>
    <t>Tubo de concreto (PS-2), DN= 400mm</t>
  </si>
  <si>
    <t>Tubo de concreto (PS-2), DN= 500mm</t>
  </si>
  <si>
    <t>Tubo de concreto (PA-1), DN= 600mm</t>
  </si>
  <si>
    <t>Tubo de concreto (PA-1), DN= 700mm</t>
  </si>
  <si>
    <t>Tubo de concreto (PA-1), DN= 800mm</t>
  </si>
  <si>
    <t>Tubo de concreto (PA-1), DN= 900mm</t>
  </si>
  <si>
    <t>Tubo de concreto (PA-1), DN= 1000mm</t>
  </si>
  <si>
    <t>Tubo de concreto (PA-1), DN= 1200mm</t>
  </si>
  <si>
    <t>Tubo de concreto (PA-2), DN= 600mm</t>
  </si>
  <si>
    <t>Tubo de concreto (PA-2), DN= 800mm</t>
  </si>
  <si>
    <t>Tubo de concreto (PA-2), DN= 1000mm</t>
  </si>
  <si>
    <t>Tubo de concreto (PA-3), DN= 600mm</t>
  </si>
  <si>
    <t>Tubo de concreto (PA-3), DN= 800mm</t>
  </si>
  <si>
    <t>Tubo de concreto (PA-3), DN= 1000mm</t>
  </si>
  <si>
    <t>Meio tubo de concreto, DN= 300mm</t>
  </si>
  <si>
    <t>Meio tubo de concreto, DN= 400mm</t>
  </si>
  <si>
    <t>Meio tubo de concreto, DN= 500mm</t>
  </si>
  <si>
    <t>Meio tubo de concreto, DN= 600mm</t>
  </si>
  <si>
    <t>Tubo de concreto (PA-2), DN= 1500mm</t>
  </si>
  <si>
    <t>Tubo de concreto (PA-1), DN= 400mm</t>
  </si>
  <si>
    <t>Tubo de concreto (PA-2), DN= 400mm</t>
  </si>
  <si>
    <t>Tubo de concreto (PA-3), DN= 400mm</t>
  </si>
  <si>
    <t>Tubo de concreto (PA-2), DN= 700mm</t>
  </si>
  <si>
    <t>Tubo de concreto (PA-2), DN= 500mm</t>
  </si>
  <si>
    <t>Tubo de concreto (PA-2), DN= 900mm</t>
  </si>
  <si>
    <t>Tubo de concreto (PA-1), DN= 300mm</t>
  </si>
  <si>
    <t>Tubo de concreto (PA-2), DN= 300mm</t>
  </si>
  <si>
    <t>Meio tubo de concreto, DN= 200mm</t>
  </si>
  <si>
    <t>Tubulação com conexões em PEAD corrugado perfurado para rede drenagem</t>
  </si>
  <si>
    <t>Tubo em polietileno de alta densidade corrugado perfurado, DN= 3´, inclusive conexões</t>
  </si>
  <si>
    <t>Tubo em polietileno de alta densidade corrugado perfurado, DN= 4´, inclusive conexões</t>
  </si>
  <si>
    <t>Tubo em polietileno de alta densidade corrugado perfurado, DN= 8´, inclusive conexões</t>
  </si>
  <si>
    <t>Tubo em polietileno de alta densidade corrugado perfurado, DN= 2 1/2´, inclusive conexões</t>
  </si>
  <si>
    <t>Tubo em polietileno de alta densidade corrugado perfurado, DN= 6´, inclusive conexões</t>
  </si>
  <si>
    <t>Tubo em polietileno de alta densidade corrugado perfurado, DN= 12´, inclusive conexões</t>
  </si>
  <si>
    <t>Tubulação com conexões em ferro dúctil para redes de saneamento</t>
  </si>
  <si>
    <t>Tubo de ferro fundido classe K-7 com junta elástica, DN= 150mm, inclusive conexões</t>
  </si>
  <si>
    <t>Tubo de ferro fundido classe K-7 com junta elástica, DN= 200mm, inclusive conexões</t>
  </si>
  <si>
    <t>Tubo de ferro fundido classe K-7 com junta elástica, DN= 250mm, inclusive conexões</t>
  </si>
  <si>
    <t>Tubo de ferro fundido classe K-7 com junta elástica, DN= 350mm, inclusive conexões</t>
  </si>
  <si>
    <t>Tubo de ferro fundido classe K-7 com junta elástica, DN= 300mm, inclusive conexões</t>
  </si>
  <si>
    <t>Tubo de ferro fundido classe k-9 com junta elástica, DN= 80mm, inclusive conexões</t>
  </si>
  <si>
    <t>Tubo de ferro fundido classe K-9 com junta elástica, DN= 100mm, inclusive conexões</t>
  </si>
  <si>
    <t>Tubo de ferro fundido classe K-9 com junta elástica, DN= 150mm, incluive conexões</t>
  </si>
  <si>
    <t>Tubo de ferro fundido classe K-9 com junta elástica, DN= 200mm, inclusive conexões</t>
  </si>
  <si>
    <t>Tubo de ferro fundido classe k-9 com junta elástica, DN= 250mm, inclusive conexões</t>
  </si>
  <si>
    <t>Tubo de ferro fundido classe K-9 com junta elástica, DN= 300mm, inclusive conexões</t>
  </si>
  <si>
    <t>Tubo de ferro fundido classe k-9 com junta elástica, DN= 350mm, inclusive conexões</t>
  </si>
  <si>
    <t>Tubulação e conexões flangeadas em ferro dúctil para redes saneamento</t>
  </si>
  <si>
    <t>Tubo em ferro fundido com ponta e ponta TCLA - DN= 80mm, sem juntas e conexões</t>
  </si>
  <si>
    <t>Tubo em ferro fundido com ponta e ponta TCLA - DN= 100mm, sem juntas e conexões</t>
  </si>
  <si>
    <t>Tubo em ferro fundido com ponta e ponta TCLA - DN= 150mm, sem juntas e conexões</t>
  </si>
  <si>
    <t>Tubo em ferro fundido com ponta e ponta TCLA - DN= 200mm, sem juntas e conexões</t>
  </si>
  <si>
    <t>Tubo em ferro fundido com ponta e ponta TCLA - DN= 250mm, sem juntas e conexões</t>
  </si>
  <si>
    <t>Tubo em ferro fundido com ponta e ponta TCLA - DN= 300mm, sem juntas e conexões</t>
  </si>
  <si>
    <t>Tubo em ferro fundido com ponta e ponta TCLA - DN= 350mm, sem juntas e conexões</t>
  </si>
  <si>
    <t>Tubo em ferro fundido com ponta e ponta TCLA - DN= 400mm, sem juntas e conexões</t>
  </si>
  <si>
    <t>Flange avulso em ferro fundido, classe PN-10, DN= 80mm</t>
  </si>
  <si>
    <t>Flange avulso em ferro fundido, classe PN-10, DN= 100mm</t>
  </si>
  <si>
    <t>Flange avulso em ferro fundido, classe PN-10, DN= 150mm</t>
  </si>
  <si>
    <t>Flange avulso em ferro fundido, classe PN-10, DN= 200mm</t>
  </si>
  <si>
    <t>Flange avulso em ferro fundido, classe PN-10, DN= 250mm</t>
  </si>
  <si>
    <t>Flange avulso em ferro fundido, classe PN-10, DN= 300mm</t>
  </si>
  <si>
    <t>Flange avulso em ferro fundido, classe PN-10, DN= 350mm</t>
  </si>
  <si>
    <t>Flange avulso em ferro fundido, classe PN-10, DN= 400mm</t>
  </si>
  <si>
    <t>Curva de 90° em ferro fundido, com flanges, classe PN-10, DN= 80mm</t>
  </si>
  <si>
    <t>Curva de 90° em ferro fundido, com flanges, classe PN-10, DN= 100mm</t>
  </si>
  <si>
    <t>Curva de 90° em ferro fundido, com flanges, classe PN-10, DN= 150mm</t>
  </si>
  <si>
    <t>Te em ferro fundido, com flanges, classe PN-10, DN= 80mm, com derivação de 80mm</t>
  </si>
  <si>
    <t>Te em ferro fundido, com flanges, classe PN-10, DN= 100mm, com derivações de 80 até 100mm</t>
  </si>
  <si>
    <t>Te em ferro fundido, com flanges, classe PN-10, DN= 150mm, com derivações de 80 até 150mm</t>
  </si>
  <si>
    <t>Junta Gibault em ferro fundido, DN= 80mm, completa</t>
  </si>
  <si>
    <t>Junta Gibault em ferro fundido, DN= 100 mm, completa</t>
  </si>
  <si>
    <t>Curva de 90° em ferro fundido, com flanges, classe PN-10, DN= 50mm</t>
  </si>
  <si>
    <t>Redução concêntrica em ferro fundido, com flanges, classe PN-10, DN= 80 x 50mm</t>
  </si>
  <si>
    <t>Redução excêntrica em ferro fundido, com flanges, classe PN-10, DN= 100mm x 80mm</t>
  </si>
  <si>
    <t>Redução excêntrica em ferro fundido, com flanges, classe PN-10, DN= 150mm x 80/100mm</t>
  </si>
  <si>
    <t>Redução excêntrica em ferro fundido, com flanges, classe PN-10, DN= 200mm x 100/150mm</t>
  </si>
  <si>
    <t>Redução excêntrica em ferro fundido, com flanges, classe PN-10, DN= 250mm x 150/200mm</t>
  </si>
  <si>
    <t>Redução concêntrica em ferro fundido, com flanges, classe PN-10, DN= 100mm x 80mm</t>
  </si>
  <si>
    <t>Redução concêntrica em ferro fundido, com flanges, classe PN-10, DN= 150mm x 80/100mm</t>
  </si>
  <si>
    <t>Redução concêntrica em ferro fundido, com flanges, classe PN-10, DN= 200mm x 100/150mm</t>
  </si>
  <si>
    <t>Redução concêntrica em ferro fundido, com flanges, classe PN-10, DN= 250mm x 150/200mm</t>
  </si>
  <si>
    <t>Flange avulso em ferro fundido, classe PN-10, DN= 50mm</t>
  </si>
  <si>
    <t>Assentamento de tubo de concreto com diâmetro até 600 mm</t>
  </si>
  <si>
    <t>Assentamento de tubo de concreto com diâmetro de 700 até 1500 mm</t>
  </si>
  <si>
    <t>Tubulação com conexões em aço preto classe schedule</t>
  </si>
  <si>
    <t>Tubo de aço carbono preto sem costura Schedule 40, DN= 2´ - inclusive conexões</t>
  </si>
  <si>
    <t>Tubo de aço carbono preto sem costura Schedule 40, DN= 1 1/2´ - inclusive conexões</t>
  </si>
  <si>
    <t>Tubo de aço carbono preto sem costura Schedule 40, DN= 1´ - inclusive conexões</t>
  </si>
  <si>
    <t>Tubo de aço carbono preto sem costura Schedule 40, DN= 3´ - inclusive conexões</t>
  </si>
  <si>
    <t>Tubo de aço carbono preto sem costura Schedule 40, DN= 2 1/2´ - inclusive conexões</t>
  </si>
  <si>
    <t>Tubo de aço carbono preto sem costura Schedule 40, DN= 4´ - inclusive conexões</t>
  </si>
  <si>
    <t>Tubo de aço carbono preto sem costura Schedule 40, DN= 5´ - inclusive conexões</t>
  </si>
  <si>
    <t>Tubo de aço carbono preto sem costura Schedule 40, DN= 6´ - inclusive conexões</t>
  </si>
  <si>
    <t>Tubo de aço carbono preto sem costura Schedule 40, DN= 8´ - inclusive conexões</t>
  </si>
  <si>
    <t>Tubo de aço carbono preto sem costura Schedule 40, DN= 1 1/4´ - inclusive conexões</t>
  </si>
  <si>
    <t>Tubo de aço carbono preto sem costura Schedule 40, DN= 3 1/2´ - inclusive conexões</t>
  </si>
  <si>
    <t>Tubo de aço carbono preto com costura Schedule 40, DN= 10´ - inclusive conexões</t>
  </si>
  <si>
    <t>Tubo de aço carbono preto com costura Schedule 40, DN= 12´ - inclusive conexões</t>
  </si>
  <si>
    <t>Tubulação em concreto para rede de esgoto sanitário</t>
  </si>
  <si>
    <t>Tubo de concreto classe EA-2, DN= 400 mm</t>
  </si>
  <si>
    <t>Tubo de concreto classe EA-2, DN= 500 mm</t>
  </si>
  <si>
    <t>Tubo de concreto classe EA-2, DN= 600 mm</t>
  </si>
  <si>
    <t>Tubo de concreto classe EA-2, DN= 700 mm</t>
  </si>
  <si>
    <t>Tubo de concreto classe EA-2, DN= 800 mm</t>
  </si>
  <si>
    <t>Tubo de concreto classe EA-2, DN= 900 mm</t>
  </si>
  <si>
    <t>Tubo de concreto classe EA-2, DN= 1000 mm</t>
  </si>
  <si>
    <t>Tubo de concreto classe EA-2, DN= 1200 mm</t>
  </si>
  <si>
    <t>Tubo de concreto classe EA-3, DN= 400 mm</t>
  </si>
  <si>
    <t>Tubo de concreto classe EA-3, DN= 500 mm</t>
  </si>
  <si>
    <t>Tubo de concreto classe EA-3, DN= 600 mm</t>
  </si>
  <si>
    <t>Tubo de concreto classe EA-3, DN= 700 mm</t>
  </si>
  <si>
    <t>Tubo de concreto classe EA-3, DN= 800 mm</t>
  </si>
  <si>
    <t>Tubo de concreto classe EA-3, DN= 900 mm</t>
  </si>
  <si>
    <t>Tubo de concreto classe EA-3, DN= 1000 mm</t>
  </si>
  <si>
    <t>Tubo de concreto classe EA-3, DN= 1200 mm</t>
  </si>
  <si>
    <t>Tubulações, conexões e acessórios em ferro fundido predial SMU-esgoto e pluvial</t>
  </si>
  <si>
    <t>Tubo em ferro fundido com ponta e ponta, predial SMU, DN= 50 mm</t>
  </si>
  <si>
    <t>Tubo em ferro fundido com ponta e ponta, predial SMU, DN= 75 mm</t>
  </si>
  <si>
    <t>Tubo em ferro fundido com ponta e ponta, predial SMU, DN= 100 mm</t>
  </si>
  <si>
    <t>Tubo em ferro fundido com ponta e ponta, predial SMU, DN= 150 mm</t>
  </si>
  <si>
    <t>Tubo em ferro fundido com ponta e ponta, predial SMU, DN= 200 mm</t>
  </si>
  <si>
    <t>Junta de união em aço inoxidável com parafuso de aço zincado, para tubo em ferro fundido predial SMU, DN= 50 mm</t>
  </si>
  <si>
    <t>Junta de união em aço inoxidável com parafuso de aço zincado, para tubo em ferro fundido predial SMU, DN= 75 mm</t>
  </si>
  <si>
    <t>Junta de união em aço inoxidável com parafuso de aço zincado, para tubo em ferro fundido predial SMU, DN= 100 mm</t>
  </si>
  <si>
    <t>Junta de união em aço inoxidável com parafuso de aço zincado, para tubo em ferro fundido predial SMU, DN= 150 mm</t>
  </si>
  <si>
    <t>Junta de união em aço inoxidável com parafuso de aço zincado, para tubo em ferro fundido predial SMU, DN= 200 mm</t>
  </si>
  <si>
    <t>Conjunto de ancoragem para tubo em ferro fundido predial SMU, DN= 50 mm</t>
  </si>
  <si>
    <t>Conjunto de ancoragem para tubo em ferro fundido predial SMU, DN= 75 mm</t>
  </si>
  <si>
    <t>Conjunto de ancoragem para tubo em ferro fundido predial SMU, DN= 100 mm</t>
  </si>
  <si>
    <t>Conjunto de ancoragem para tubo em ferro fundido predial SMU, DN= 150 mm</t>
  </si>
  <si>
    <t>Conjunto de ancoragem para tubo em ferro fundido predial SMU, DN= 200 mm</t>
  </si>
  <si>
    <t>Conjunto de ancoragem para tubo em ferro fundido predial SMU, DN= 125 mm</t>
  </si>
  <si>
    <t>Tubo em ferro fundido com ponta e ponta, predial SMU, DN= 125 mm</t>
  </si>
  <si>
    <t>Tubo em ferro fundido com ponta e ponta, predial SMU, DN= 250 mm</t>
  </si>
  <si>
    <t>Joelho 45° em ferro fundido, predial SMU, DN= 50 mm</t>
  </si>
  <si>
    <t>Joelho 45° em ferro fundido, predial SMU, DN= 75 mm</t>
  </si>
  <si>
    <t>Joelho 45° em ferro fundido, predial SMU, DN= 100 mm</t>
  </si>
  <si>
    <t>Joelho 45° em ferro fundido, predial SMU, DN= 150 mm</t>
  </si>
  <si>
    <t>Joelho 45° em ferro fundido, predial SMU, DN= 200 mm</t>
  </si>
  <si>
    <t>Joelho 45° em ferro fundido, predial SMU, DN= 125 mm</t>
  </si>
  <si>
    <t>Joelho 88° em ferro fundido, predial SMU, DN= 50 mm</t>
  </si>
  <si>
    <t>Joelho 88° em ferro fundido, predial SMU, DN= 75 mm</t>
  </si>
  <si>
    <t>Joelho 88° em ferro fundido, predial SMU, DN= 100 mm</t>
  </si>
  <si>
    <t>Joelho 88° em ferro fundido, predial SMU, DN= 150 mm</t>
  </si>
  <si>
    <t>Joelho 88° em ferro fundido, predial SMU, DN= 200 mm</t>
  </si>
  <si>
    <t>Junção 45° em ferro fundido, predial SMU, DN= 50 x 50 mm</t>
  </si>
  <si>
    <t>Junção 45° em ferro fundido, predial SMU, DN= 75 x 75 mm</t>
  </si>
  <si>
    <t>Junção 45° em ferro fundido, predial SMU, DN= 75 x 50 mm</t>
  </si>
  <si>
    <t>Junção 45° em ferro fundido, predial SMU, DN= 100 x 75 mm</t>
  </si>
  <si>
    <t>Junção 45° em ferro fundido, predial SMU, DN= 100 x 100 mm</t>
  </si>
  <si>
    <t>Junção 45° em ferro fundido, predial SMU, DN= 150 x 150 mm</t>
  </si>
  <si>
    <t>Junta de união em aço inoxidável com parafuso de aço zincado, para tubo em ferro fundido predial SMU, DN= 125 mm</t>
  </si>
  <si>
    <t>Junta de união em aço inoxidável com parafuso de aço zincado, para tubo em ferro fundido predial SMU, DN= 250 mm</t>
  </si>
  <si>
    <t>Redução excêntrica em ferro fundido, predial SMU, DN= 75 x 50 mm</t>
  </si>
  <si>
    <t>Redução excêntrica em ferro fundido, predial SMU, DN= 100 x 75 mm</t>
  </si>
  <si>
    <t>Redução excêntrica em ferro fundido, predial SMU, DN= 150 x 100 mm</t>
  </si>
  <si>
    <t>Redução excêntrica em ferro fundido, predial SMU, DN= 150 x 75 mm</t>
  </si>
  <si>
    <t>Redução excêntrica em ferro fundido, predial SMU, DN= 200 x 150 mm</t>
  </si>
  <si>
    <t>Redução excêntrica em ferro fundido, predial SMU, DN= 125 x 75 mm</t>
  </si>
  <si>
    <t>Redução excêntrica em ferro fundido, predial SMU, DN= 125 x 100 mm</t>
  </si>
  <si>
    <t>Redução excêntrica em ferro fundido, predial SMU, DN= 150 x 125 mm</t>
  </si>
  <si>
    <t>Redução excêntrica em ferro fundido, predial SMU, DN= 200 x 125 mm</t>
  </si>
  <si>
    <t>Redução excêntrica em ferro fundido, predial SMU, DN= 250 x 200 mm</t>
  </si>
  <si>
    <t>Te de visita em ferro fundido, predial SMU, DN= 75 mm</t>
  </si>
  <si>
    <t>Te de visita em ferro fundido, predial SMU, DN= 100 x 100 mm</t>
  </si>
  <si>
    <t>Te de visita em ferro fundido, predial SMU, DN= 125 mm</t>
  </si>
  <si>
    <t>Te de visita em ferro fundido, predial SMU, DN= 150 mm</t>
  </si>
  <si>
    <t>Te de visita em ferro fundido, predial SMU, DN= 200 mm</t>
  </si>
  <si>
    <t>Abraçadeira dentada para travamento em aço inoxidável, com parafuso de aço zincado, para tubo em ferro fundido predial SMU, DN= 50 mm</t>
  </si>
  <si>
    <t>Abraçadeira dentada para travamento em aço inoxidável, com parafuso de aço zincado, para tubo em ferro fundido predial SMU, DN= 75 mm</t>
  </si>
  <si>
    <t>Abraçadeira dentada para travamento em aço inoxidável, com parafuso de aço zincado, para tubo em ferro fundido predial SMU, DN= 100 mm</t>
  </si>
  <si>
    <t>Abraçadeira dentada para travamento em aço inoxidável, com parafuso de aço zincado, para tubo em ferro fundido predial SMU, DN= 150 mm</t>
  </si>
  <si>
    <t>Tampão simples em ferro fundido, predial SMU, DN= 150 mm</t>
  </si>
  <si>
    <t>Junção 45° em ferro fundido, predial SMU, DN= 125 x 100 mm</t>
  </si>
  <si>
    <t>Junção 45° em ferro fundido, predial SMU, DN= 150 x 100 mm</t>
  </si>
  <si>
    <t>Junção 45° em ferro fundido, predial SMU, DN= 200 x 100 mm</t>
  </si>
  <si>
    <t>Junção 45° em ferro fundido, predial SMU, DN= 200 x 200 mm</t>
  </si>
  <si>
    <t>Tubulação com conexões em cobre, para sistema de ar condicionado</t>
  </si>
  <si>
    <t>Tubo de cobre flexível, DN= 4,76 mm (3/16´), inclusive conexões</t>
  </si>
  <si>
    <t>Tubo de cobre flexível, DN= 6,35 mm (1/4´), inclusive conexões</t>
  </si>
  <si>
    <t>Tubo de cobre flexível, DN= 7,94 mm (5/16´), inclusive conexões</t>
  </si>
  <si>
    <t>Tubo de cobre flexível, DN= 9,52 mm (3/8´), inclusive conexões</t>
  </si>
  <si>
    <t>Tubo de cobre flexível, DN= 12,70 mm (1/2´), inclusive conexões</t>
  </si>
  <si>
    <t>Tubo de cobre flexível, DN= 15,87 mm (5/8´), inclusive conexões</t>
  </si>
  <si>
    <t>Tubo de cobre flexível, DN= 19,05 mm (3/4´), inclusive conexões</t>
  </si>
  <si>
    <t>Tubo de cobre rígido, DN= 22,22 mm (7/8´), inclusive conexões</t>
  </si>
  <si>
    <t>Tubulação, conexões e acessórios em PPR - Água fria / quente</t>
  </si>
  <si>
    <t>Tubo em polipropileno PPR, classe de pressão PN 20, DN=20 mm</t>
  </si>
  <si>
    <t>Tubo em polipropileno PPR, classe de pressão PN 20, DN=25 mm</t>
  </si>
  <si>
    <t>Tubo em polipropileno PPR, classe de pressão PN 20, DN=32 mm</t>
  </si>
  <si>
    <t>Tubo em polipropileno PPR, classe de pressão PN 20, DN=40 mm</t>
  </si>
  <si>
    <t>Tubo em polipropileno PPR, classe de pressão PN 20, DN=50 mm</t>
  </si>
  <si>
    <t>Tubo em polipropileno PPR, classe de pressão PN 20, DN=63 mm</t>
  </si>
  <si>
    <t>Tubo em polipropileno PPR, classe de pressão PN 20, DN=75 mm</t>
  </si>
  <si>
    <t>Tubo em polipropileno PPR, classe de pressão PN 20, DN=90 mm</t>
  </si>
  <si>
    <t>Tubo em polipropileno PPR, classe de pressão PN 20, DN=110 mm</t>
  </si>
  <si>
    <t>Tubo em polipropileno PPR, classe de pressão PN 25, DN=20 mm</t>
  </si>
  <si>
    <t>Tubo em polipropileno PPR, classe de pressão PN 25, DN=25 mm</t>
  </si>
  <si>
    <t>Tubo em polipropileno PPR, classe de pressão PN 25, DN=32 mm</t>
  </si>
  <si>
    <t>Tubo em polipropileno PPR, classe de pressão PN 25, DN=40 mm</t>
  </si>
  <si>
    <t>Tubo em polipropileno PPR, classe de pressão PN 25, DN=50 mm</t>
  </si>
  <si>
    <t>Tubo em polipropileno PPR, classe de pressão PN 25, DN=63 mm</t>
  </si>
  <si>
    <t>Tubo em polipropileno PPR, classe de pressão PN 25, DN=75 mm</t>
  </si>
  <si>
    <t>Tubo em polipropileno PPR, classe de pressão PN 25, DN=90 mm</t>
  </si>
  <si>
    <t>Tubo em polipropileno PPR, classe de pressão PN 25, DN=110 mm</t>
  </si>
  <si>
    <t>Bucha de redução em polipropileno PPR, DN=25x20 mm</t>
  </si>
  <si>
    <t>Bucha de redução em polipropileno PPR, DN=32x20 mm</t>
  </si>
  <si>
    <t>Bucha de redução em polipropileno PPR, DN=32x25 mm</t>
  </si>
  <si>
    <t>Bucha de redução em polipropileno PPR, DN=40x25 mm</t>
  </si>
  <si>
    <t>Bucha de redução em polipropileno PPR, DN=40x32 mm</t>
  </si>
  <si>
    <t>Bucha de redução em polipropileno PPR, DN=50x40 mm</t>
  </si>
  <si>
    <t>Bucha de redução em polipropileno PPR, DN=63x40 mm</t>
  </si>
  <si>
    <t>Bucha de redução em polipropileno PPR, DN=63x50 mm</t>
  </si>
  <si>
    <t>Bucha de redução em polipropileno PPR, DN=75x50 mm</t>
  </si>
  <si>
    <t>Bucha de redução em polipropileno PPR, DN=75x63 mm</t>
  </si>
  <si>
    <t>Bucha de redução em polipropileno PPR, DN=90x63 mm</t>
  </si>
  <si>
    <t>Bucha de redução em polipropileno PPR, DN=90x75 mm</t>
  </si>
  <si>
    <t>Curva 90° em polipropileno PPR, DN=20 mm</t>
  </si>
  <si>
    <t>Curva 90° em polipropileno PPR, DN= 25 mm</t>
  </si>
  <si>
    <t>Curva 90° em polipropileno PPR, DN= 32 mm</t>
  </si>
  <si>
    <t>Curva de transposição em polipropileno PPR, DN= 20 mm</t>
  </si>
  <si>
    <t>Curva de transposição em polipropileno PPR, DN=25 mm</t>
  </si>
  <si>
    <t>Curva de transposição em polipropileno PPR, DN=32 mm</t>
  </si>
  <si>
    <t>Luva em polipropileno PPR, DN= 20 mm</t>
  </si>
  <si>
    <t>Luva em polipropileno PPR, DN=25 mm</t>
  </si>
  <si>
    <t>Luva em polipropileno PPR, DN=32 mm</t>
  </si>
  <si>
    <t>Luva em polipropileno PPR, DN= 40 mm</t>
  </si>
  <si>
    <t>Luva em polipropileno PPR, DN= 50 mm</t>
  </si>
  <si>
    <t>Luva em polipropileno PPR, DN= 63 mm</t>
  </si>
  <si>
    <t>Luva em polipropileno PPR, DN= 75 mm</t>
  </si>
  <si>
    <t>Luva em polipropileno PPR, DN= 90 mm</t>
  </si>
  <si>
    <t>Luva em polipropileno PPR, DN= 110 mm</t>
  </si>
  <si>
    <t>Luva de redução em polipropileno PPR, DN=32x25 mm</t>
  </si>
  <si>
    <t>Conector com inserto metálico em polipropileno PPR, DN= 25mm x 3/4´</t>
  </si>
  <si>
    <t>Conector com inserto metálico em polipropileno PPR, DN= 32mm x 3/4´</t>
  </si>
  <si>
    <t>Conector com inserto metálico em polipropileno PPR, DN= 32mm x 1´</t>
  </si>
  <si>
    <t>Conector com inserto metálico em polipropileno PPR, DN= 40mm x 1 1/4´</t>
  </si>
  <si>
    <t>Conector com inserto metálico em polipropileno PPR, DN= 50mm x 1 1/2´</t>
  </si>
  <si>
    <t>Conector com inserto metálico em polipropileno PPR, DN= 63mm x 2´</t>
  </si>
  <si>
    <t>Conector com inserto metálico em polipropileno PPR, DN= 75mm x 2 1/2´</t>
  </si>
  <si>
    <t>Joelho 45° em polipropileno PPR, DN=20 mm</t>
  </si>
  <si>
    <t>Joelho 45° em polipropileno PPR, DN=25 mm</t>
  </si>
  <si>
    <t>Joelho 45° em polipropileno PPR, DN=32 mm</t>
  </si>
  <si>
    <t>Joelho 45° em polipropileno PPR, DN=40 mm</t>
  </si>
  <si>
    <t>Joelho 45° em polipropileno PPR, DN=50 mm</t>
  </si>
  <si>
    <t>Joelho 45° em polipropileno PPR, DN=63 mm</t>
  </si>
  <si>
    <t>Joelho 90° em polipropileno PPR, DN=20 mm</t>
  </si>
  <si>
    <t>Joelho 90° em polipropileno PPR, DN=25 mm</t>
  </si>
  <si>
    <t>Joelho 90° em polipropileno PPR, DN=32 mm</t>
  </si>
  <si>
    <t>Joelho 90° em polipropileno PPR, DN=40 mm</t>
  </si>
  <si>
    <t>Joelho 90° em polipropileno PPR, DN=50 mm</t>
  </si>
  <si>
    <t>Joelho 90° em polipropileno PPR, DN=63 mm</t>
  </si>
  <si>
    <t>Joelho 90° em polipropileno PPR, DN=75 mm</t>
  </si>
  <si>
    <t>Joelho 90° com inserto metálico em polipropileno PPR, DN=20mm x 1/2´</t>
  </si>
  <si>
    <t>Joelho 90° com inserto metálico em polipropileno PPR, DN=25mm x 1/2´</t>
  </si>
  <si>
    <t>Joelho 90° com inserto metálico em polipropileno PPR, DN=32mm x 3/4´</t>
  </si>
  <si>
    <t>Joelho 90° com inserto metálico em polipropileno PPR, DN=32mm x1´</t>
  </si>
  <si>
    <t>Tê normal em polipropileno PPR, DN=20 mm</t>
  </si>
  <si>
    <t>Tê normal em polipropileno PPR, DN=25 mm</t>
  </si>
  <si>
    <t>Tê normal em polipropileno PPR, DN=32 mm</t>
  </si>
  <si>
    <t>Tê normal em polipropileno PPR, DN=40 mm</t>
  </si>
  <si>
    <t>Tê normal em polipropileno PPR, DN=50 mm</t>
  </si>
  <si>
    <t>Tê normal em polipropileno PPR, DN=63 mm</t>
  </si>
  <si>
    <t>Tê normal em polipropileno PPR, DN=75 mm</t>
  </si>
  <si>
    <t>Tê de redução externa em polipropileno PPR, DN=25x25x20 mm</t>
  </si>
  <si>
    <t>Tê de redução externa em polipropileno PPR, DN=32x32x25 mm</t>
  </si>
  <si>
    <t>Tê de redução externa em polipropileno PPR, DN=40x40x32 mm</t>
  </si>
  <si>
    <t>Tê de redução externa em polipropileno PPR, DN=63x63x40 mm</t>
  </si>
  <si>
    <t>Tê de redução externa em polipropileno PPR, DN=63x63x50 mm</t>
  </si>
  <si>
    <t>Tê de redução externa em polipropileno PPR, DN=110x110x75 mm</t>
  </si>
  <si>
    <t>Tê de redução externa em polipropileno PPR, DN=110x110x90 mm</t>
  </si>
  <si>
    <t>Tê misturador em polipropileno PPR, DN=25 mm</t>
  </si>
  <si>
    <t>Tê com inserto metálico central em polipropileno PPR, DN=20mm x 1/2´</t>
  </si>
  <si>
    <t>Tê com inserto metálico central em polipropileno PPR, DN=25mm x 1/2´</t>
  </si>
  <si>
    <t>Tê com inserto metálico central em polipropileno PPR, DN=25mm x 3/4´</t>
  </si>
  <si>
    <t>Tê misturador com inserto metálico em polipropileno PPR, DN=25mm x 3/4´</t>
  </si>
  <si>
    <t>Válvulas e aparelhos de medição e controle para líquidos e gases</t>
  </si>
  <si>
    <t>Registro e / ou válvula em latão fundido sem acabamento</t>
  </si>
  <si>
    <t>Registro de gaveta em latão fundido sem acabamento, DN= 1/2´</t>
  </si>
  <si>
    <t>Registro de gaveta em latão fundido sem acabamento, DN= 3/4´</t>
  </si>
  <si>
    <t>Registro de gaveta em latão fundido sem acabamento, DN= 1´</t>
  </si>
  <si>
    <t>Registro de gaveta em latão fundido sem acabamento, DN= 1 1/4´</t>
  </si>
  <si>
    <t>Registro de gaveta em latão fundido sem acabamento, DN= 1 1/2´</t>
  </si>
  <si>
    <t>Registro de gaveta em latão fundido sem acabamento, DN= 2´</t>
  </si>
  <si>
    <t>Registro de gaveta em latão fundido sem acabamento, DN= 2 1/2´</t>
  </si>
  <si>
    <t>Registro de gaveta em latão fundido sem acabamento, DN= 3´</t>
  </si>
  <si>
    <t>Registro de gaveta em latão fundido sem acabamento, DN= 4´</t>
  </si>
  <si>
    <t>Registro de pressão em latão fundido sem acabamento, DN= 3/4´</t>
  </si>
  <si>
    <t>Válvula de esfera monobloco em latão fundido passagem plena, acionamento com alavanca, DN= 1/2´</t>
  </si>
  <si>
    <t>Válvula de esfera monobloco em latão fundido passagem plena, acionamento com alavanca, DN= 3/4´</t>
  </si>
  <si>
    <t>Válvula de esfera monobloco em latão fundido passagem plena, acionamento com alavanca, DN= 1´</t>
  </si>
  <si>
    <t>Válvula de esfera tripartida em latão fundido, classe 150 libras para gás e 300 libras para líquidos e fluidos, DN= 1´</t>
  </si>
  <si>
    <t>Válvula de esfera monobloco em latão fundido passagem plena, acionamento com alavanca, DN= 2´</t>
  </si>
  <si>
    <t>Válvula de esfera monobloco em latão fundido passagem plena, acionamento com alavanca, DN= 4´</t>
  </si>
  <si>
    <t>Registro e ou válvula em latão fundido com acabamento cromado</t>
  </si>
  <si>
    <t>Registro de gaveta em latão fundido cromado com canopla, DN= 1/2´ - linha especial</t>
  </si>
  <si>
    <t>Registro de gaveta em latão fundido cromado com canopla, DN= 3/4´ - linha especial</t>
  </si>
  <si>
    <t>Registro de gaveta em latão fundido cromado com canopla, DN= 1´ - linha especial</t>
  </si>
  <si>
    <t>Registro de gaveta em latão fundido cromado com canopla, DN= 1 1/4´ - linha especial</t>
  </si>
  <si>
    <t>Registro de gaveta em latão fundido cromado com canopla, DN= 1 1/2´ - linha especial</t>
  </si>
  <si>
    <t>Registro de pressão em latão fundido cromado com canopla, DN= 1/2´ - linha especial</t>
  </si>
  <si>
    <t>Registro de pressão em latão fundido cromado com canopla, DN= 3/4´ - linha especial</t>
  </si>
  <si>
    <t>Registro regulador de vazão para chuveiro e ducha em latão cromado com canopla, DN= 1/2´</t>
  </si>
  <si>
    <t>Registro regulador de vazão para torneira, misturador e bidê, em latão cromado com canopla, DN= 1/2´</t>
  </si>
  <si>
    <t>Válvula de descarga ou para acionamento de metais sanitários</t>
  </si>
  <si>
    <t>Válvula de descarga com registro próprio, duplo acionamento limitador de fluxo, DN= 1 1/4´</t>
  </si>
  <si>
    <t>Válvula de descarga com registro próprio, DN= 1 1/4´</t>
  </si>
  <si>
    <t>Válvula de descarga com registro próprio, DN= 1 1/2´</t>
  </si>
  <si>
    <t>Válvula de descarga antivandalismo, DN= 1 1/2´</t>
  </si>
  <si>
    <t>Válvula de descarga externa, tipo alavanca com registro próprio, DN= 1 1/4´ e DN= 1 1/2´</t>
  </si>
  <si>
    <t>Válvula de mictório antivandalismo, DN= 3/4´</t>
  </si>
  <si>
    <t>Válvula de mictório padrão, vazão automática, DN= 3/4´</t>
  </si>
  <si>
    <t>Válvula de acionamento hidromecânico para piso</t>
  </si>
  <si>
    <t>Válvula de acionamento hidromecânico para ducha, em latão cromado, DN= 3/4´</t>
  </si>
  <si>
    <t>Válvula de descarga com registro próprio, duplo acionamento limitador de fluxo, DN = 1 1/2´</t>
  </si>
  <si>
    <t>Registro e / ou válvula em bronze</t>
  </si>
  <si>
    <t>Válvula de retenção horizontal em bronze, DN= 3/4´</t>
  </si>
  <si>
    <t>Válvula de retenção horizontal em bronze, DN= 1´</t>
  </si>
  <si>
    <t>Válvula de retenção horizontal em bronze, DN= 1 1/4´</t>
  </si>
  <si>
    <t>Válvula de retenção horizontal em bronze, DN= 1 1/2´</t>
  </si>
  <si>
    <t>Válvula de retenção horizontal em bronze, DN= 2´</t>
  </si>
  <si>
    <t>Válvula de retenção horizontal em bronze, DN= 2 1/2´</t>
  </si>
  <si>
    <t>Válvula de retenção horizontal em bronze, DN= 3´</t>
  </si>
  <si>
    <t>Válvula de retenção horizontal em bronze, DN= 4´</t>
  </si>
  <si>
    <t>Válvula de retenção vertical em bronze, DN= 3/4´</t>
  </si>
  <si>
    <t>Válvula de retenção vertical em bronze, DN= 1´</t>
  </si>
  <si>
    <t>Válvula de retenção vertical em bronze, DN= 1 1/4´</t>
  </si>
  <si>
    <t>Válvula de retenção vertical em bronze, DN= 1 1/2´</t>
  </si>
  <si>
    <t>Válvula de retenção vertical em bronze, DN= 2´</t>
  </si>
  <si>
    <t>Válvula de retenção vertical em bronze, DN= 2 1/2´</t>
  </si>
  <si>
    <t>Válvula de retenção vertical em bronze, DN= 3´</t>
  </si>
  <si>
    <t>Válvula de retenção vertical em bronze, DN= 4´</t>
  </si>
  <si>
    <t>Válvula de retenção de pé com crivo em bronze, DN= 1´</t>
  </si>
  <si>
    <t>Válvula de retenção de pé com crivo em bronze, DN= 1 1/4´</t>
  </si>
  <si>
    <t>Válvula de retenção de pé com crivo em bronze, DN= 1 1/2´</t>
  </si>
  <si>
    <t>Válvula de retenção de pé com crivo em bronze, DN= 2´</t>
  </si>
  <si>
    <t>Válvula de retenção de pé com crivo em bronze, DN= 2 1/2´</t>
  </si>
  <si>
    <t>Válvula de gaveta em bronze, classe 125 libras para vapor e classe 200 libras para água, óleo e gás, DN= 6´</t>
  </si>
  <si>
    <t>Válvula de gaveta em bronze, classe 125 libras para vapor e classe 200 libras para água, óleo e gás, DN= 2´</t>
  </si>
  <si>
    <t>Válvula globo em bronze, classe 125 libras para vapor e classe 200 libras para água, óleo e gás, DN= 2´</t>
  </si>
  <si>
    <t>Válvula de retenção de pé com crivo em bronze, DN= 3´</t>
  </si>
  <si>
    <t>Válvula de retenção de pé com crivo em bronze, DN= 4´</t>
  </si>
  <si>
    <t>Válvula globo angular de 45° em bronze, DN= 2 1/2´</t>
  </si>
  <si>
    <t>Válvula de gaveta em bronze, haste ascendente, classe 150 libras para vapor saturado e 300 libras para água, óleo e gás, DN= 1/2´</t>
  </si>
  <si>
    <t>Válvula de gaveta em bronze, haste não ascendente, classe 150 libras para vapor saturado e 300 libras para água, óleo e gás, DN= 4´</t>
  </si>
  <si>
    <t>Válvula de gaveta em bronze, haste não ascendente, classe 150 libras para vapor saturado e 300 libras para água, óleo e gás, DN= 2´</t>
  </si>
  <si>
    <t>Válvula globo em bronze, classe 150 libras para vapor saturado e 300 libras para água, óleo e gás, DN= 4´</t>
  </si>
  <si>
    <t>Válvula globo em bronze, classe 150 libras para vapor saturado e 300 libras para água, óleo e gás, DN= 3/4´</t>
  </si>
  <si>
    <t>Válvula globo em bronze, classe 150 libras para vapor saturado e 300 libras para água, óleo e gás, DN= 1´</t>
  </si>
  <si>
    <t>Válvula globo em bronze, classe 150 libras para vapor saturado e 300 libras para água, óleo e gás, DN= 1 1/2´</t>
  </si>
  <si>
    <t>Válvula globo em bronze, classe 150 libras para vapor saturado e 300 libras para água, óleo e gás, DN= 2´</t>
  </si>
  <si>
    <t>Válvula globo em bronze, classe 150 libras para vapor saturado e classe 300 libras para água, óleo e gás, DN= 2 1/2´</t>
  </si>
  <si>
    <t>Válvula de gaveta em bronze, classe 125 libras para vapor e classe 200 libras para água, óleo e gás, DN= 1´</t>
  </si>
  <si>
    <t>Válvula de gaveta em bronze, classe 125 libras para vapor e classe 200 libras para água, óleo e gás, DN= 1 1/2´</t>
  </si>
  <si>
    <t>Válvula de gaveta em bronze, classe 125 libras para vapor e classe 200 libras para água, óleo e gás, DN= 2 1/2´</t>
  </si>
  <si>
    <t>Válvula de gaveta em bronze, classe 125 libras para vapor e classe 200 libras para água, óleo e gás, DN= 3´</t>
  </si>
  <si>
    <t>Válvula globo em bronze, classe 150 libras para vapor saturado e 300 libras para água, óleo e gás, DN= 3´</t>
  </si>
  <si>
    <t>Válvula redutora de pressão em bronze, de ação direta, extremidade roscada, para água, ar, óleo e gás, PE= 200 psi e PS= 20 à 90 psi, DN= 1 1/4´</t>
  </si>
  <si>
    <t>Válvula redutora de pressão em bronze, de ação direta, extremidade roscada, para água, ar, óleo e gás, PE= 200 psi e PS= 20 à 90 psi, DN= 2´</t>
  </si>
  <si>
    <t>Válvula de gaveta em bronze, haste ascendente, classe 150 libras para vapor saturado e 300 libras para água, óleo e gás, DN= 4´</t>
  </si>
  <si>
    <t>Válvula de gaveta em bronze com fecho rápido, DN= 1 1/2´</t>
  </si>
  <si>
    <t>Registro e / ou válvula em ferro fundido</t>
  </si>
  <si>
    <t>Válvula de gaveta em ferro fundido, haste ascendente com flange, classe 125 libras, DN= 2´</t>
  </si>
  <si>
    <t>Válvula de retenção de pé com crivo em ferro fundido, flangeada, DN= 6´</t>
  </si>
  <si>
    <t>Válvula de retenção tipo portinhola dupla em ferro fundido, DN= 6´</t>
  </si>
  <si>
    <t>Válvula de gaveta em ferro fundido com bolsa, DN= 150 mm</t>
  </si>
  <si>
    <t>Válvula de gaveta em ferro fundido com bolsa, DN= 200 mm</t>
  </si>
  <si>
    <t>Válvula de retenção tipo portinhola simples em ferro fundido, DN= 4´</t>
  </si>
  <si>
    <t>Válvula de retenção tipo portinhola dupla em ferro fundido, DN= 4´</t>
  </si>
  <si>
    <t>Válvula de segurança em ferro fundido rosqueada com pressão de ajuste 0,4 até 0,75kgf/cm², DN= 2´</t>
  </si>
  <si>
    <t>Válvula de segurança em ferro fundido rosqueada com pressão de ajuste 6,1 até 10,0kgf/cm², DN= 3/4´</t>
  </si>
  <si>
    <t>Válvula de gaveta em ferro fundido com bolsa, DN= 100mm</t>
  </si>
  <si>
    <t>Visor de fluxo com janela simples, corpo em ferro fundido ou aço carbono, DN = 1´</t>
  </si>
  <si>
    <t>Válvula de governo (retenção e alarme) completa, corpo em ferro fundido, classe 125 libras, DN= 4´</t>
  </si>
  <si>
    <t>Válvula de gaveta em ferro fundido, haste ascendente com flange, classe 125 libras, DN= 4´</t>
  </si>
  <si>
    <t>Válvula de gaveta em ferro fundido, haste ascendente com flange, classe 125 libras, DN= 6´</t>
  </si>
  <si>
    <t>Válvula de retenção vertical em ferro fundido com flange, classe 125 libras, DN= 4´</t>
  </si>
  <si>
    <t>Registro e / ou válvula em aço carbono fundido</t>
  </si>
  <si>
    <t>Válvula esfera em aço carbono fundido, passagem plena, classe 150 libras para vapor e classe 600 libras para água, óleo e gás, DN= 1/2´</t>
  </si>
  <si>
    <t>Válvula esfera em aço carbono fundido, passagem plena, classe 150 libras para vapor e classe 600 libras para água, óleo e gás, DN= 3/4´</t>
  </si>
  <si>
    <t>Válvula esfera em aço carbono fundido, passagem plena, classe 150 libras para vapor e classe 600 libras para água, óleo e gás, DN= 1´</t>
  </si>
  <si>
    <t>Válvula esfera em aço carbono fundido, passagem plena, extremidades rosqueáveis, classe 300 libras para vapor saturado, DN= 1´</t>
  </si>
  <si>
    <t>Válvula esfera em aço carbono fundido, passagem plena, extremidades rosqueáveis, classe 300 libras para vapor saturado, DN= 2´</t>
  </si>
  <si>
    <t>Válvula esfera em aço carbono fundido, passagem reduzida, classe 150 libras para vapor e classe 600 libras para água, óleo e gás, DN= 1/2´</t>
  </si>
  <si>
    <t>Válvula esfera em aço carbono fundido, passagem reduzida, classe 150 libras para vapor e classe 600 libras para água, óleo e gás, DN= 3/4´</t>
  </si>
  <si>
    <t>Válvula esfera em aço carbono fundido, passagem reduzida, classe 150 libras para vapor e classe 600 libras para água, óleo e gás, DN= 1 1/2´</t>
  </si>
  <si>
    <t>Válvula de esfera monobloco em aço carbono fundido, passagem reduzida, classe 150 libras para gás e 300 libras para líquidos e fluidos, DN= 3/4´</t>
  </si>
  <si>
    <t>Registro e / ou válvula em aço carbono forjado</t>
  </si>
  <si>
    <t>Válvula globo em aço carbono forjado, classe 800 libras para vapor e classe 2000 libras para água, óleo e gás, DN= 3/4´</t>
  </si>
  <si>
    <t>Válvula globo em aço carbono forjado, classe 800 libras para vapor e classe 2000 libras para água, óleo e gás, DN= 1´</t>
  </si>
  <si>
    <t>Válvula globo em aço carbono forjado, classe 800 libras para vapor e classe 2000 libras para água, óleo e gás, DN= 1 1/2´</t>
  </si>
  <si>
    <t>Válvula globo em aço carbono forjado, classe 800 libras para vapor e classe 2000 libras para água, óleo e gás, DN= 2´</t>
  </si>
  <si>
    <t>Registro e / ou válvula em aço inoxidável forjado</t>
  </si>
  <si>
    <t>Purgador termodinâmico com filtro incorporado, em aço inoxidável forjado, pressão de 0,25 a 42 kg/cm², temperaturas até 425°C, DN= 1/2´</t>
  </si>
  <si>
    <t>Aparelhos de medição e controle</t>
  </si>
  <si>
    <t>Pressostato de diferencial ajustável, montagem inferior diâmetro 1/2´, faixa de operação entre 32,00 e 45,00 mca</t>
  </si>
  <si>
    <t>Termômetro bimetálico, mostrador com 4´, saída angular, escala 0-100°C</t>
  </si>
  <si>
    <t>Manômetro com mostrador de 4´, escalas: 0-4 / 0-7 / 0-10 / 0-17 / 0-21 / 0-28 kg/cm²</t>
  </si>
  <si>
    <t>Pressostato de diferencial ajustável, unidade sensora em latão/buna ´N´, faixa de operação entre 1,4 a 14 bar, para água, ar, óleo e gás, DN= 1/2´</t>
  </si>
  <si>
    <t>Registro e / ou válvula em ferro dúctil</t>
  </si>
  <si>
    <t>Válvula de gaveta em ferro dúctil com flanges, classe PN-10, DN= 200mm</t>
  </si>
  <si>
    <t>Válvula de gaveta em ferro dúctil com flanges, classe PN-10, DN= 80mm</t>
  </si>
  <si>
    <t>Válvula globo auto-operada hidraulicamente, em ferro dúctil, classe PN-10/16, DN= 50mm</t>
  </si>
  <si>
    <t>Válvula globo auto-operada hidraulicamente, comandada por solenóide, em ferro dúctil, classe PN-10, DN= 50mm</t>
  </si>
  <si>
    <t>Válvula globo auto-operada hidraulicamente, comandada por solenóide, em ferro dúctil, classe PN-10, DN= 100mm</t>
  </si>
  <si>
    <t>Válvula de gaveta em ferro dúctil com flanges, classe PN-10, DN= 300mm</t>
  </si>
  <si>
    <t>Válvula de gaveta em ferro dúctil com flanges, classe PN-10, DN= 100mm</t>
  </si>
  <si>
    <t>Válvula de gaveta em ferro dúctil com flanges, classe PN-10, DN= 150mm</t>
  </si>
  <si>
    <t>Ventosa simples rosqueada em ferro dúctil, classe PN-25, DN= 3/4´</t>
  </si>
  <si>
    <t>Ventosa de tríplice função em ferro dúctil flangeada, classe PN-10/16/25, DN= 50mm</t>
  </si>
  <si>
    <t>Registro e / ou válvula em PVC rígido ou ABS</t>
  </si>
  <si>
    <t>Registro de pressão em PVC rígido, soldável, DN= 25mm (3/4´)</t>
  </si>
  <si>
    <t>Registro regulador de vazão para torneira, misturador e bidê, em ABS com canopla, DN= 1/2´</t>
  </si>
  <si>
    <t>Pig Tail em latão para manômetro, DN= 1/2´</t>
  </si>
  <si>
    <t>Filtro ´Y´ em bronze para gás combustível, DN= 2´</t>
  </si>
  <si>
    <t>Filtro ´Y´ em ferro fundido, classe 125 libras para vapor saturado, com extremidades rosqueaveis, DN= 2´</t>
  </si>
  <si>
    <t>Separador de umidade horizontal em ferro fundido flangeado, DN= 2´</t>
  </si>
  <si>
    <t>Separador de umidade horizontal em ferro fundido flangeado, DN= 4´</t>
  </si>
  <si>
    <t>Pigtail flexível, revestido com borracha sintética resistente, DN= 7/16´ comprimento até 1,00 m</t>
  </si>
  <si>
    <t>Regulador de primeiro estágio de alta pressão até 2kgf/cm², vazão de 90kg GLP/hora</t>
  </si>
  <si>
    <t>Regulador de primeiro estágio, tipo alta pressão até 1,3 kgf/cm², vazão de 50kg GLP/hora</t>
  </si>
  <si>
    <t>Regulador de segundo estágio para gás, uso industrial, vazão até 12kg GLP/hora</t>
  </si>
  <si>
    <t>Filtro ´Y´ em aço carbono, classe 150 libras para vapor saturado, com extremidades flangeadas, DN= 4´</t>
  </si>
  <si>
    <t>Chave de fluxo tipo palheta para tubulação de líquidos.</t>
  </si>
  <si>
    <t>Chave de fluxo de água com retardo para tubulações com diâmetro nominal de 1´ a 6´ - conexão BSP</t>
  </si>
  <si>
    <t>Filtro ´Y´ corpo em bronze, pressão de serviço até 20,7 bar (PN 20), DN= 1 1/4´</t>
  </si>
  <si>
    <t>Filtro ´Y´ corpo em bronze, pressão de serviço até 20,7 bar (PN 20), DN= 1 1/2´</t>
  </si>
  <si>
    <t>Filtro ´Y´ corpo em bronze, pressão de serviço até 20,7 bar (PN 20), DN= 2´</t>
  </si>
  <si>
    <t>Reservatório e tanque para líquidos e gases</t>
  </si>
  <si>
    <t>Reservatório em material sintético</t>
  </si>
  <si>
    <t>Reservatório de fibra de vidro - capacidade de 15.000 litros</t>
  </si>
  <si>
    <t>Reservatório de fibra de vidro - capacidade de 1.000 litros</t>
  </si>
  <si>
    <t>Reservatório de fibra de vidro - capacidade de 500 litros</t>
  </si>
  <si>
    <t>Reservatório de fibra de vidro - capacidade de 250 litros</t>
  </si>
  <si>
    <t>Reservatório de fibra de vidro - capacidade de 3.000 litros</t>
  </si>
  <si>
    <t>Reservatório de fibra de vidro - capacidade de 10.000 litros</t>
  </si>
  <si>
    <t>Reservatório de fibra de vidro - capacidade de 1.500 litros</t>
  </si>
  <si>
    <t>Reservatório de fibra de vidro - capacidade de 2.000 litros</t>
  </si>
  <si>
    <t>Reservatório de fibra de vidro - capacidade de 20.000 litros</t>
  </si>
  <si>
    <t>Reservatório vertical de fibra de vidro - capacidade de 1.000 litros</t>
  </si>
  <si>
    <t>Reservatório em polietileno de alta densidade (cisterna) com antioxidante e proteção contra raios ultravioleta (UV) - capacidade de 5.000 litros</t>
  </si>
  <si>
    <t>Reservatório em polietileno de alta densidade (cisterna) com antioxidante e proteção contra raios ultravioleta (UV) - capacidade de 10.000 litros</t>
  </si>
  <si>
    <t>Reservatório em polietileno de alta densidade com antioxidante e proteção contra raios ultravioleta (UV) - capacidade de 8.000 litros</t>
  </si>
  <si>
    <t>Reservatório metálico</t>
  </si>
  <si>
    <t>Reservatório metálico cilíndrico horizontal - capacidade de 1.000 litros</t>
  </si>
  <si>
    <t>Reservatório metálico cilíndrico horizontal - capacidade de 10.000 litros</t>
  </si>
  <si>
    <t>Reservatório metálico cilíndrico horizontal - capacidade de 5.000 litros</t>
  </si>
  <si>
    <t>Reservatório metálico cilíndrico horizontal - capacidade de 3.000 litros</t>
  </si>
  <si>
    <t>Reservatório em concreto</t>
  </si>
  <si>
    <t>Reservatório em concreto armado cilíndrico, vertical, bipartido, método construtivo em formas deslizantes, Øint.de 3,50 a 4,00m, altura de 15,00m a 25,00m</t>
  </si>
  <si>
    <t>Reservatório em concreto armado cilíndrico, vertical, bipartido, método construtivo em formas deslizantes, Øint.de 5,50 a 6,00m, altura de 25,00m a 30,00m</t>
  </si>
  <si>
    <t>Torneira de bóia</t>
  </si>
  <si>
    <t>Torneira de bóia, DN= 3/4´</t>
  </si>
  <si>
    <t>Torneira de bóia, DN= 1´</t>
  </si>
  <si>
    <t>Torneira de bóia, DN= 1 1/4´</t>
  </si>
  <si>
    <t>Torneira de bóia, DN= 1 1/2´</t>
  </si>
  <si>
    <t>Torneira de bóia, DN= 2´</t>
  </si>
  <si>
    <t>Torneira de bóia, tipo registro automático de entrada, DN= 3´</t>
  </si>
  <si>
    <t>Torneira de bóia, tipo registro automático de entrada, em ferro dúctil, DN= 8´</t>
  </si>
  <si>
    <t>Torneira de bóia, DN= 2 1/2´</t>
  </si>
  <si>
    <t>Limpeza de caixa d´água até 1.000 litros</t>
  </si>
  <si>
    <t>Limpeza de caixa d´água de 1.001 até 10.000 litros</t>
  </si>
  <si>
    <t>Limpeza de caixa d´água acima de 10.000 litros</t>
  </si>
  <si>
    <t>Caixa, ralo, grelha e acessório hidráulico</t>
  </si>
  <si>
    <t>Caixas sifonadas de PVC rígido</t>
  </si>
  <si>
    <t>Caixa sifonada de PVC rígido de 100 x 150 x 50 mm, com grelha</t>
  </si>
  <si>
    <t>Caixa sifonada de PVC rígido de 150 x 150 x 50 mm, com grelha</t>
  </si>
  <si>
    <t>Caixa sifonada de PVC rígido de 150 x 185 x 75 mm, com grelha</t>
  </si>
  <si>
    <t>Caixa sifonada de PVC rígido de 250 x 172 x 50 mm, com tampa cega</t>
  </si>
  <si>
    <t>Caixa sifonada de PVC rígido de 250 x 230 x 75 mm, com tampa cega</t>
  </si>
  <si>
    <t>Caixa sifonada de PVC rígido de 100 x 100 x 50 mm, com grelha</t>
  </si>
  <si>
    <t>Caixa de gordura</t>
  </si>
  <si>
    <t>Caixa de gordura em alvenaria, 60 x 60 x 60 cm</t>
  </si>
  <si>
    <t>Ralos de PVC rígido</t>
  </si>
  <si>
    <t>Ralo seco em PVC rígido de 100 x 40 mm, com grelha</t>
  </si>
  <si>
    <t>Ralos de ferro fundido</t>
  </si>
  <si>
    <t>Ralo seco em ferro fundido, 100 x 165 x 50 mm, com grelha metálica saída vertical</t>
  </si>
  <si>
    <t>Ralo sifonado em ferro fundido de 150 x 240 x 75 mm, com grelha</t>
  </si>
  <si>
    <t>Grelhas e tampas</t>
  </si>
  <si>
    <t>Grelha hemisférica em ferro fundido de 4´</t>
  </si>
  <si>
    <t>Grelha em ferro fundido para caixas e canaletas</t>
  </si>
  <si>
    <t>Grelha hemisférica em ferro fundido de 3´</t>
  </si>
  <si>
    <t>Grelha articulada em ferro fundido para boca de leão</t>
  </si>
  <si>
    <t>Grelha hemisférica em ferro fundido de 6´</t>
  </si>
  <si>
    <t>Grelha hemisférica em ferro fundido de 2´</t>
  </si>
  <si>
    <t>Grelha redonda com disco rotativo em aço inoxidável de 15 cm</t>
  </si>
  <si>
    <t>Grelha quadriculada em ferro fundido para caixas e canaletas</t>
  </si>
  <si>
    <t>Grelha em alumínio fundido para caixas e canaletas - linha comercial</t>
  </si>
  <si>
    <t>Grelha pré-moldada em concreto, com furos redondos, 79,5 x 24,5 x 8 cm</t>
  </si>
  <si>
    <t>Captador pluvial, corpo em aço inoxidável e grelha, com mecanismo anti-vórtice, DN= 50 mm</t>
  </si>
  <si>
    <t>Captador pluvial, corpo em aço inoxidável e grelha, com mecanismo anti-vórtice, DN= 75 mm</t>
  </si>
  <si>
    <t>Tampão em ferro fundido de Ø 600 mm, classe 125 (ruptura &gt; 125 kN)</t>
  </si>
  <si>
    <t>Tampão em ferro fundido de Ø 600 mm, classe 250 (ruptura &gt; 250 kN)</t>
  </si>
  <si>
    <t>Tampão em ferro fundido de Ø 600 mm, classe 400 (ruptura&gt; 400 kN)</t>
  </si>
  <si>
    <t>Tampão em ferro fundido de 300 x 300 mm, classe 125 (ruptura &gt; 125 kN)</t>
  </si>
  <si>
    <t>Tampão em ferro fundido de 400 x 400 mm, classe 125 (ruptura &gt; 125 kN)</t>
  </si>
  <si>
    <t>Tampão em ferro fundido de 500 x 500 mm, classe 125 (ruptura &gt; 125 kN)</t>
  </si>
  <si>
    <t>Tampão em ferro fundido de 600 x 600 mm, classe 125 (ruptura &gt; 125 kN)</t>
  </si>
  <si>
    <t>Tampão em ferro fundido com tampa articulada, de 400 x 600 mm, classe 15 (ruptura &gt; 1500 kg)</t>
  </si>
  <si>
    <t>Grelha com calha e cesto coletor para piso, em aço inox com 15 cm de largura</t>
  </si>
  <si>
    <t>Grelha com calha e cesto coletor para piso, em aço inox com 20 cm de largura</t>
  </si>
  <si>
    <t>Caixas de passagem e inspeção</t>
  </si>
  <si>
    <t>Caixa de areia em PVC, diâmetro nominal = 100 mm</t>
  </si>
  <si>
    <t>Canaletas e afins</t>
  </si>
  <si>
    <t>Canaleta com grelha em alumínio, largura de 80mm</t>
  </si>
  <si>
    <t>Canaleta com grelha em alumínio, saída central vertical, largura de 46mm</t>
  </si>
  <si>
    <t>Poço de visita / boca de lobo / caixa de passagem e afins</t>
  </si>
  <si>
    <t>Boca de lobo simples tipo PMSP, com tampa de concreto</t>
  </si>
  <si>
    <t>Boca de lobo dupla tipo PMSP, com tampa de concreto</t>
  </si>
  <si>
    <t>Boca de leão simples tipo PMSP, com grelha</t>
  </si>
  <si>
    <t>Boca de lobo tripla tipo PMSP, com tampa de concreto</t>
  </si>
  <si>
    <t>Caixa coletora em concreto armado 0,30 x 0,70 x 1,00 m</t>
  </si>
  <si>
    <t>Poço de visita de 1,60 x 1,60 x 1,60 m - tipo PMSP</t>
  </si>
  <si>
    <t>Chaminé para poço de visita tipo PMSP em alvenaria diâmetro interno 70 cm - pescoço</t>
  </si>
  <si>
    <t>Poço de visita em alvenaria tipo PMSP - balão</t>
  </si>
  <si>
    <t>Filtros anaeróbios</t>
  </si>
  <si>
    <t>Filtro biológico anaeróbio com anéis pré-moldados de concreto diâmetro de 1,40 m - h= 2,00 m</t>
  </si>
  <si>
    <t>Filtro biológico anaeróbio com anéis pré-moldados de concreto diâmetro de 2,00 m - h= 2,00 m</t>
  </si>
  <si>
    <t>Filtro biológico anaeróbio com anéis pré-moldados de concreto diâmetro de 2,40 m - h= 2,00 m</t>
  </si>
  <si>
    <t>Filtro biológico anaeróbio com anéis pré-moldados de concreto diâmetro de 2,84 m - h= 2,50 m</t>
  </si>
  <si>
    <t>Fossa séptica</t>
  </si>
  <si>
    <t>Fossa séptica câmara única com anéis pré-moldados em concreto, diâmetro externo de 1,50 m, altura útil de 1,50 m</t>
  </si>
  <si>
    <t>Fossa séptica câmara única com anéis pré-moldados em concreto, diâmetro externo de 2,50 m, altura útil de 2,50 m</t>
  </si>
  <si>
    <t>Fossa séptica câmara única com anéis pré-moldados em concreto, diâmetro externo de 2,50 m, altura útil de 4,00 m</t>
  </si>
  <si>
    <t>SM-01 sumidouro - poço absorvente</t>
  </si>
  <si>
    <t>Tampão de concreto para sumidouro - diâmetro interno de 2,0 m</t>
  </si>
  <si>
    <t>Anel e aduela pré-moldados</t>
  </si>
  <si>
    <t>Anel pré-moldado de concreto com diâmetro de 0,60 m</t>
  </si>
  <si>
    <t>Anel pré-moldado de concreto com diâmetro de 0,80 m</t>
  </si>
  <si>
    <t>Anel pré-moldado de concreto com diâmetro de 1,20 m</t>
  </si>
  <si>
    <t>Anel pré-moldado de concreto com diâmetro de 1,50 m</t>
  </si>
  <si>
    <t>Anel pré-moldado de concreto com diâmetro de 1,80 m</t>
  </si>
  <si>
    <t>Anel pré-moldado de concreto com diâmetro de 3,00 m</t>
  </si>
  <si>
    <t>Detecção, combate e prevenção a incêndio</t>
  </si>
  <si>
    <t>Hidrantes e acessórios</t>
  </si>
  <si>
    <t>Abrigo duplo para hidrante/mangueira, com visor e suporte (embutir e externo)</t>
  </si>
  <si>
    <t>Abrigo para hidrante/mangueira (embutir e externo)</t>
  </si>
  <si>
    <t>Mangueira com união de engate rápido, DN= 1 1/2´ (38 mm)</t>
  </si>
  <si>
    <t>Botoeira para acionamento de bomba de incêndio tipo quebra-vidro</t>
  </si>
  <si>
    <t>Mangueira com união de engate rápido, DN= 2 1/2´ (63 mm)</t>
  </si>
  <si>
    <t>Esguicho latão com engate rápido, DN= 2 1/2´, jato regulável</t>
  </si>
  <si>
    <t>Abrigo simples com suporte, em aço inoxidável escovado, para mangueira de 1 1/2´, porta em vidro temperado jateado - inclusive mangueira de 30 m (2 x 15 m)</t>
  </si>
  <si>
    <t>Adaptador de engate rápido em latão de 2 1/2´ x 1 1/2´</t>
  </si>
  <si>
    <t>Adaptador de engate rápido em latão de 2 1/2´ x 2 1/2´</t>
  </si>
  <si>
    <t>Hidrante de coluna com duas saídas, 4´x 2 1/2´ - simples</t>
  </si>
  <si>
    <t>Tampão de engate rápido em latão, DN= 2 1/2´, com corrente</t>
  </si>
  <si>
    <t>Tampão de engate rápido em latão, DN= 1 1/2´, com corrente</t>
  </si>
  <si>
    <t>Chave para conexão de engate rápido</t>
  </si>
  <si>
    <t>Esguicho latão com engate rápido, DN= 1 1/2´, jato regulável</t>
  </si>
  <si>
    <t>Abrigo de hidrante de 1 1/2´ completo - inclusive mangueira de 30 m (2 x 15 m)</t>
  </si>
  <si>
    <t>Abrigo de hidrante de 2 1/2´ completo - inclusive mangueira de 30 m (2 x 15 m)</t>
  </si>
  <si>
    <t>Abrigo para registro de recalque tipo coluna, completo - inclusive tubulações e válvulas</t>
  </si>
  <si>
    <t>Registros e válvulas controladoras</t>
  </si>
  <si>
    <t>Bico de sprinkler cromado pendente com rompimento da ampola a 68°C</t>
  </si>
  <si>
    <t>Alarme hidráulico tipo gongo</t>
  </si>
  <si>
    <t>Bico de sprinkler tipo ´Up Right´ com rompimento da ampola a 68º C</t>
  </si>
  <si>
    <t>Válvula de governo completa com alarme VGA, corpo em ferro fundido, extremidades flangeadas e DN = 6’</t>
  </si>
  <si>
    <t>Iluminação e sinalização de emergência</t>
  </si>
  <si>
    <t>Central de iluminação de emergência, completa, para até 6.000 W</t>
  </si>
  <si>
    <t>Luminária para unidade centralizada pendente completa com lâmpadas fluorescentes compactas de 9 W</t>
  </si>
  <si>
    <t>Luminária para unidade centralizada de sobrepor completa com lâmpada fluorescente compacta de 15 W</t>
  </si>
  <si>
    <t>Módulo para adaptação de luminária de emergência, autonomia 90 minutos para lâmpada fluorescente de 32 W</t>
  </si>
  <si>
    <t>Acionador manual tipo quebra vidro, em caixa plástica</t>
  </si>
  <si>
    <t>Detector termovelocimétrico endereçável com base endereçável</t>
  </si>
  <si>
    <t>Sirene audiovisual tipo endereçável</t>
  </si>
  <si>
    <t>Luminária para balizamento ou aclaramento de sobrepor completa com lâmpada fluorescente compacta de 9 W</t>
  </si>
  <si>
    <t>Central de iluminação de emergência, completa, autonomia 1 hora, para até 240 W</t>
  </si>
  <si>
    <t>Bloco autônomo de iluminação de emergência com autonomia mínima de 1 hora, equipado com 2 lâmpadas de 11 W</t>
  </si>
  <si>
    <t>Central de detecção e alarme de incêndio completa, autonomia de 1 hora para 12 laços, 220 V/12 V</t>
  </si>
  <si>
    <t>Sirene tipo corneta de 12 V</t>
  </si>
  <si>
    <t>Bloco autônomo de iluminação de emergência com autonomia mínima de 3 horas, equipado com 2 faróis de lâmpadas de 21/55 W</t>
  </si>
  <si>
    <t>Sirene eletrônica em caixa metálica de 4 x 4</t>
  </si>
  <si>
    <t>Detector óptico de fumaça com base - endereçável</t>
  </si>
  <si>
    <t>Painel repetidor de detecção e alarme de incêndio tipo endereçável</t>
  </si>
  <si>
    <t>Acionador manual quebra-vidro endereçável</t>
  </si>
  <si>
    <t>Módulo isolador, módulo endereçador para áudio visual</t>
  </si>
  <si>
    <t>Extintores</t>
  </si>
  <si>
    <t>Extintor sobre rodas de gás carbônico - capacidade de 10 kg</t>
  </si>
  <si>
    <t>Extintor manual de pó químico seco BC - capacidade de 4 kg</t>
  </si>
  <si>
    <t>Extintor sobre rodas de gás carbônico - capacidade de 25 kg</t>
  </si>
  <si>
    <t>Extintor manual de pó químico seco BC - capacidade de 8 kg</t>
  </si>
  <si>
    <t>Extintor manual de pó químico seco BC - capacidade de 12 kg</t>
  </si>
  <si>
    <t>Extintor sobre rodas de pó químico seco 20BC - capacidade de 20 kg</t>
  </si>
  <si>
    <t>Extintor manual de água pressurizada - capacidade de 10 litros</t>
  </si>
  <si>
    <t>Extintor manual de pó químico seco ABC - capacidade de 4 kg</t>
  </si>
  <si>
    <t>Extintor manual de pó químico seco ABC - capacidade de 6 kg</t>
  </si>
  <si>
    <t>Extintor manual de gás carbônico 5BC - capacidade de 06 kg</t>
  </si>
  <si>
    <t>Suporte para extintor de piso em fibra de vidro</t>
  </si>
  <si>
    <t>Suporte para extintor de piso em aço inox</t>
  </si>
  <si>
    <t>Destravador magnético (Eletroimã), para porta corta-fogo de 24 Vcc</t>
  </si>
  <si>
    <t>Recarga de extintor de água pressurizada</t>
  </si>
  <si>
    <t>Recarga de extintor de gás carbônico</t>
  </si>
  <si>
    <t>Recarga de extintor de pó químico seco</t>
  </si>
  <si>
    <t>Pintura de extintor de gás carbônico, pó químico seco, ou água pressurizada, com capacidade acima de 12 kg até 20 kg</t>
  </si>
  <si>
    <t>Pintura de extintor de gás carbônico, pó químico seco, ou água pressurizada, com capacidade até 12 kg</t>
  </si>
  <si>
    <t>Recolocação de bico de sprinkler</t>
  </si>
  <si>
    <t>Pavimentação e passeio</t>
  </si>
  <si>
    <t>Pavimentação preparo de base</t>
  </si>
  <si>
    <t>Regularização e compactação mecanizada de superfície, sem controle do proctor normal</t>
  </si>
  <si>
    <t>Abertura e preparo de caixa até 40 cm, compactação do subleito mínimo de 95% do PN e transporte até o raio de 1,0 km</t>
  </si>
  <si>
    <t>Compactação do subleito mínimo de 95% do PN</t>
  </si>
  <si>
    <t>Base de macadame hidráulico</t>
  </si>
  <si>
    <t>Base de brita graduada</t>
  </si>
  <si>
    <t>Base de bica corrida</t>
  </si>
  <si>
    <t>Base de macadame betuminoso</t>
  </si>
  <si>
    <t>Abertura de caixa até 25 cm, inclui escavação, compactação, transporte e preparo do sub-leito</t>
  </si>
  <si>
    <t>Varrição de pavimento para recapeamento</t>
  </si>
  <si>
    <t>Pavimentação com pedrisco e revestimento primário</t>
  </si>
  <si>
    <t>Revestimento primário com pedra britada, compactação mínima de 95% do PN</t>
  </si>
  <si>
    <t>Pavimentação flexível</t>
  </si>
  <si>
    <t>Concreto asfáltico usinado a quente - Binder</t>
  </si>
  <si>
    <t>Camada de rolamento em concreto asfáltico usinado a quente - (CBUQ)</t>
  </si>
  <si>
    <t>Revestimento com massa asfáltica</t>
  </si>
  <si>
    <t>Imprimação betuminosa ligante</t>
  </si>
  <si>
    <t>Imprimação betuminosa impermeabilizante</t>
  </si>
  <si>
    <t>Revestimento de pré-misturado a quente</t>
  </si>
  <si>
    <t>Revestimento de pré-misturado a frio</t>
  </si>
  <si>
    <t>Pavimentação em paralelepípedos e blocos de concreto</t>
  </si>
  <si>
    <t>Pavimentação em paralelepípedo, sem rejunte</t>
  </si>
  <si>
    <t>Rejuntamento de paralelepípedo com areia</t>
  </si>
  <si>
    <t>Rejuntamento de paralelepípedo com argamassa de cimento e areia 1:3</t>
  </si>
  <si>
    <t>Rejuntamento de paralelepípedo com asfalto e pedrisco</t>
  </si>
  <si>
    <t>Pavimentação em lajota de concreto 35 MPa, espessura 6 cm, tipos: raquete, retangular, sextavado e 16 faces, com rejunte em areia</t>
  </si>
  <si>
    <t>Pavimentação em lajota de concreto 35 MPa, espessura 8 cm, tipos: raquete, retangular, sextavado e 16 faces, com rejunte em areia</t>
  </si>
  <si>
    <t>Bloco diagonal em concreto tipo piso drenante para plantio de grama - 50 x 50 x 10 cm</t>
  </si>
  <si>
    <t>Guias e sarjetas</t>
  </si>
  <si>
    <t>Guia pré-moldada curva tipo PMSP 100 - fck 25 MPa</t>
  </si>
  <si>
    <t>Guia pré-moldada reta tipo PMSP 100 - fck 25 MPa</t>
  </si>
  <si>
    <t>Base em concreto com fck de 20 MPa, para guias, sarjetas ou sarjetões</t>
  </si>
  <si>
    <t>Base em concreto com fck de 25 MPa, para guias, sarjetas ou sarjetões</t>
  </si>
  <si>
    <t>Execução de perfil extrusado no local</t>
  </si>
  <si>
    <t>Sarjeta ou sarjetão moldado no local, tipo PMSP em concreto com fck 20 MPa</t>
  </si>
  <si>
    <t>Sarjeta ou sarjetão moldado no local, tipo PMSP em concreto com fck 25 MPa</t>
  </si>
  <si>
    <t>Passeio em mosaico português</t>
  </si>
  <si>
    <t>Piso em ladrilho hidráulico preto, branco e cinza 20 x 20 cm, assentado com argamassa mista</t>
  </si>
  <si>
    <t>Piso em ladrilho hidráulico preto, branco e cinza 20 x 20 cm, assentado com argamassa colante industrializada</t>
  </si>
  <si>
    <t>Piso em ladrilho hidráulico várias cores 20 x 20 cm, assentado com argamassa mista</t>
  </si>
  <si>
    <t>Piso em ladrilho hidráulico várias cores 20 x 20 cm, assentado com argamassa colante industrializada</t>
  </si>
  <si>
    <t>Rejuntamento de piso em ladrilho hidráulico (20 x 20 x 1,8 cm) com cimento branco, juntas de 2 mm</t>
  </si>
  <si>
    <t>Rejuntamento de piso em ladrilho hidráulico (20 x 20 x 1,8 cm) com argamassa industrializada para rejunte, juntas de 2 mm</t>
  </si>
  <si>
    <t>Piso em ladrilho hidráulico tipo rampa várias cores (30x30cm) antiderrapante, assentado com argamassa mista</t>
  </si>
  <si>
    <t>Bate-roda em concreto pré-moldado</t>
  </si>
  <si>
    <t>Reassentamento de guia pré-moldada reta e/ou curva</t>
  </si>
  <si>
    <t>Reassentamento de paralelepípedos, sem rejunte</t>
  </si>
  <si>
    <t>Reassentamento de pavimentação em lajota de concreto, espessura 6 cm, com rejunte em areia</t>
  </si>
  <si>
    <t>Reassentamento de pavimentação em lajota de concreto, espessura 8 cm, com rejunte em areia</t>
  </si>
  <si>
    <t>Reassentamento de pavimentação em lajota de concreto, espessura 10 cm, com rejunte em areia</t>
  </si>
  <si>
    <t>Limpeza</t>
  </si>
  <si>
    <t>Limpeza de obra</t>
  </si>
  <si>
    <t>Limpeza final da obra</t>
  </si>
  <si>
    <t>Limpeza complementar com hidrojateamento</t>
  </si>
  <si>
    <t>Limpeza complementar e especial de piso com produtos químicos</t>
  </si>
  <si>
    <t>Limpeza complementar e especial de peças e aparelhos sanitários</t>
  </si>
  <si>
    <t>Limpeza complementar e especial de vidros</t>
  </si>
  <si>
    <t>Limpeza e lavagem de superfície revestida com material cerâmico ou pastilhas por hidrojateamento com rejuntamento</t>
  </si>
  <si>
    <t>Limpeza de superfície com hidrojateamento</t>
  </si>
  <si>
    <t>Limpeza e desinfecção sanitária</t>
  </si>
  <si>
    <t>Limpeza de caixa de inspeção</t>
  </si>
  <si>
    <t>Limpeza de fossa</t>
  </si>
  <si>
    <t>Limpeza e desobstrução de boca de lobo</t>
  </si>
  <si>
    <t>Limpeza e desobstrução de canaletas ou tubulações de águas pluviais</t>
  </si>
  <si>
    <t>Limpeza e desentupimento manual de tubulação de esgoto predial</t>
  </si>
  <si>
    <t>Remoção de entulho</t>
  </si>
  <si>
    <t>Locação de duto coletor de entulho</t>
  </si>
  <si>
    <t>Conforto mecânico, equipamentos e sistema</t>
  </si>
  <si>
    <t>Elevador</t>
  </si>
  <si>
    <t>Elevador para passageiros, uso interno com capacidade mínima de 600kg para duas paradas, portas unilaterais</t>
  </si>
  <si>
    <t>Elevador para passageiros, uso interno com capacidade mínima de 600kg para três paradas, portas unilaterais</t>
  </si>
  <si>
    <t>Elevador para passageiros, uso interno com capacidade mínima de 600kg para três paradas, portas bilaterais</t>
  </si>
  <si>
    <t>Elevador para passageiros, uso interno com capacidade mínima de 600 kg para quatro paradas, portas bilaterais</t>
  </si>
  <si>
    <t>Elevador para passageiros, uso interno com capacidade mínima de 600 kg para quatro paradas, portas unilaterais</t>
  </si>
  <si>
    <t>Fechamento em vidro laminado para caixa de elevador</t>
  </si>
  <si>
    <t>Elevador para 9 passageiros com 2 paradas, acessos justapostos, sem casa de máquinas</t>
  </si>
  <si>
    <t>Exaustão</t>
  </si>
  <si>
    <t>Exaustor eólico vazão de ar 4.000 m³/h e ventos a 10 km/h</t>
  </si>
  <si>
    <t>Ventilação</t>
  </si>
  <si>
    <t>Caixa ventiladora com ventilador centrífugo, vazão 4400 m³/h, pressão 35 mmCA - 220/380 V / 60Hz</t>
  </si>
  <si>
    <t>Caixa ventiladora com ventilador centrífugo, vazão 8800 m³/h, pressão 35 mmCA - 220/380 V / 60Hz</t>
  </si>
  <si>
    <t>Caixa ventiladora com ventilador centrífugo, vazão 700 m³/h, pressão 35 mmCA - 220/380 V / 60Hz</t>
  </si>
  <si>
    <t>Caixa ventiladora com ventilador centrífugo, vazão 1710 m³/h, pressão 35 mmCA - 220/380 V / 60Hz</t>
  </si>
  <si>
    <t>Caixa ventiladora com ventilador centrífugo, vazão 1190 m³/h, pressão 35 mmCA - 220/380 V / 60Hz</t>
  </si>
  <si>
    <t>Cortina de ar com duas velocidades para vão de 1,20 m</t>
  </si>
  <si>
    <t>Cortina de ar com duas velocidades para vão de 1,40 m</t>
  </si>
  <si>
    <t>Ligação típica, (cavalete), para ar condicionado ´fancoil´, diâmetro de 1/2´</t>
  </si>
  <si>
    <t>Ligação típica, (cavalete), para ar condicionado ´fancoil´, diâmetro de 3/4´</t>
  </si>
  <si>
    <t>Ligação típica, (cavalete), para ar condicionado ´fancoil´, diâmetro de 1´</t>
  </si>
  <si>
    <t>Ligação típica, (cavalete), para ar condicionado ´fancoil´, diâmetro de 1 1/4´</t>
  </si>
  <si>
    <t>Duto em chapa de aço galvanizado</t>
  </si>
  <si>
    <t>Cozinha, refeitório, lavanderia industrial, equipamento e acessórios</t>
  </si>
  <si>
    <t>Mobiliário e acessórios</t>
  </si>
  <si>
    <t>Tanque duplo com pés em aço inoxidável de 1600 x 700 x 850 mm</t>
  </si>
  <si>
    <t>Mesa em aço inoxidável, largura até 700 mm</t>
  </si>
  <si>
    <t>Mesa lateral em aço inoxidável com prateleira inferior, largura até 700 mm</t>
  </si>
  <si>
    <t>Coifa em aço inoxidável com filtro e exaustor axial - área até 3,00 m²</t>
  </si>
  <si>
    <t>Coifa em aço inoxidável com filtro e exaustor axial - área de 3,01 até 7,50 m²</t>
  </si>
  <si>
    <t>Coifa em aço inoxidável com filtro e exaustor axial - área de 7,51 até 16,00 m²</t>
  </si>
  <si>
    <t>Resfriamento e conservação de material perecivel</t>
  </si>
  <si>
    <t>Câmara frigorífica para resfriado</t>
  </si>
  <si>
    <t>Câmara frigorífica para resfriados</t>
  </si>
  <si>
    <t>Câmara frigorífica para congelado</t>
  </si>
  <si>
    <t>Câmara frigorífica para congelados</t>
  </si>
  <si>
    <t>Segurança, vigilância e controle, equipamentos e sistema</t>
  </si>
  <si>
    <t>Controle de acessos e alarme</t>
  </si>
  <si>
    <t>Repetidora de sinais de ocorrências, do painel sinóptico da central de alarme</t>
  </si>
  <si>
    <t>Detector de metais, tipo portal, microprocessado</t>
  </si>
  <si>
    <t>Porteiro eletrônico com um interfone</t>
  </si>
  <si>
    <t>Sistema eletrônico de automatização de portão deslizante, esforço até 1400 kg</t>
  </si>
  <si>
    <t>Vídeo porteiro eletrônico colorido, com um interfone e fechadura elétrica</t>
  </si>
  <si>
    <t>Central de alarme microprocessada, para até 125 zonas</t>
  </si>
  <si>
    <t>Equipamentos para sistema de segurança, vigilância e controle</t>
  </si>
  <si>
    <t>Manipulador ou teclado para as câmeras móveis</t>
  </si>
  <si>
    <t>Rack fechado de piso padrão metálico, 19 x 44Us x 770 mm</t>
  </si>
  <si>
    <t>Gabinete de comando e visualização, com mesa de apoio para até 3 monitores de 17´ e 3 monitores de 20´</t>
  </si>
  <si>
    <t>Rack fechado padrão metálico, 19 x 12 Us x 470 mm</t>
  </si>
  <si>
    <t>Rack fechado padrão metálico, 19 x 20 Us x 470 mm</t>
  </si>
  <si>
    <t>Monitor LCD colorido tela plana de 17´</t>
  </si>
  <si>
    <t>Monitor LCD colorido tela plana de 20´</t>
  </si>
  <si>
    <t>Lente com diâmetro de 1/3´, com foco variável entre 3,5 mm a 8,0 mm</t>
  </si>
  <si>
    <t>Rack fechado de piso padrão metálico, 19 x 24 Us x 570 mm</t>
  </si>
  <si>
    <t>Filtro e misturador de sinais</t>
  </si>
  <si>
    <t>Receptor de sinais via satélite para 8 canais (rack)</t>
  </si>
  <si>
    <t>Modulador de canais</t>
  </si>
  <si>
    <t>Amplificador de linha VHF + UHF com conector de F50 dB</t>
  </si>
  <si>
    <t>Câmara fixa com domo e suporte de fixação, sensor de imagem CMOS, função WDR</t>
  </si>
  <si>
    <t>Unidade gerenciadora de vídeo local (DVR) com HD</t>
  </si>
  <si>
    <t>Guia organizadora de cabos para rack, 19´ 1 U</t>
  </si>
  <si>
    <t>Switch 24 portas com capacidade de 10/100/1000/Mbps</t>
  </si>
  <si>
    <t>Guia organizadora de cabos para rack, 19´ 2 U</t>
  </si>
  <si>
    <t>Caixa de proteção com suporte para câmera fixa interna ou externa</t>
  </si>
  <si>
    <t>Suporte para câmera dome</t>
  </si>
  <si>
    <t>Instalação de câmera fixa, para CFTV</t>
  </si>
  <si>
    <t>Instalação de câmera móvel, para CFTV</t>
  </si>
  <si>
    <t>Switch para servidor central com 24 portas frontais, capadidade de 10/100/1000 Mbps</t>
  </si>
  <si>
    <t>Captação, adução e tratamento de água e esgoto, equipamentos e sistema</t>
  </si>
  <si>
    <t>Tratamento</t>
  </si>
  <si>
    <t>Medidor de vazão tipo calha Parshall com garganta W= 6´</t>
  </si>
  <si>
    <t>Medidor de vazão tipo calha Parshall com garganta W= 3´</t>
  </si>
  <si>
    <t>Grade fina em aço carbono, espaçamento de 3 cm, com barras chatas de 1´x 1/4´</t>
  </si>
  <si>
    <t>Grade grossa em aço carbono, espaçamento de 5 cm, com barras chatas de 1´ x 1/4´</t>
  </si>
  <si>
    <t>Tela galvanizada revestida em poliamida, malha de 10 mm</t>
  </si>
  <si>
    <t>Grade fina em aço carbono, espaçamento de 1 cm com barras chatas de 1´ x 3/8´</t>
  </si>
  <si>
    <t>Grade média em aço carbono, espaçamento de 2 cm com barras chatas de 1´ x 3/8´</t>
  </si>
  <si>
    <t>Grade grossa em aço carbono, espaçamento de 4 cm com barras chatas de 1´ x 3/8´</t>
  </si>
  <si>
    <t>Cesto em chapa de aço inoxidável com espessura de 1,5 mm e furos de 1/2´</t>
  </si>
  <si>
    <t>Estação de tratamento de esgoto compacta, vazão máxima horária 12,0 l/s, para obras de segurança</t>
  </si>
  <si>
    <t>Comporta em fibra de vidro (stop log) - espessura de 10 mm</t>
  </si>
  <si>
    <t>Sistema de tratamento de águas cinzas e aproveitamento de águas pluviais, para reuso em fins não potáveis, vazao de 2,00 m³/h</t>
  </si>
  <si>
    <t>Estação de tratamento de esgoto, vazão média 60 m³/dia, tratamento conforme Artigo 18</t>
  </si>
  <si>
    <t>Estação de tratamento de esgoto, vazão média 30 m³/dia, tratamento da água cinza para reuso</t>
  </si>
  <si>
    <t>Estação de tratamento de esgoto, vazão média 60 m³/dia, separação da água negra conforme Artigo 18 e da água cinza para reuso</t>
  </si>
  <si>
    <t>Estação de tratamento de esgoto, vazão média 450 m³/dia, conforme Artigo 18</t>
  </si>
  <si>
    <t>Estação de tratamento de esgoto, vazão média 315 m³/dia, tratamento da água cinza para reuso</t>
  </si>
  <si>
    <t>Estação de tratamento de esgoto, vazão média 450 m³/dia, separação da água negra conforme Artigo 18 e da água cinza para reuso</t>
  </si>
  <si>
    <t>Eletrificação, equipamentos e sistema</t>
  </si>
  <si>
    <t>Posteamento</t>
  </si>
  <si>
    <t>Poste de concreto duplo T, 90 kg, H = 7,50 m</t>
  </si>
  <si>
    <t>Poste de concreto duplo T, 150 kg, H = 10,00 m</t>
  </si>
  <si>
    <t>Poste de concreto duplo T, 200 kg, H = 7,50 m</t>
  </si>
  <si>
    <t>Poste de concreto duplo T, 200 kg, H = 11,00 m</t>
  </si>
  <si>
    <t>Poste de concreto duplo T, 300 kg, H = 7,50 m</t>
  </si>
  <si>
    <t>Poste de concreto duplo T, 300 kg, H = 10,00 m</t>
  </si>
  <si>
    <t>Poste de concreto duplo T, 300 kg, H = 12,00 m</t>
  </si>
  <si>
    <t>Poste de concreto duplo T, 400 kg, H = 12,00 m</t>
  </si>
  <si>
    <t>Poste de concreto duplo T, 600 kg, H = 10,00 m</t>
  </si>
  <si>
    <t>Poste de concreto duplo T, 600 kg, H = 11,00 m</t>
  </si>
  <si>
    <t>Poste de concreto circular, 200 kg, H = 7,00 m</t>
  </si>
  <si>
    <t>Poste de concreto circular, 200 kg, H = 8,00 m</t>
  </si>
  <si>
    <t>Poste de concreto circular, 200 kg, H = 9,00 m</t>
  </si>
  <si>
    <t>Poste de concreto circular, 200 kg, H = 10,00 m</t>
  </si>
  <si>
    <t>Poste de concreto circular, 200 kg, H = 11,00 m</t>
  </si>
  <si>
    <t>Poste de concreto circular, 200 kg, H = 12,00 m</t>
  </si>
  <si>
    <t>Poste de concreto circular, 300 kg, H = 9,00 m</t>
  </si>
  <si>
    <t>Poste de concreto circular, 300 kg, H = 11,00 m</t>
  </si>
  <si>
    <t>Poste de concreto circular, 400 kg, H = 9,00 m</t>
  </si>
  <si>
    <t>Poste de concreto circular, 400 kg, H = 10,00 m</t>
  </si>
  <si>
    <t>Poste de concreto circular, 400 kg, H = 11,00 m</t>
  </si>
  <si>
    <t>Poste de concreto circular, 400 kg, H = 12,00 m</t>
  </si>
  <si>
    <t>Poste de concreto circular, 600 kg, H = 10,00 m</t>
  </si>
  <si>
    <t>Poste de concreto circular, 600 kg, H = 11,00 m</t>
  </si>
  <si>
    <t>Poste de concreto circular, 600 kg, H = 12,00 m</t>
  </si>
  <si>
    <t>Poste de concreto circular, 1000 kg, H = 12,00 m</t>
  </si>
  <si>
    <t>Estrutura específica</t>
  </si>
  <si>
    <t>Estai</t>
  </si>
  <si>
    <t>Estrutura tipo M1</t>
  </si>
  <si>
    <t>Estrutura tipo M2</t>
  </si>
  <si>
    <t>Estrutura tipo N3</t>
  </si>
  <si>
    <t>Estrutura tipo M1 - N3</t>
  </si>
  <si>
    <t>Estrutura tipo M4</t>
  </si>
  <si>
    <t>Estrutura tipo N2</t>
  </si>
  <si>
    <t>Estrutura tipo N4</t>
  </si>
  <si>
    <t>Armação secundária tipo 1C - 2R</t>
  </si>
  <si>
    <t>Armação secundária tipo 1C - 3R</t>
  </si>
  <si>
    <t>Armação secundária tipo 2C - 3R</t>
  </si>
  <si>
    <t>Armação secundária tipo 2C - 4R</t>
  </si>
  <si>
    <t>Armação secundária tipo 4C - 6R</t>
  </si>
  <si>
    <t>Recolocação de poste de madeira</t>
  </si>
  <si>
    <t>Braçadeira circular em aço carbono galvanizado, diâmetro nominal de 140 até 300 mm</t>
  </si>
  <si>
    <t>Cruzeta em aço carbono galvanizado perfil ´L´ 75 x 75 x 8 mm, comprimento 2500 mm</t>
  </si>
  <si>
    <t>Bengala em PVC para ramal de entrada, diâmetro de 32 mm</t>
  </si>
  <si>
    <t>Telefonia, lógica e transmissão de dados, equipamentos e sistema</t>
  </si>
  <si>
    <t>Distribuição e comando, caixas e equipamentos específicos</t>
  </si>
  <si>
    <t>Aparelho telefônico multifrequencial, com teclas ´FLASH´, ´HOOK´, ´PAUSE´, ´LND´, ´MODE´</t>
  </si>
  <si>
    <t>Caixa subterrânea de entrada de telefonia, tipo R1 (60 x 35 x 50) cm, padrão TELEBRÁS, com tampa</t>
  </si>
  <si>
    <t>Caixa subterrânea de entrada de telefonia, tipo R2 (107 x 52 x 50) cm, padrão TELEBRÁS, com tampa</t>
  </si>
  <si>
    <t>Central de telefonia para 8 linhas e 24 ramais</t>
  </si>
  <si>
    <t>Caixa de tomada em poliamida e tampa para piso elevado, com 4 alojamentos para elétrica e até 8 alojamentos para telefonia e dados</t>
  </si>
  <si>
    <t>Conector RJ-45 fêmea - categoria 6</t>
  </si>
  <si>
    <t>Conector RJ-45 fêmea - categoria 6A</t>
  </si>
  <si>
    <t>Central de telefonia PABX digital e analógico, para 120 troncos e 128 ramais</t>
  </si>
  <si>
    <t>Estabilização de tensão</t>
  </si>
  <si>
    <t>Estabilizador eletrônico de tensão, monofásico, com potência de 5 kVA</t>
  </si>
  <si>
    <t>Estabilizador eletrônico de tensão, monofásico, com potência de 7,5 kVA</t>
  </si>
  <si>
    <t>Estabilizador eletrônico de tensão, monofásico, com potência de 10 kVA</t>
  </si>
  <si>
    <t>Estabilizador eletrônico de tensão, monofásico, com potência de 15 kVA</t>
  </si>
  <si>
    <t>Estabilizador eletrônico de tensão, monofásico, com potência de 20 kVA</t>
  </si>
  <si>
    <t>Estabilizador eletrônico de tensão, trifásico, com potência de 15 kVA</t>
  </si>
  <si>
    <t>Estabilizador eletrônico de tensão, trifásico, com potência de 20 kVA</t>
  </si>
  <si>
    <t>Estabilizador eletrônico de tensão, trifásico, com potência de 10 kVA, tensão de entrada 220 V e de saída 110 V</t>
  </si>
  <si>
    <t>Estabilizador eletrônico de tensão, trifásico, com potência de 25 kVA</t>
  </si>
  <si>
    <t>Estabilizador eletrônico de tensão, trifásico, com potência de 30 kVA</t>
  </si>
  <si>
    <t>Estabilizador eletrônico de tensão, trifásico, com potência de 40 kVA</t>
  </si>
  <si>
    <t>Estabilizador eletrônico de tensão, trifásico, com potência de 150 kVA, com trafo isolador</t>
  </si>
  <si>
    <t>Sistemas ininterruptos de energia</t>
  </si>
  <si>
    <t>Sistema ininterrupto de energia, monofásico on line senoidal de 2,4 kVA (110 V/110 V), com autonomia de 15 minutos</t>
  </si>
  <si>
    <t>Sistema ininterrupto de energia, trifásico on line de 10 kVA (220 V/220 V), com autonomia de 15 minutos</t>
  </si>
  <si>
    <t>Sistema ininterrupto de energia, trifásico on line de 20 kVA (220 V/208 V-108 V), com autonomia 15 minutos</t>
  </si>
  <si>
    <t>Sistema ininterrupto de energia, trifásico on line senoidal de 15 kVA (208 V/110 V), com autonomia de 15 minutos</t>
  </si>
  <si>
    <t>Sistema ininterrupto de energia, monofásico, com potência de 2 kVA</t>
  </si>
  <si>
    <t>Sistema ininterrupto de energia, monofásico on line senoidal de 5 kVA (220 V/110 V), com autonomia de 15 minutos</t>
  </si>
  <si>
    <t>Sistema ininterrupto de energia, monofásico, com potência entre 5 a 7,5 kVA</t>
  </si>
  <si>
    <t>Sistema ininterrupto de energia, monofásico de 600 VA (127 V/127 V), com autonomia de 10 a 15 minutos</t>
  </si>
  <si>
    <t>Sistema ininterrupto de energia, trifásico on line senoidal de 10 kVA (220 V/110 V), com autonomia de 2 horas</t>
  </si>
  <si>
    <t>Sistema ininterrupto de energia, monofásico on line senoidal de 10 kVA (110 V/110 V), com autonomia de 30 minutos</t>
  </si>
  <si>
    <t>Sistema ininterrupto de energia, monofásico on line senoidal de 15 kVA (127/127 V) com autonomia de 30 minutos</t>
  </si>
  <si>
    <t>Sistema ininterrupto de energia, trifásico on line de 20 kVA (220/127 V), com autonomia de 15 minutos</t>
  </si>
  <si>
    <t>Sistema ininterrupto de energia, trifásico on line de 60 kVA (220/127 V), com autonomia de 15 minutos</t>
  </si>
  <si>
    <t>Sistema ininterrupto de energia, trifásico on line de 80 kVA (220/127 V), com autonomia de 15 minutos</t>
  </si>
  <si>
    <t>Sistema ininterrupto de energia, trifásico on line de 20 kVA (380/380 V), com autonomia de 15 minutos</t>
  </si>
  <si>
    <t>Sistema ininterrupto de energia, trifásico on line de 20 kVA (380/220 V), com autonomia de 15 minutos</t>
  </si>
  <si>
    <t>Sistema ininterrupto de energia, trifásico on line senoidal de 5 kVA (220/110 V), com autonomia de 15 minutos</t>
  </si>
  <si>
    <t>Sistema ininterrupto de energia, trifásico on line senoidal de 10 kVA (220/110 V), com autonomia de 10 a 15 minutos</t>
  </si>
  <si>
    <t>Sistema ininterrupto de energia, trifásico on line senoidal de 50 kVA (220/110 V), com autonomia de 15 minutos</t>
  </si>
  <si>
    <t>Sistema ininterrupto de energia, trifásico on line senoidal de 7,5 kVA (220/110 V), com autonomia de 15 minutos</t>
  </si>
  <si>
    <t>Equipamentos para informática</t>
  </si>
  <si>
    <t>Distribuidor interno óptico - 1 U para até 24 fibras</t>
  </si>
  <si>
    <t>Sistema de rede</t>
  </si>
  <si>
    <t>Patch cords de 1,50 ou 3,00 m - RJ-45 / RJ-45 - categoria 6</t>
  </si>
  <si>
    <t>Patch panel de 24 portas - categoria 6</t>
  </si>
  <si>
    <t>Voice panel de 50 portas - categoria 3</t>
  </si>
  <si>
    <t>Patch cords de 2,00 ou 3,00 m - RJ-45 / RJ-45 - categoria 6A</t>
  </si>
  <si>
    <t>Transceptor Gigabit SX - LC conectável de formato pequeno (SFP)</t>
  </si>
  <si>
    <t>Telecomunicações</t>
  </si>
  <si>
    <t>Amplificador de potência para VHF e CATV-50 dB, frequencia 40 a 550 MHz</t>
  </si>
  <si>
    <t>Antena parabólica com captador de sinais e modulador de áudio e vídeo</t>
  </si>
  <si>
    <t>Arame de espinar em aço inoxidável nu, padrão TELESP</t>
  </si>
  <si>
    <t>Braçadeira ajustável para poste tubular, tipo BAP 2, padrão TELEBRÁS</t>
  </si>
  <si>
    <t>Suporte para isolador roldana tipo SIR, padrão TELEBRÁS</t>
  </si>
  <si>
    <t>Isolador roldana em porcelana de 72 x 72 mm</t>
  </si>
  <si>
    <t>Suporte para isolador roldana tipo DM, padrão TELEBRÁS</t>
  </si>
  <si>
    <t>Fita em aço inoxidável para poste de 0,50 m x 19 mm, com fecho em aço inoxidável</t>
  </si>
  <si>
    <t>Tampa para caixa R1, padrão TELEBRÁS</t>
  </si>
  <si>
    <t>Tampa para caixa R2, padrão TELEBRÁS</t>
  </si>
  <si>
    <t>Bloco de ligação interna para 10 pares, BLI-10</t>
  </si>
  <si>
    <t>Bloco de ligação engate rápido para 10 pares, BER-10</t>
  </si>
  <si>
    <t>Calha de aço para 4 tomadas 2P+T - 250 V, com cabo</t>
  </si>
  <si>
    <t>Cordão óptico duplex, multimodo com conector LC/LC - 2,5 m</t>
  </si>
  <si>
    <t>Bandeja fixa para rack, 19´ x 500 mm</t>
  </si>
  <si>
    <t>Bandeja fixa para rack, 19´ x 800 mm</t>
  </si>
  <si>
    <t>Bandeja deslizante para rack, 19´ x 800 mm</t>
  </si>
  <si>
    <t>Calha de aço com 8 tomadas 2P+T - 250 V, com cabo</t>
  </si>
  <si>
    <t>Calha de aço com 12 tomadas 2P+T - 250 V, com cabo</t>
  </si>
  <si>
    <t>Painel frontal cego, 19´ x 2 U</t>
  </si>
  <si>
    <t>Protetor de surto híbrido para rede de telecomunicações</t>
  </si>
  <si>
    <t>Divisor interno com 1 entrada e 2 saídas - 75 Ohms</t>
  </si>
  <si>
    <t>Divisor interno com 1 entrada e 4 saídas - 75 Ohms</t>
  </si>
  <si>
    <t>Tomada blindada para VHF/UHF, CATV e FM, frequência 5 MHz a 1 GHz</t>
  </si>
  <si>
    <t>Bloco de distribuição com protetor de surtos, para 10 pares, BTDG-10</t>
  </si>
  <si>
    <t>Tomada para TV, tipo pino Jack, com placa</t>
  </si>
  <si>
    <t>Caixa de emenda ventilada em polipropileno, para até 200 pares</t>
  </si>
  <si>
    <t>Comunicação visual</t>
  </si>
  <si>
    <t>Adesivos</t>
  </si>
  <si>
    <t>Adesivo vinílico, padrão regulamentado, para sinalização de incêndio</t>
  </si>
  <si>
    <t>Placas, pórticos e obeliscos arquitetônicos</t>
  </si>
  <si>
    <t>Placa comemorativa em aço inoxidável escovado</t>
  </si>
  <si>
    <t>Placa de identificação em acrílico com texto em vinil</t>
  </si>
  <si>
    <t>Placa de sinalização em PVC para ambientes</t>
  </si>
  <si>
    <t>Pintura de letras e pictogramas</t>
  </si>
  <si>
    <t>Sinalização com pictograma em tinta acrílica</t>
  </si>
  <si>
    <t>Pintura de sinalização viária</t>
  </si>
  <si>
    <t>Sinalização horizontal com tinta vinílica ou acrílica</t>
  </si>
  <si>
    <t>Sinalização horizontal com termoplástico tipo Hot-spray</t>
  </si>
  <si>
    <t>Placas, pórticos e sinalização viária</t>
  </si>
  <si>
    <t>Manta de borracha para proteção de coluna e parede, de 1000 x 750 mm e espessura 10 mm</t>
  </si>
  <si>
    <t>Cantoneira de borracha para proteção de coluna, de 750 x 100 x 100 mm e espessura 10 mm</t>
  </si>
  <si>
    <t>Sinalização vertical em placa de aço galvanizada com pintura em esmalte sintético</t>
  </si>
  <si>
    <t>Colocação de placa em suporte de madeira / metálico - solo</t>
  </si>
  <si>
    <t>Suporte de perfil metálico galvanizado</t>
  </si>
  <si>
    <t>Arquitetura de interiores</t>
  </si>
  <si>
    <t>Mobiliário</t>
  </si>
  <si>
    <t>Banco de madeira com encosto e pés em ferro fundido pintado</t>
  </si>
  <si>
    <t>Capacho em fibra natural</t>
  </si>
  <si>
    <t>Ajudante geral</t>
  </si>
  <si>
    <t>Azulejista</t>
  </si>
  <si>
    <t>Esgoteiro/cavoqueiro</t>
  </si>
  <si>
    <t>Carpinteiro</t>
  </si>
  <si>
    <t>Ajudante de carpinteiro</t>
  </si>
  <si>
    <t>Eletricista</t>
  </si>
  <si>
    <t>Ajudante eletricista</t>
  </si>
  <si>
    <t>Eletrotécnico montador</t>
  </si>
  <si>
    <t xml:space="preserve">Encanador </t>
  </si>
  <si>
    <t>Ajudante de encanador</t>
  </si>
  <si>
    <t>Ferreiro/armador</t>
  </si>
  <si>
    <t>Ajudante de ferreiro</t>
  </si>
  <si>
    <t>Gesseiro</t>
  </si>
  <si>
    <t>Graniteiro</t>
  </si>
  <si>
    <t>Jardineiro</t>
  </si>
  <si>
    <t>Marceneiro</t>
  </si>
  <si>
    <t xml:space="preserve">Pedreiro </t>
  </si>
  <si>
    <t>Pintor</t>
  </si>
  <si>
    <t xml:space="preserve">Ajudante de pintor </t>
  </si>
  <si>
    <t>Poceiro</t>
  </si>
  <si>
    <t xml:space="preserve">Operador </t>
  </si>
  <si>
    <t xml:space="preserve">Serralheiro </t>
  </si>
  <si>
    <t>Servente</t>
  </si>
  <si>
    <t>Ajudante serralheiro</t>
  </si>
  <si>
    <t>Soldador</t>
  </si>
  <si>
    <t>Ajudante de topógrafo</t>
  </si>
  <si>
    <t xml:space="preserve">Topografo </t>
  </si>
  <si>
    <t>Vidraceiro</t>
  </si>
  <si>
    <t>Desenhista</t>
  </si>
  <si>
    <t>Ajudante de esgoteiro</t>
  </si>
  <si>
    <t>Oficial de eletrificação</t>
  </si>
  <si>
    <t>Técnico equipamentos informática</t>
  </si>
  <si>
    <t>Montador</t>
  </si>
  <si>
    <t>MO</t>
  </si>
  <si>
    <t>MÃO DE OBRA</t>
  </si>
  <si>
    <t>ORIGEM</t>
  </si>
  <si>
    <t>CPOS</t>
  </si>
  <si>
    <t>OBSERVAÇÕES:</t>
  </si>
  <si>
    <t>ELABORADO POR:</t>
  </si>
  <si>
    <t>C/ DESONERAÇÃO</t>
  </si>
  <si>
    <t>AC</t>
  </si>
  <si>
    <t>SG</t>
  </si>
  <si>
    <t>R</t>
  </si>
  <si>
    <t>DF</t>
  </si>
  <si>
    <t>L</t>
  </si>
  <si>
    <t>I</t>
  </si>
  <si>
    <t>ADMINISTRAÇÃO CENTRAL</t>
  </si>
  <si>
    <t>SEGUROS + GARANTIAS</t>
  </si>
  <si>
    <t>RISCO</t>
  </si>
  <si>
    <t>DESPESAS FINANCEIRAS</t>
  </si>
  <si>
    <t>LUCRO</t>
  </si>
  <si>
    <t>IMPOSTOS</t>
  </si>
  <si>
    <t>PIS / PASEP</t>
  </si>
  <si>
    <t>COFINS</t>
  </si>
  <si>
    <t>ISS</t>
  </si>
  <si>
    <t>CPRB (INSS)</t>
  </si>
  <si>
    <t>QUADRO DEMONSTRATIVO DE COMPOSIÇÃO DE BDI</t>
  </si>
  <si>
    <t>OBRAS</t>
  </si>
  <si>
    <t>TAXAS ADOTADAS NA COMPOSIÇÃO DO BDI</t>
  </si>
  <si>
    <t>COMPOSIÇÃO DE PREÇO UNITÁRIO</t>
  </si>
  <si>
    <t>ENQUADRAMENTO: Construção de Edifícios
Ref.: Acórdão 2.622/2013 - Plenário</t>
  </si>
  <si>
    <t xml:space="preserve">BDI CALCULADO = </t>
  </si>
  <si>
    <t xml:space="preserve">BDI ADOTADO= </t>
  </si>
  <si>
    <t>MEMÓRIA DE CÁLCULO
FATOR "K1" - RECURSOS HUMANOS - EQUIPE TÉCNICA PERMANENTE</t>
  </si>
  <si>
    <t>ES = ENCARGOS E BENEFÍCIOS SOCIAIS</t>
  </si>
  <si>
    <t xml:space="preserve">ES = ENCARGOS SOCIAIS TOTAIS = </t>
  </si>
  <si>
    <t>GRUPO 2.1</t>
  </si>
  <si>
    <t>ENCARGOS SOCIAIS SOBRE FOLHA DE PAGAMENTO</t>
  </si>
  <si>
    <t xml:space="preserve">DI - DESPESAS INDIRETAS = </t>
  </si>
  <si>
    <t>INSS</t>
  </si>
  <si>
    <t>FGTS</t>
  </si>
  <si>
    <t xml:space="preserve">L = LUCRO BRUTO = </t>
  </si>
  <si>
    <t>SESC</t>
  </si>
  <si>
    <t>SENAC</t>
  </si>
  <si>
    <t>DL - DESPESAS LEGAIS</t>
  </si>
  <si>
    <t>Salário Educação</t>
  </si>
  <si>
    <t>SEBRAE</t>
  </si>
  <si>
    <t>INCRA</t>
  </si>
  <si>
    <t>PIS</t>
  </si>
  <si>
    <t>Seguro Contra os Riscos de Acidentes do Trabalho</t>
  </si>
  <si>
    <t>SUBTOTAL DO GRUPO "2.1"</t>
  </si>
  <si>
    <t xml:space="preserve">TOTAL (i) = </t>
  </si>
  <si>
    <t>DL = [1 / (1-i)-1] x 100</t>
  </si>
  <si>
    <t>GRUPO 2.2</t>
  </si>
  <si>
    <t>DIAS NÃO TRABALHADOS</t>
  </si>
  <si>
    <t>Férias Anuais</t>
  </si>
  <si>
    <t xml:space="preserve">DL = </t>
  </si>
  <si>
    <t>Faltas Justificadas</t>
  </si>
  <si>
    <t>Auxílio Enfermidade</t>
  </si>
  <si>
    <t>K1 = (1 + ES) x (1 + DI) x (1 + L) x (1 + DL)</t>
  </si>
  <si>
    <t>Aviso Prévio Trabalhado</t>
  </si>
  <si>
    <t>Licença Paternidade</t>
  </si>
  <si>
    <t xml:space="preserve">K1 = </t>
  </si>
  <si>
    <t>Reciclagem Tecnológica</t>
  </si>
  <si>
    <t>DEMONSTRAÇÃO</t>
  </si>
  <si>
    <t>C = CUSTO HORAS</t>
  </si>
  <si>
    <t>GRUPO 2.3</t>
  </si>
  <si>
    <t>ENCARGOS DE DEMISSÃO</t>
  </si>
  <si>
    <t>ES = ENCARGOS SOCIAIS</t>
  </si>
  <si>
    <t>Aviso Prévio Indenizado</t>
  </si>
  <si>
    <t xml:space="preserve">C + ES = </t>
  </si>
  <si>
    <t>Depósito por Rescisão sem Justa Causa</t>
  </si>
  <si>
    <t>DI = DESPESAS INDIRETAS</t>
  </si>
  <si>
    <t xml:space="preserve">C + ES + DI = </t>
  </si>
  <si>
    <t xml:space="preserve">CUSTO FINAL = </t>
  </si>
  <si>
    <t>GRUPO 2.4</t>
  </si>
  <si>
    <t>ABONOS LEGAIS</t>
  </si>
  <si>
    <t>L = LUCRO</t>
  </si>
  <si>
    <t>13º Salário</t>
  </si>
  <si>
    <t xml:space="preserve">C + ES + DI + L = </t>
  </si>
  <si>
    <t>Abono de Férias</t>
  </si>
  <si>
    <t>PREÇO = (C + ES + DI + L + DL)</t>
  </si>
  <si>
    <t>FATURA</t>
  </si>
  <si>
    <t>GRUPO 2.5</t>
  </si>
  <si>
    <t>REINCIDÊNCIAS</t>
  </si>
  <si>
    <t>Grupo 2.1 x Grupo 2.2</t>
  </si>
  <si>
    <t>Grupo 2.1 x Grupo 2.4</t>
  </si>
  <si>
    <t>SALDO PARCIAL</t>
  </si>
  <si>
    <t>SUBTOTAL DOS ENCARGOS SOCIAIS</t>
  </si>
  <si>
    <t>LUCRO BRUTO</t>
  </si>
  <si>
    <t>% LUCRO BRUTO</t>
  </si>
  <si>
    <t>GRUPO 2.6</t>
  </si>
  <si>
    <t>ENCARGOS COMPLEMENTARES</t>
  </si>
  <si>
    <t>ALÍQUOTA DO IR</t>
  </si>
  <si>
    <t>Auxílio Alimentação (1)</t>
  </si>
  <si>
    <t>ALÍQUOTA DA CSLL</t>
  </si>
  <si>
    <t>Vale transporte (2)</t>
  </si>
  <si>
    <t>IR</t>
  </si>
  <si>
    <t>Assistência Médica (3)</t>
  </si>
  <si>
    <t>CSLL</t>
  </si>
  <si>
    <t>Seguro Coletivo (4)</t>
  </si>
  <si>
    <t>LUCRO LÍQUIDO</t>
  </si>
  <si>
    <t>TOTAL DOS ENCARGOS COMPLEMENTARES</t>
  </si>
  <si>
    <t>% LUCRO LÍQUIDO</t>
  </si>
  <si>
    <t>DEMONSTRATIVO DO FATOR "K1" EQUIPE TÉCNICA PERMANENTE</t>
  </si>
  <si>
    <t>CÁLCULO DAS HORAS PRODUTIVAS / IMPRODUTIVAS</t>
  </si>
  <si>
    <t>1.1</t>
  </si>
  <si>
    <t>NÚMERO MÉDIO DE DIAS IMPRODUTIVOS</t>
  </si>
  <si>
    <t>a.</t>
  </si>
  <si>
    <t>Número de semanas por ano = 365 dias/ano / 7 dias/semana =</t>
  </si>
  <si>
    <t>b.</t>
  </si>
  <si>
    <t>N° de sábados e domingos por ano (2 x a) =</t>
  </si>
  <si>
    <t>c.</t>
  </si>
  <si>
    <t>Feriados por ano: 01/01, 25/01, 21/04, 01/05, 09/07, 07/09, 12/10, 02/11, 15/11, 25/12, 3ª de carnaval, 4ª de cinzas (1/2 período), 6ª santa, “Corpus Christi” e Consciência Negra =</t>
  </si>
  <si>
    <t>d.</t>
  </si>
  <si>
    <t>N° de feriados em sábados ou domingos (dado estatístico) =</t>
  </si>
  <si>
    <t>e.</t>
  </si>
  <si>
    <t>N° de feriados em dias da semana = (c - d) =</t>
  </si>
  <si>
    <t>f.</t>
  </si>
  <si>
    <t>Total de dias improdutivos por ano = (b + e) =</t>
  </si>
  <si>
    <t>1.2</t>
  </si>
  <si>
    <t>NÚMERO DE HORAS TRABALHADAS PELA EMPRESA</t>
  </si>
  <si>
    <t>g.</t>
  </si>
  <si>
    <t xml:space="preserve"> Total de dias trabalhados por ano = (365 - f) =</t>
  </si>
  <si>
    <t>h.</t>
  </si>
  <si>
    <t>Jornada diária de trabalho - (Convenção Coletiva) =</t>
  </si>
  <si>
    <t>i.</t>
  </si>
  <si>
    <t>Número de horas trabalhadas por ano = (g x h) =</t>
  </si>
  <si>
    <t>j.</t>
  </si>
  <si>
    <t>Número médio de horas trabalhadas pela empresa, por mês = (i / 12) =</t>
  </si>
  <si>
    <t>1.3</t>
  </si>
  <si>
    <t>NÚMERO DE HORAS TRABALHADAS PELO EMPREGADO</t>
  </si>
  <si>
    <t>k.</t>
  </si>
  <si>
    <t>Horas de Férias = 8 horas x [30 dias - (sábados + domingos + feriados)] = 8 x [30 - (30/7 + 30/7 + 30 x e/365)] =</t>
  </si>
  <si>
    <t>1.4</t>
  </si>
  <si>
    <t>FALTAS JUSTIFICADAS</t>
  </si>
  <si>
    <t>l.</t>
  </si>
  <si>
    <t>Horas de Faltas Justificadas = 3 dias/ano =</t>
  </si>
  <si>
    <t>1.5</t>
  </si>
  <si>
    <t>AUXÍLIO ENFERMIDADE</t>
  </si>
  <si>
    <t>m.</t>
  </si>
  <si>
    <t>% de funcionários que recorrem ao auxílio enfermidade =</t>
  </si>
  <si>
    <t>n.</t>
  </si>
  <si>
    <t>N° de sábados e domingos em 15 dias de auxílio enfermidade =</t>
  </si>
  <si>
    <t>o.</t>
  </si>
  <si>
    <t xml:space="preserve"> Horas de Auxílio Enfermidade = 8,00 x (15 - 4,29) x 10%</t>
  </si>
  <si>
    <t>1.6</t>
  </si>
  <si>
    <t>AVISO PRÉVIO</t>
  </si>
  <si>
    <t>p.</t>
  </si>
  <si>
    <t>Dias dispensados do aviso prévio trabalhado (7 dias - sábado e domingo) =</t>
  </si>
  <si>
    <t>q.</t>
  </si>
  <si>
    <t>Permanência média dos funcionários na empresa, em meses =</t>
  </si>
  <si>
    <t>r.</t>
  </si>
  <si>
    <t>% de empregados que são demitidos =</t>
  </si>
  <si>
    <t>s.</t>
  </si>
  <si>
    <t>% de empregados que cumprem o aviso prévio =</t>
  </si>
  <si>
    <t>t.</t>
  </si>
  <si>
    <t>Horas de Aviso Prévio = 5 x 80% x 20% x 8 x 12/24</t>
  </si>
  <si>
    <t>1.7</t>
  </si>
  <si>
    <t>LICENSA PATERNIDADE</t>
  </si>
  <si>
    <t>u.</t>
  </si>
  <si>
    <t>Dias da licença paternidade =</t>
  </si>
  <si>
    <t>v.</t>
  </si>
  <si>
    <t>Porcentagem de funcionários do sexo masculino =</t>
  </si>
  <si>
    <t>w.</t>
  </si>
  <si>
    <t>Porcentagem de funcionários que recorrem à licença =</t>
  </si>
  <si>
    <t>x.</t>
  </si>
  <si>
    <t>Horas - Licença Paternidade = 5 x 80% x 10% x 8</t>
  </si>
  <si>
    <t>y.</t>
  </si>
  <si>
    <t>Reciclagem Tecnológica (horas/ano) =</t>
  </si>
  <si>
    <t>z.</t>
  </si>
  <si>
    <t>Total de horas improdutivas = (k + l + o + t + x + y) =</t>
  </si>
  <si>
    <t>a'.</t>
  </si>
  <si>
    <t>Total de horas trabalhadas pelo empregado, por ano = (i - z) =</t>
  </si>
  <si>
    <t>b'.</t>
  </si>
  <si>
    <t>Número de horas produtivas do empregado, por mês =</t>
  </si>
  <si>
    <t>ENCARGOS SOCIAIS</t>
  </si>
  <si>
    <t>2.1</t>
  </si>
  <si>
    <t>GRUPO 2.1 - ENCARGOS SOCIAIS SOBRE FOLHA DE PAGAMENTO</t>
  </si>
  <si>
    <t>Instituto Nacional de Seguridade Social - INSS</t>
  </si>
  <si>
    <t>Fundo de Garantia por Tempo de Serviço - FGTS</t>
  </si>
  <si>
    <t>Serviço Social do Comércio - SESC</t>
  </si>
  <si>
    <t>Serviço Nacional do Aprendizado Comercial - SENAC</t>
  </si>
  <si>
    <t>Serviço de Apoio à Pequena e Média Empresa - SEBRAE</t>
  </si>
  <si>
    <t>Instituto Nac. Colonização e Reforma Agrária - INCRA</t>
  </si>
  <si>
    <t xml:space="preserve">Seguro Contra os Riscos de Acidentes do Trabalho </t>
  </si>
  <si>
    <t>2.2</t>
  </si>
  <si>
    <t>Férias Anuais = 163,77 / 1.784,82 x 100</t>
  </si>
  <si>
    <t>Faltas Justificadas = 24,00 / 1.784,82 x 100</t>
  </si>
  <si>
    <t>Auxílio Enfermidade = 8,57 / 1.784,82 x 100</t>
  </si>
  <si>
    <t>Aviso Prévio Trabalhado = 3,20 / 1.784,82 x 100</t>
  </si>
  <si>
    <t>Licença Paternidade = 3,20 / 1.784,82 x 100</t>
  </si>
  <si>
    <t>Reciclagem Tecnológica = 5,00 / 1.784,82 x 100</t>
  </si>
  <si>
    <t>SUBTOTAL DO GRUPO "2.2"</t>
  </si>
  <si>
    <t>2.3</t>
  </si>
  <si>
    <t>Empregados demitidos =</t>
  </si>
  <si>
    <t>Permanência média na empresa =</t>
  </si>
  <si>
    <t>24 meses</t>
  </si>
  <si>
    <t>Multa (sobre o FGTS acumulado no período) =</t>
  </si>
  <si>
    <t>Correção anual do FGTS =</t>
  </si>
  <si>
    <t>Correção mensal do FGTS =</t>
  </si>
  <si>
    <t>Aviso Prévio Indenizado = 12/24 x 80% x 163,77 / 1.784,82 x 100</t>
  </si>
  <si>
    <t>Depósito por Rescisão Sem Justa Causa</t>
  </si>
  <si>
    <t>Contribuição mensal = 8% x 163,77 / 1.784,82 x 100</t>
  </si>
  <si>
    <t>Contribuição sobre 13° = 0,73% + 0,73% x (1 + 3%)</t>
  </si>
  <si>
    <t>Valor acumulado corrigido =</t>
  </si>
  <si>
    <t>Rescisão s/ justa causa = (12 m / 24 m) x 50% x 80% x 19,62%</t>
  </si>
  <si>
    <t>SUBTOTAL DO GRUPO "2.3"</t>
  </si>
  <si>
    <t>2.4</t>
  </si>
  <si>
    <t>13° Salário = 166,05 / 1.784,82 x 100</t>
  </si>
  <si>
    <t>Abono de Férias = 1/3 x 163,77 / 1.784,82 x 100</t>
  </si>
  <si>
    <t>SUBTOTAL DO GRUPO "2.4"</t>
  </si>
  <si>
    <t>2.5</t>
  </si>
  <si>
    <t>Grupo 2.1 x Grupo 2.2 =</t>
  </si>
  <si>
    <t>Grupo 2.1 x Grupo 2.4 =</t>
  </si>
  <si>
    <t>SUBTOTAL DO GRUPO "2.5"</t>
  </si>
  <si>
    <t>2.6</t>
  </si>
  <si>
    <t>Auxílio Alimentação:</t>
  </si>
  <si>
    <t>Porcentagem de funcionários que recebem o benefício =</t>
  </si>
  <si>
    <t>Auxílio Refeição (valor diário) =</t>
  </si>
  <si>
    <t>Parcela subsidiada pela empresa =</t>
  </si>
  <si>
    <t>Número médio de dias úteis por mês =</t>
  </si>
  <si>
    <t>Salário médio do profissional que recebe o benefício - Eng° Junior</t>
  </si>
  <si>
    <t>Piso definido na convenção 2011/2012 =</t>
  </si>
  <si>
    <t>Percentual sobre salário = 100% x 80% x 18,00 x 21 / 6.698,00</t>
  </si>
  <si>
    <t>Vale Transporte:</t>
  </si>
  <si>
    <t xml:space="preserve">Salário médio do profissional que recebe o benefício - Aux. Desenhista = </t>
  </si>
  <si>
    <t>Valor médio diário do Vale Transporte =</t>
  </si>
  <si>
    <t>Desconto do funcionário = 6% x 1.434,40 =</t>
  </si>
  <si>
    <t>Custo para a empresa = 21 x 7,37 - 78,12 =</t>
  </si>
  <si>
    <t>Percentual sobre salário = 50% x 76,73 / 1.434,40 =</t>
  </si>
  <si>
    <t>Assistência Médica:</t>
  </si>
  <si>
    <t>Seguro Coletivo:</t>
  </si>
  <si>
    <t>TOTAL DOS ENCARGOS COMPLEMENTARES =</t>
  </si>
  <si>
    <t>ES = ENCARGOS SOCIAIS =</t>
  </si>
  <si>
    <t>DESPESAS INDIRETAS = DI</t>
  </si>
  <si>
    <t>Funcionários administrativos</t>
  </si>
  <si>
    <t>Assessoria jurídica / contábil</t>
  </si>
  <si>
    <t>Comunicação</t>
  </si>
  <si>
    <t>Água e luz</t>
  </si>
  <si>
    <t>Transporte local, entregas, correio etc</t>
  </si>
  <si>
    <t>Aluguel de sede</t>
  </si>
  <si>
    <t>Atestados, certidões, cartórios etc.</t>
  </si>
  <si>
    <t>Tarifas bancárias</t>
  </si>
  <si>
    <t>Segurança</t>
  </si>
  <si>
    <t>Manutenção: sede e equipamentos</t>
  </si>
  <si>
    <t>Atualização de software e hardware</t>
  </si>
  <si>
    <t>Seguros: sede e equipamentos</t>
  </si>
  <si>
    <t>Associações</t>
  </si>
  <si>
    <t>Impostos e Taxas Municipais</t>
  </si>
  <si>
    <t>Papelaria</t>
  </si>
  <si>
    <t>Gráfica</t>
  </si>
  <si>
    <t>Mercado</t>
  </si>
  <si>
    <t>Combustível</t>
  </si>
  <si>
    <t>Livros, Jornais e Revistas</t>
  </si>
  <si>
    <t>Despesas Comerciais</t>
  </si>
  <si>
    <t>Aluguel de Veículo</t>
  </si>
  <si>
    <t xml:space="preserve">TOTAL DAS DESPESAS INDIRETAS - DI = </t>
  </si>
  <si>
    <t xml:space="preserve">VALOR ADOTADO DESPESAS INDIRETAS = DI = </t>
  </si>
  <si>
    <t>DESPESAS LEGAIS</t>
  </si>
  <si>
    <t xml:space="preserve">ISS = </t>
  </si>
  <si>
    <t xml:space="preserve">COFINS = </t>
  </si>
  <si>
    <t xml:space="preserve">PIS = </t>
  </si>
  <si>
    <t>TOTAL DAS DESPESAS LEGAIS = DL =</t>
  </si>
  <si>
    <t>CAU-SP Nº A 116.079-6</t>
  </si>
  <si>
    <t>MEMÓRIA DE CÁLCULO
FATOR "K2" - RECURSOS HUMANOS - CONSULTORES EXTERNOS</t>
  </si>
  <si>
    <t>ENCARGOS SOCIAIS SOBREO RPA</t>
  </si>
  <si>
    <t>(RECIBO DE PROFISSIONAL AUTÔNOMO)</t>
  </si>
  <si>
    <t>C+ES</t>
  </si>
  <si>
    <t>ES = ENCARGOS SOCIAIS TOTAIS</t>
  </si>
  <si>
    <t>C+ES+DI</t>
  </si>
  <si>
    <t>CUSTO FINAL</t>
  </si>
  <si>
    <t>L= LUCRO</t>
  </si>
  <si>
    <t>C+ES+DI+L</t>
  </si>
  <si>
    <t>PREÇO = (C+ES+DI+L+DL)</t>
  </si>
  <si>
    <t>DL = DESPESAS LEGAIS</t>
  </si>
  <si>
    <t>TOTAL (I)</t>
  </si>
  <si>
    <t>DL = [1 / (1-I) - 1] x 100</t>
  </si>
  <si>
    <t>DL =</t>
  </si>
  <si>
    <t>K = (1+ES) x (1+DI) x (1+L) x (1+DL)</t>
  </si>
  <si>
    <t xml:space="preserve">K2 = </t>
  </si>
  <si>
    <t>%LUCRO LÍQUIDO</t>
  </si>
  <si>
    <t>DEMONSTRATIVO DO FATOR "K2" CONSULTORES EXTERNOS</t>
  </si>
  <si>
    <t>ENCARGOS SOBRE O RPA</t>
  </si>
  <si>
    <t xml:space="preserve">Instituto Nacional de Seguridade Social - INSS = </t>
  </si>
  <si>
    <t xml:space="preserve">ES = ENCARGOS SOCIAIS = </t>
  </si>
  <si>
    <t xml:space="preserve">Administração = </t>
  </si>
  <si>
    <t xml:space="preserve">COFINS (ALÍQUOTA PLENA) = </t>
  </si>
  <si>
    <t xml:space="preserve">PIS (ALÍQUOTA PLENA) = </t>
  </si>
  <si>
    <t xml:space="preserve">DL = DESPESAS LEGAIS = </t>
  </si>
  <si>
    <t>MEMÓRIA DE CÁLCULO
FATOR "K3" - SERVIÇOS DE APOIO TÉCNICO</t>
  </si>
  <si>
    <t xml:space="preserve">K3 = </t>
  </si>
  <si>
    <t>FATOR "K4" - DESPESAS DIRETAS</t>
  </si>
  <si>
    <t xml:space="preserve">K4 = </t>
  </si>
  <si>
    <t>DISTÂNCIA MÉDIA DE TRANSPORTE - BOTA-FORA</t>
  </si>
  <si>
    <t>CÁLCULO DA DISTÂNCIA MÉDIA DE TRANSPORTE</t>
  </si>
  <si>
    <t>IDA:</t>
  </si>
  <si>
    <t>ORIGEM:</t>
  </si>
  <si>
    <t>DESTINO:</t>
  </si>
  <si>
    <r>
      <t>D.M.T. = (D</t>
    </r>
    <r>
      <rPr>
        <b/>
        <vertAlign val="subscript"/>
        <sz val="11"/>
        <color theme="1"/>
        <rFont val="Calibri"/>
        <family val="2"/>
        <scheme val="minor"/>
      </rPr>
      <t>ida</t>
    </r>
    <r>
      <rPr>
        <b/>
        <sz val="11"/>
        <color theme="1"/>
        <rFont val="Calibri"/>
        <family val="2"/>
        <scheme val="minor"/>
      </rPr>
      <t xml:space="preserve"> + D</t>
    </r>
    <r>
      <rPr>
        <b/>
        <vertAlign val="subscript"/>
        <sz val="11"/>
        <color theme="1"/>
        <rFont val="Calibri"/>
        <family val="2"/>
        <scheme val="minor"/>
      </rPr>
      <t>volta</t>
    </r>
    <r>
      <rPr>
        <b/>
        <sz val="11"/>
        <color theme="1"/>
        <rFont val="Calibri"/>
        <family val="2"/>
        <scheme val="minor"/>
      </rPr>
      <t>)/2</t>
    </r>
  </si>
  <si>
    <t>D.M.T. = (13,90 + 13,00)/2</t>
  </si>
  <si>
    <t>D.M.T. = (26,90)/2</t>
  </si>
  <si>
    <t>D.M.T. = 13,45km</t>
  </si>
  <si>
    <t>INSTALAÇÕES ELÉTRICAS</t>
  </si>
  <si>
    <t>EQUIPAMENTOS ELETROMECÂNICOS</t>
  </si>
  <si>
    <t>LOCAÇÃO DE OBRA</t>
  </si>
  <si>
    <t>LIMPEZA DO TERRENO</t>
  </si>
  <si>
    <t>TUBULAÇÕES</t>
  </si>
  <si>
    <t>ABERTURA E ESCORAMENTO DE VALAS</t>
  </si>
  <si>
    <t>FDE</t>
  </si>
  <si>
    <t>GA-01 Guia leve ou separador de pisos</t>
  </si>
  <si>
    <t>FDE ABRIL/2016</t>
  </si>
  <si>
    <t>FDE ADAPTADO</t>
  </si>
  <si>
    <t>Guia leve pre-moldada p/ jardim 5,0x23x100cm</t>
  </si>
  <si>
    <t>Pedra britada usinada n° 2 posto obra</t>
  </si>
  <si>
    <t>MT</t>
  </si>
  <si>
    <t>ESTRUTURAS DE CONCRETO</t>
  </si>
  <si>
    <t>ESTRUTURAS DE MADEIRA</t>
  </si>
  <si>
    <t>SUPERESTRUTURA</t>
  </si>
  <si>
    <t>ARQUITETURA E ACABAMENTOS</t>
  </si>
  <si>
    <t>EQUIPAMENTOS E ACESSÓRIOS SANITÁRIOS</t>
  </si>
  <si>
    <t>COMPOSIÇÕES PROJETO</t>
  </si>
  <si>
    <t>Cuba de semi encaixe quadrada com mesa em louça branca ref. Deca L.830.17 ou equivalente</t>
  </si>
  <si>
    <t>COMPOSIÇÃO</t>
  </si>
  <si>
    <t>FF-001</t>
  </si>
  <si>
    <t>COTAÇÃO</t>
  </si>
  <si>
    <t>COTAÇÕES</t>
  </si>
  <si>
    <t>COD.</t>
  </si>
  <si>
    <t>UNID.</t>
  </si>
  <si>
    <t>EMPRESA A</t>
  </si>
  <si>
    <t>EMPRESA B</t>
  </si>
  <si>
    <t>EMPRESA C</t>
  </si>
  <si>
    <t>VALOR MEDIANO</t>
  </si>
  <si>
    <t>data da cotação</t>
  </si>
  <si>
    <t>data do orçamento</t>
  </si>
  <si>
    <t>coef.</t>
  </si>
  <si>
    <t>COT-001</t>
  </si>
  <si>
    <t>INCC-DI</t>
  </si>
  <si>
    <t>DATA REF.</t>
  </si>
  <si>
    <t>DATA A ATINGIR</t>
  </si>
  <si>
    <r>
      <rPr>
        <b/>
        <sz val="8"/>
        <color theme="1"/>
        <rFont val="Calibri"/>
        <family val="2"/>
        <scheme val="minor"/>
      </rPr>
      <t>LEROY MERLIN CIA BRASILEIRA DE BRICOLAGEM</t>
    </r>
    <r>
      <rPr>
        <sz val="8"/>
        <color theme="1"/>
        <rFont val="Calibri"/>
        <family val="2"/>
        <scheme val="minor"/>
      </rPr>
      <t xml:space="preserve">
01.438.784/0002-88
Rdv Raposo Tavares, 21500 - S Paulo - SP - CEP 05577-000
(11)3732-0804
VENDAS</t>
    </r>
  </si>
  <si>
    <r>
      <rPr>
        <b/>
        <sz val="8"/>
        <color theme="1"/>
        <rFont val="Calibri"/>
        <family val="2"/>
        <scheme val="minor"/>
      </rPr>
      <t>C&amp;C CASA E CONSTRUÇÃO LTDA</t>
    </r>
    <r>
      <rPr>
        <sz val="8"/>
        <color theme="1"/>
        <rFont val="Calibri"/>
        <family val="2"/>
        <scheme val="minor"/>
      </rPr>
      <t xml:space="preserve">
63.004.030.0030-20
Avenida Doutor Chucri Zaidan, 230 – Vila Cordeiro – São Paulo – SP – CEP: 04583-11
(11)4004-1444
centralderelacionamento@cec.com.br </t>
    </r>
  </si>
  <si>
    <r>
      <rPr>
        <b/>
        <sz val="8"/>
        <color theme="1"/>
        <rFont val="Calibri"/>
        <family val="2"/>
        <scheme val="minor"/>
      </rPr>
      <t>SAINT-GOBAIN DISTRIBUIÇÃO DO BRASIL</t>
    </r>
    <r>
      <rPr>
        <sz val="8"/>
        <color theme="1"/>
        <rFont val="Calibri"/>
        <family val="2"/>
        <scheme val="minor"/>
      </rPr>
      <t xml:space="preserve">
03.840.986/0056-70
Avenida Presidente Castelo Branco nº 6201 – Bloco II
(11) 3787-1000
atendimento@telhanorte.com.br</t>
    </r>
  </si>
  <si>
    <t>Massa plástica</t>
  </si>
  <si>
    <t>Pia de Cozinha Inox Polido Cinza 200cm</t>
  </si>
  <si>
    <t>FF-002</t>
  </si>
  <si>
    <t>FF-003</t>
  </si>
  <si>
    <t>FF-PROJ-001</t>
  </si>
  <si>
    <t>mês</t>
  </si>
  <si>
    <t>1 - RECURSOS HUMANOS - EQUIPE PERMANENTE</t>
  </si>
  <si>
    <t>REMUNERAÇÃO</t>
  </si>
  <si>
    <t>ALOCAÇÃO</t>
  </si>
  <si>
    <t>CUSTO</t>
  </si>
  <si>
    <t>PREÇO (R$)</t>
  </si>
  <si>
    <t>(HORAS)</t>
  </si>
  <si>
    <t>TOTAL DO ITEM 1</t>
  </si>
  <si>
    <t>K2 (3)</t>
  </si>
  <si>
    <t>MENSAL</t>
  </si>
  <si>
    <t>HORÁRIA</t>
  </si>
  <si>
    <t>TOTAL DO ITEM 2</t>
  </si>
  <si>
    <t>3 - SERVIÇOS DE APOIO TÉCNICO</t>
  </si>
  <si>
    <t>CUSTO (R$)</t>
  </si>
  <si>
    <t>K3 (3)</t>
  </si>
  <si>
    <t>UNITÁRIO</t>
  </si>
  <si>
    <t>TOTAL</t>
  </si>
  <si>
    <t>Proteção Catódica</t>
  </si>
  <si>
    <t>TOTAL DO ITEM 3</t>
  </si>
  <si>
    <t>4 - DESPESAS DIRETAS</t>
  </si>
  <si>
    <t>K4 (3)</t>
  </si>
  <si>
    <t>Refeições</t>
  </si>
  <si>
    <t>Viagens</t>
  </si>
  <si>
    <t>IDA/VOLTA</t>
  </si>
  <si>
    <t>Diárias</t>
  </si>
  <si>
    <t>NOITES</t>
  </si>
  <si>
    <t>TOTAL DO ITEM 4</t>
  </si>
  <si>
    <t>TOTAL GERAL DO ORÇAMENTO</t>
  </si>
  <si>
    <t>(1)</t>
  </si>
  <si>
    <t>(2)</t>
  </si>
  <si>
    <t>(3)</t>
  </si>
  <si>
    <t>ELABORADO CONFORME ROTEIRO DE PREÇOS - ORIENTAÇÃO PARA COMPOSIÇÃO DE PREÇOS DE ESTUDOS E PROJETOS DE ARQUITETURA E ENGENHARIA, 2011 - SINAENCO. DISPONÍVEL EM &lt;http://www.sinaenco.com.br/downloads/ROTEIROdePRECOSversao2011.pdf&gt;</t>
  </si>
  <si>
    <t>(4)</t>
  </si>
  <si>
    <t>Para verificação dos fatores "K" vide memórias de cálculo anexas ao orçamento.</t>
  </si>
  <si>
    <t>CÓD.</t>
  </si>
  <si>
    <t>DESCRIÇÃO:</t>
  </si>
  <si>
    <t>COMPOSIÇÃO DO PREÇO:</t>
  </si>
  <si>
    <t>CONSULTORIA E SERVIÇOS TÉCNICOS ESPECIALIZADOS DE PROJETO</t>
  </si>
  <si>
    <t>REF.</t>
  </si>
  <si>
    <t>Coordenador mão-de-obra consultiva</t>
  </si>
  <si>
    <t>Engenheiro senior de civil mão-de-obra consultiva</t>
  </si>
  <si>
    <t>Engenheiro pleno de civil mão-de-obra consultiva</t>
  </si>
  <si>
    <t>Engenheiro junior de civil mão-de-obra consultiva</t>
  </si>
  <si>
    <t>Projetista pleno - nível técnico - mão-de-obra consultiva</t>
  </si>
  <si>
    <t>Desenhista pleno/cadista mão-de-obra consultiva</t>
  </si>
  <si>
    <t>Secretária junior/português - mão-de-obra consultiva</t>
  </si>
  <si>
    <t>Engenheiro / arquiteto senior - mão-de-obra consultiva</t>
  </si>
  <si>
    <t>Engenheiro / arquiteto junior de elétrica mão-de-obra consultiva</t>
  </si>
  <si>
    <t>Engenheiro senior de elétrica mão-de-obra consultiva</t>
  </si>
  <si>
    <t>Mão-de-obra / equipamentos mecânico e rotativo / corte / laser</t>
  </si>
  <si>
    <t>Técnico em Edificações - mão-de-obra consultiva</t>
  </si>
  <si>
    <t>Engenheiro / arquiteto junior - mão-de-obra consultiva</t>
  </si>
  <si>
    <t>valores hora descontados encargos sociais já previstos no fator K</t>
  </si>
  <si>
    <t>SALÁRIO HORA MULTIPLICADO PELO NÚMERO MÉDIO DE HORAS TRABALHADAS PELA EMPRESA (166 HORAS)</t>
  </si>
  <si>
    <t>Veículo utilitário com capacidade para 9 pessoas - 1.600 CC - COND.D</t>
  </si>
  <si>
    <t>EQ</t>
  </si>
  <si>
    <t>GPS com receptor L1-L2 / RTK com base</t>
  </si>
  <si>
    <t>2 - RECURSOS HUMANOS - CONSULTORES - AUTORIA DO PROJETO</t>
  </si>
  <si>
    <t>vb</t>
  </si>
  <si>
    <t>ELEVADORES</t>
  </si>
  <si>
    <t>FF-ADM-001</t>
  </si>
  <si>
    <t>FF-ADM-002</t>
  </si>
  <si>
    <t xml:space="preserve">Laudo de caracterização da fauna associada à flora </t>
  </si>
  <si>
    <t>Controle Ambiental</t>
  </si>
  <si>
    <t>Veículo com capacidade para 4 pessoas</t>
  </si>
  <si>
    <t>FF-ADM-003</t>
  </si>
  <si>
    <t>FF-ADM-004</t>
  </si>
  <si>
    <t>Coordenação de QSMS</t>
  </si>
  <si>
    <t>Pessoal Administrativo</t>
  </si>
  <si>
    <t>Manutenção e Conservação do Canteiro de Obras</t>
  </si>
  <si>
    <t>SINAPI</t>
  </si>
  <si>
    <t>Guindauto MUNCK M-640/18 com lança telescópica capacidade 3750 kg</t>
  </si>
  <si>
    <t>Caminhão com irrigadeira e autobomba, capacidade mínima de 6.000 litros - COND.D</t>
  </si>
  <si>
    <t>Caminhão carroceria em madeira, capacidade até 8 toneladas</t>
  </si>
  <si>
    <t>SINAPI NOVEMBRO/2015 COM DESONERAÇÃO</t>
  </si>
  <si>
    <t>Engenheiro civil de obra pleno com encargos complementares</t>
  </si>
  <si>
    <t>Encarregado geral com encargos complementares</t>
  </si>
  <si>
    <t>Almoxarife com encargos complementares</t>
  </si>
  <si>
    <t>Auxiliar de serviços gerais com encargos complementares</t>
  </si>
  <si>
    <t>Vigia noturno com encargos complementares</t>
  </si>
  <si>
    <t>Apontador ou apropriador com encargos complementares</t>
  </si>
  <si>
    <t>Engenheiro civil de obra senior com encargos complementares</t>
  </si>
  <si>
    <t>Auxiliar Técnico de Engenharia com encargos complementares</t>
  </si>
  <si>
    <t>DNIT CONSULTORIA</t>
  </si>
  <si>
    <t>A0</t>
  </si>
  <si>
    <t>A2</t>
  </si>
  <si>
    <t>DNIT-CONSULTORIA</t>
  </si>
  <si>
    <t>Chefe de Escritório</t>
  </si>
  <si>
    <t>Auxiliar de Escritório</t>
  </si>
  <si>
    <t>kW/h</t>
  </si>
  <si>
    <t>COTAÇÕES ADM</t>
  </si>
  <si>
    <t>ADM-001</t>
  </si>
  <si>
    <t>ADM-002</t>
  </si>
  <si>
    <t>Materiais de escritório e Informática</t>
  </si>
  <si>
    <t>Materiais de Limpeza</t>
  </si>
  <si>
    <t>FF-CANT-001</t>
  </si>
  <si>
    <t>Tarifa "A" entre 0 e 20M³ fornecimento de água</t>
  </si>
  <si>
    <t>Tarifa de energia eletrica comercial, baixa tensao, relativa ao consumo de ate 100 kwh, incluindo icms, pis/pasep e cofins</t>
  </si>
  <si>
    <t>73784/002</t>
  </si>
  <si>
    <t>73960/001</t>
  </si>
  <si>
    <t>Mobiliário de Escritório</t>
  </si>
  <si>
    <t>02A</t>
  </si>
  <si>
    <t>02B</t>
  </si>
  <si>
    <t>Mobiliário de Alojamento para pessoal</t>
  </si>
  <si>
    <t>Ligação de esgoto em tubo pvc esgoto série-r dn 150mm, da caixa até a rede, incluindo escavação e reaterro até 1,00m, composto por 13,65m de tubo pvc série-r esgoto dn 150mm - fornecimento e instalação</t>
  </si>
  <si>
    <t>Instal/ligacao provisoria eletrica baixa tensao p/cant obra obra,m3-chave 100a carga 3kwh,20cv excl forn medidor</t>
  </si>
  <si>
    <t>Entrada de energia elétrica aérea monofásica 50a com poste de concreto, inclusive cabeamento, caixa de proteção para medidor e aterramento.</t>
  </si>
  <si>
    <t>FF-CANT-002</t>
  </si>
  <si>
    <t>COBERTURA</t>
  </si>
  <si>
    <t>CAIXILHOS E ESQUADRIAS</t>
  </si>
  <si>
    <t>REVESTIMENTOS DE PISO</t>
  </si>
  <si>
    <t>REVESTIMENTOS DE PAREDE</t>
  </si>
  <si>
    <t>REVESTIMENTOS DE FORRO</t>
  </si>
  <si>
    <t>GRADIS E CORRIMÃOS</t>
  </si>
  <si>
    <r>
      <rPr>
        <b/>
        <sz val="8"/>
        <color theme="1"/>
        <rFont val="Calibri"/>
        <family val="2"/>
        <scheme val="minor"/>
      </rPr>
      <t>JOVIC EQUIPAMENTOS E SISTEMAS LTDA - EPP</t>
    </r>
    <r>
      <rPr>
        <sz val="8"/>
        <color theme="1"/>
        <rFont val="Calibri"/>
        <family val="2"/>
        <scheme val="minor"/>
      </rPr>
      <t xml:space="preserve">
10.756.797/0001-05
Av. dos Patos, 123 - Barueri - SP - CEP 06429-120
(11)41922256
VENDAS</t>
    </r>
  </si>
  <si>
    <t>COT-003</t>
  </si>
  <si>
    <t>COT-004</t>
  </si>
  <si>
    <t>COT-005</t>
  </si>
  <si>
    <t>COT-006</t>
  </si>
  <si>
    <t>COT-007</t>
  </si>
  <si>
    <t>COT-008</t>
  </si>
  <si>
    <t>COT-009</t>
  </si>
  <si>
    <t>COT-010</t>
  </si>
  <si>
    <t>COT-011</t>
  </si>
  <si>
    <t>COT-012</t>
  </si>
  <si>
    <t>COT-013</t>
  </si>
  <si>
    <t>COT-014</t>
  </si>
  <si>
    <t>COT-015</t>
  </si>
  <si>
    <t>COT-016</t>
  </si>
  <si>
    <t>COT-017</t>
  </si>
  <si>
    <t>COT-018</t>
  </si>
  <si>
    <t>COT-019</t>
  </si>
  <si>
    <t>COT-020</t>
  </si>
  <si>
    <t>COT-021</t>
  </si>
  <si>
    <t>COT-022</t>
  </si>
  <si>
    <t>COT-023</t>
  </si>
  <si>
    <t>COT-024</t>
  </si>
  <si>
    <t>COT-025</t>
  </si>
  <si>
    <t>COT-026</t>
  </si>
  <si>
    <t>COT-027</t>
  </si>
  <si>
    <t>COT-028</t>
  </si>
  <si>
    <t>COT-030</t>
  </si>
  <si>
    <r>
      <rPr>
        <b/>
        <sz val="8"/>
        <color theme="1"/>
        <rFont val="Calibri"/>
        <family val="2"/>
        <scheme val="minor"/>
      </rPr>
      <t>SOLSTAR ENERGIA SOLAR COMERCIO, LOCAÇÃO E SERVIÇOS LTDA - ME</t>
    </r>
    <r>
      <rPr>
        <sz val="8"/>
        <color theme="1"/>
        <rFont val="Calibri"/>
        <family val="2"/>
        <scheme val="minor"/>
      </rPr>
      <t xml:space="preserve">
19.904.128/0001-08
R Orobo, 145, Alto De Pinheiros, Sao Paulo - SP
CEP 05466-030
(11)2776-6968
Leonardo Allil
 leonardo.allil@solstar.com.br</t>
    </r>
  </si>
  <si>
    <t>FF-004</t>
  </si>
  <si>
    <t>INSTALAÇÕES DE SISTEMA FOTOVOLTAICO</t>
  </si>
  <si>
    <t>FF-005</t>
  </si>
  <si>
    <t>FF-006</t>
  </si>
  <si>
    <t>FF-007</t>
  </si>
  <si>
    <t>FF-008</t>
  </si>
  <si>
    <t>FF-009</t>
  </si>
  <si>
    <t>FF-010</t>
  </si>
  <si>
    <t>FF-011</t>
  </si>
  <si>
    <t>FF-012</t>
  </si>
  <si>
    <t>FF-013</t>
  </si>
  <si>
    <t>FF-014</t>
  </si>
  <si>
    <t>FF-015</t>
  </si>
  <si>
    <t>FF-016</t>
  </si>
  <si>
    <t>FF-017</t>
  </si>
  <si>
    <t>FF-018</t>
  </si>
  <si>
    <t>FF-019</t>
  </si>
  <si>
    <t>FF-020</t>
  </si>
  <si>
    <t>FF-021</t>
  </si>
  <si>
    <t>FF-022</t>
  </si>
  <si>
    <t>FF-023</t>
  </si>
  <si>
    <t>FF-024</t>
  </si>
  <si>
    <t>FF-025</t>
  </si>
  <si>
    <t>FF-026</t>
  </si>
  <si>
    <t>FF-027</t>
  </si>
  <si>
    <t>FF-028</t>
  </si>
  <si>
    <t>FF-029</t>
  </si>
  <si>
    <t>FF-031</t>
  </si>
  <si>
    <t>FF-032</t>
  </si>
  <si>
    <t>FF-033</t>
  </si>
  <si>
    <t>FF-034</t>
  </si>
  <si>
    <t>FF-035</t>
  </si>
  <si>
    <t>FF-036</t>
  </si>
  <si>
    <t>FF-037</t>
  </si>
  <si>
    <t>FF-038</t>
  </si>
  <si>
    <t>FF-039</t>
  </si>
  <si>
    <t>FF-040</t>
  </si>
  <si>
    <t>FF-041</t>
  </si>
  <si>
    <t>FF-042</t>
  </si>
  <si>
    <t>FF-043</t>
  </si>
  <si>
    <t>FF-044</t>
  </si>
  <si>
    <t>FF-045</t>
  </si>
  <si>
    <t>FF-046</t>
  </si>
  <si>
    <t>FF-047</t>
  </si>
  <si>
    <t>FF-048</t>
  </si>
  <si>
    <t>Gerência de Contrato e Produção</t>
  </si>
  <si>
    <t>Instalação do Canteiro de Obras - Canteiro Avançado</t>
  </si>
  <si>
    <t>Instalação do Canteiro de Obras - Canteiro Central</t>
  </si>
  <si>
    <t>Edificações Provisórias - Canteiro Central</t>
  </si>
  <si>
    <t>FF-CANT-003</t>
  </si>
  <si>
    <t>Edificações Provisórias - Canteiro Avançado</t>
  </si>
  <si>
    <t>FF-CANT-004</t>
  </si>
  <si>
    <t>INSTALAÇÕES HIDRÁULICAS</t>
  </si>
  <si>
    <t>INSTALAÇÕES DE ÁGUA QUENTE</t>
  </si>
  <si>
    <t>SISTEMA DE AQUECIMENTO SOLAR</t>
  </si>
  <si>
    <t>INSTALAÇÕES DE ÁGUA FRIA</t>
  </si>
  <si>
    <t>Fornecimento e Instalação de Sistema com 10 módulos 265W e inversor Fronius 2,5kWp, inclusive homologação junto à concessionária.</t>
  </si>
  <si>
    <t>Fornecimento e Instalação de Sistema com 60 módulos  265 W e inversor 12,5 ABB kWp, inclusive homologação junto à concessionária.</t>
  </si>
  <si>
    <t>Fornecimento e Instalação de Sistema com 10 módulos 265 W e inversor Fronius 2,5 kWp, inclusive homologação junto à concessionária.</t>
  </si>
  <si>
    <t>Fornecimento e Instalação de Sistema com 12 módulos 265W com sistema off-grid, inclusive homologação junto à concessionária.</t>
  </si>
  <si>
    <t>COT-031</t>
  </si>
  <si>
    <t>COT-032</t>
  </si>
  <si>
    <t>COT-033</t>
  </si>
  <si>
    <t>COT-034</t>
  </si>
  <si>
    <t>COT-035</t>
  </si>
  <si>
    <t>COT-036</t>
  </si>
  <si>
    <t>COT-037</t>
  </si>
  <si>
    <t>COT-038</t>
  </si>
  <si>
    <t>COT-039</t>
  </si>
  <si>
    <t>COT-040</t>
  </si>
  <si>
    <t>COT-041</t>
  </si>
  <si>
    <t>COT-042</t>
  </si>
  <si>
    <t>COT-043</t>
  </si>
  <si>
    <t>COT-044</t>
  </si>
  <si>
    <t>COT-045</t>
  </si>
  <si>
    <t>COT-046</t>
  </si>
  <si>
    <t>COT-047</t>
  </si>
  <si>
    <t>COT-048</t>
  </si>
  <si>
    <t>COT-049</t>
  </si>
  <si>
    <t>COT-050</t>
  </si>
  <si>
    <t>COT-051</t>
  </si>
  <si>
    <t>COT-052</t>
  </si>
  <si>
    <t>COT-053</t>
  </si>
  <si>
    <t>COT-054</t>
  </si>
  <si>
    <t>COT-055</t>
  </si>
  <si>
    <t>COT-056</t>
  </si>
  <si>
    <t>COT-057</t>
  </si>
  <si>
    <t>COT-058</t>
  </si>
  <si>
    <t>COT-059</t>
  </si>
  <si>
    <t>COT-060</t>
  </si>
  <si>
    <t>COT-061</t>
  </si>
  <si>
    <t>COT-062</t>
  </si>
  <si>
    <t>COT-063</t>
  </si>
  <si>
    <t>COT-064</t>
  </si>
  <si>
    <t>COT-065</t>
  </si>
  <si>
    <t>COT-066</t>
  </si>
  <si>
    <t>COT-067</t>
  </si>
  <si>
    <t>COT-068</t>
  </si>
  <si>
    <t>COT-069</t>
  </si>
  <si>
    <t>COT-070</t>
  </si>
  <si>
    <t>COT-071</t>
  </si>
  <si>
    <t>COT-072</t>
  </si>
  <si>
    <t>COT-073</t>
  </si>
  <si>
    <t>COT-074</t>
  </si>
  <si>
    <t>COT-075</t>
  </si>
  <si>
    <t>COT-076</t>
  </si>
  <si>
    <t>COT-077</t>
  </si>
  <si>
    <t>COT-078</t>
  </si>
  <si>
    <t>COT-079</t>
  </si>
  <si>
    <t>COT-080</t>
  </si>
  <si>
    <t>COT-081</t>
  </si>
  <si>
    <t>COT-082</t>
  </si>
  <si>
    <t>COT-083</t>
  </si>
  <si>
    <t>COT-084</t>
  </si>
  <si>
    <t>COT-085</t>
  </si>
  <si>
    <t>COT-086</t>
  </si>
  <si>
    <t>COT-087</t>
  </si>
  <si>
    <t>COT-088</t>
  </si>
  <si>
    <t>COT-089</t>
  </si>
  <si>
    <t>COT-090</t>
  </si>
  <si>
    <t>COT-091</t>
  </si>
  <si>
    <t>CX 01 - Painel de policarbonato alveolar transparente de 40 mm com acabamento em perfil de alumínio dim.3,00x2,56m. Fornecimento e instalação</t>
  </si>
  <si>
    <t>CX 02-A - Painéis de policarbonato alveolar transparente de 40mm e porta central de madeira, abertura sentido horário, com bandeira basculante dim.3,00x2,56m. Fornecimento e instalação</t>
  </si>
  <si>
    <t>CX 02-B - Painéis de policarbonato alveolar transparente de 40mm e porta de madeira à direita, abertura sentido horário, com bandeira basculante dim.3,00x2,56m. Fornecimento e instalação</t>
  </si>
  <si>
    <t>CX 02-C - Painéis de policarbonato alveolar transparente de 40mm e porta de madeira à esquerda, abertura sentido anti-horário, com bandeira basculante dim.3,00x2,56m. Fornecimento e instalação</t>
  </si>
  <si>
    <t>CX 02-D - Painel (0,44x2,56m) de policarbonato alveolar de 40mm e porta de madeira à esquerda, abertura anti-horário, com bandeira basculante dim.1,44x2,56m. Fornecimento e instalação</t>
  </si>
  <si>
    <t>CX 03-A - Porta de madeira - estruturada com fechamento de chapa de compensado 6mm - tipo camarão em dois pares de folhas, suspensa por trilho superior e com guia inferior embutida no piso dim.3,00x2,56m. Fornecimento e instalação</t>
  </si>
  <si>
    <t>CX 03-B - Painel de policarbonato alveolar transparente de 40mm e porta de madeira - estruturada com fechamento de chapa de compensado 6mm - tipo camarão em um par de duas folhas, suspensa por trilho superior e com guia inferior embutida no piso dim.3,00x2,56m. Fornecimento e instalação</t>
  </si>
  <si>
    <t>CX 04-A - Painéis com moldura de madeira, fechamento em policarbonato alveolar transparente de 40mm e esquadria maxim-ar com vidro temperado de 8mm dim.3,00x2,56m. Fornecimento e instalação</t>
  </si>
  <si>
    <t>CX 04-B - Painéis com moldura de madeira e fechamento em policarbonato alveolar transparente de 40mm, esquadria maxim-ar e vidro fixo temperado de 8mm dim.3,00x2,56m. Fornecimento e instalação</t>
  </si>
  <si>
    <t>CX 04-C - Painéis com moldura de madeira e fechamento em policarbonato alveolar transparente de 40mm, esquadria maxim-ar e vidro fixo temperado de 8mm. Porta (0,70x2,56m) com moldura de madeira, fechamento em policarbonato e dois vidros fixos dim.3,00x2,56m. Fornecimento e instalação</t>
  </si>
  <si>
    <t>CX 04-D - Painéis com moldura de madeira, fechamento em policarbonato alveolar transparente de 40mm e esquadria maxim-ar com vidro temperado de 8mm. No vão do elevador, fechamento somente com policarbonato. Dim.3,00x2,56m. Fornecimento e instalação</t>
  </si>
  <si>
    <t>PM01 - Porta de madeira com bandeira dim.0,90x2,56m. Fornecimento e instalação</t>
  </si>
  <si>
    <t>PM02 - Porta de madeira com bandeira dim.0,80x2,56m. Fornecimento e instalação</t>
  </si>
  <si>
    <t>PM03 - Porta de madeira com bandeira dim.0,74x2,56m. Fornecimento e instalação</t>
  </si>
  <si>
    <t>CX 01-A - Painel de policarbonato alveolar transparente de 40mm com acabamento em perfil de alumínio dim.3,50x2,85m. Fornecimento e instalação</t>
  </si>
  <si>
    <t>CX 01-B - Painel de policarbonato alveolar transparente de 40mm com acabamento em perfil de alumínio dim.1,80x2,85m. Fornecimento e instalação</t>
  </si>
  <si>
    <t>CX02 - Porta de madeira - estruturada com fechamento de chapa de compensado 6mm - tipo camarão em dois pares de duas folhas, suspensa por trilho superior e com guia inferior embutida no piso dim.3,50x2,85m. Fornecimento e instalação</t>
  </si>
  <si>
    <t>CX 03 - Portão de madeira - estruturada com fechamento de chapa de compensado 6mm - de correr com trilho inferior e guia superior dim.3,60x2,71m. Fornecimento e instalação</t>
  </si>
  <si>
    <t>CX 04-A - Porta com três folhas separadas, com moldura de madeira e fechamento em policarbonato alveolar transparente de 40mm dim.1,36x3,00m. Fornecimento e instalação</t>
  </si>
  <si>
    <t>CX 04-B - Painéis com moldura de madeira, fechamento em policarbonato alveolar transparente de 40mm e vidro fixo temperado de 8mm dim.1,50x3,00 (CADA PAINEL, ENTRE EIXOS). Fornecimento e instalação</t>
  </si>
  <si>
    <t>CX 05 - Par de painéis fixos e de esquadrias basculantes com moldura de madeira e fechamento em policarbonato alveolar transparente de 40mm dim.3,40x0,74m (TOTAL). Fornecimento e instalação</t>
  </si>
  <si>
    <t>CX 06 - Painel de policarbonato alveolar transparente de 40mm com acabamento em perfil de alumínio, para fechamento da treliça dim.. Fornecimento e instalação</t>
  </si>
  <si>
    <t>Fornecimento e plantio de Scaevola plumieri - Mangue da praia</t>
  </si>
  <si>
    <t>Fornecimento e plantio de Ctenanthe pilosa - Araruta/Maranta-dourada</t>
  </si>
  <si>
    <t>Fornecimento e plantio de Hibiscus pernambucensis - Algodão da praia</t>
  </si>
  <si>
    <t>Fornecimento e plantio de Schinus terebinthifolius - Aroeira da praia</t>
  </si>
  <si>
    <t>Fornecimento e plantio de Tabebuia cassinoides - Caixeta</t>
  </si>
  <si>
    <t>Fornecimento e plantio de Trichilia pallida - Baga de morcego</t>
  </si>
  <si>
    <t>Fornecimento e plantio de Aechmea distichantha - Planta-vaso</t>
  </si>
  <si>
    <t>Fornecimento e plantio de Aechmea gracilis - Bromélia</t>
  </si>
  <si>
    <t>Fornecimento e plantio de Bromelia antiacantha - Caraguatá</t>
  </si>
  <si>
    <t>Fornecimento e plantio de Bactris setosa - Tucum</t>
  </si>
  <si>
    <t>Fornecimento e plantio de Ocotea odorifera - Canela sassafrás</t>
  </si>
  <si>
    <t>Fornecimento e plantio de Aechmea  tomentosa  - Bromélia</t>
  </si>
  <si>
    <t>Fornecimento e plantio de Hydrocotyle bonariensis - Erva capitão</t>
  </si>
  <si>
    <t>Fornecimento e plantio de Ipomea imperati - Ipomeia branca</t>
  </si>
  <si>
    <t>Fornecimento e plantio de Ipomea pes-caprae - Jundu</t>
  </si>
  <si>
    <t>FF-049</t>
  </si>
  <si>
    <t>FF-050</t>
  </si>
  <si>
    <t>FF-051</t>
  </si>
  <si>
    <t>PAISAGISMO</t>
  </si>
  <si>
    <t>FF-052</t>
  </si>
  <si>
    <t>Fornecimento e plantio de Persea pyrifolia (Sin. Persea willdenovii) - Maçaranduba</t>
  </si>
  <si>
    <t>Fornecimento e plantio de Aphelandra squarrosa - Afelandra</t>
  </si>
  <si>
    <t>Fornecimento e plantio de Blechnum brasiliense - Samambaiaçu do brejo</t>
  </si>
  <si>
    <t>Fornecimento e plantio de Costus spiralis - Caatinga/Cana de macaco</t>
  </si>
  <si>
    <t>Fornecimento e plantio de Dicksonia sellowiana - Xaxim</t>
  </si>
  <si>
    <t>Fornecimento e plantio de Monstera adansonii - Monstera do amazonas</t>
  </si>
  <si>
    <t>Fornecimento e plantio de Philodendron bipinnatifidum - Guaimbê</t>
  </si>
  <si>
    <t>Fornecimento e plantio de Quesnelia humilis  - Bromélia</t>
  </si>
  <si>
    <t>Fornecimento e plantio de Anthurium jureianum - Antúrio</t>
  </si>
  <si>
    <t xml:space="preserve">Fornecimento e plantio de Begonia jureiensis - Begônia </t>
  </si>
  <si>
    <t>Fornecimento e plantio de Sinningia micans - Siníngia</t>
  </si>
  <si>
    <t>FF-053</t>
  </si>
  <si>
    <t>FF-054</t>
  </si>
  <si>
    <t>FF-055</t>
  </si>
  <si>
    <t>FF-056</t>
  </si>
  <si>
    <t>FF-057</t>
  </si>
  <si>
    <t>FF-058</t>
  </si>
  <si>
    <t>Fornecimento e instalação de Plataforma Elevatória (elevador acessível) de 2 paradas, desnível de 2,80m entre pisos, com cabine dim. 0,90X1,40m com portas de acesso do mesmo lado e última altura menor que 2,60m, ref. PL 240 da MONTELE ou equivalente técnico.</t>
  </si>
  <si>
    <t>Fornecimento e instalação de Plataforma Elevatória (elevador acessível) de 2 paradas, desnível de 2,80m entre pisos, com cabine dim. 0,90X1,40m com portas de acesso do mesmo lado e última altura menor que 2,60m, ref. PL 240 da MONTELE ou equivalente técnico.</t>
  </si>
  <si>
    <t>Painel Wall com miolo de madeira contraplacado por lâminas de madeira e externamente por chapas em CRFS, para piso, ref. Eternit ou equivalente</t>
  </si>
  <si>
    <t>Bancada em painel com miolo de madeira contraplacado por lâminas de madeira e externamente por chapas em CRFS, para piso, ref. Eternit ou equivalente. Com pintura epóxi cor branca</t>
  </si>
  <si>
    <t>Tinta-base epoxi</t>
  </si>
  <si>
    <t>Selador para tinta epóxi</t>
  </si>
  <si>
    <t>Lixa massa/madeira uso geral Norton, Alcar ou equivalente (médias)</t>
  </si>
  <si>
    <t>Prateleira em painel com miolo de madeira contraplacado por lâminas de madeira e externamente por chapas em CRFS, para piso, ref. Eternit ou equivalente. Com pintura epóxi cor branca</t>
  </si>
  <si>
    <t>FF-059</t>
  </si>
  <si>
    <t>FF-060</t>
  </si>
  <si>
    <t>Suporte  metálico (perfil laminado trabalhado)</t>
  </si>
  <si>
    <t>Divisória em painel com miolo de madeira contraplacado por lâminas de madeira e externamente por chapas em CRFS, para piso, ref. Eternit ou equivalente. Com pintura epóxi cor branca</t>
  </si>
  <si>
    <t>Portas para divisórias chapa fibra mad prens BP com Ferragens</t>
  </si>
  <si>
    <t>Assoalho de madeira com pranchas de Pinus tratado em autoclave unidas com encaixe tipo macho-fêmea, L = 100 mm E = 20 mm</t>
  </si>
  <si>
    <t>FF-061</t>
  </si>
  <si>
    <t>Piso de poliuretano autonivelante monolítico flexível com acabamento em sistema de pintura poliuretânica alifática, com alta resistência à abrasão, a derramamentos químicos e a raios U.V. E = 3 mm. Referência: Duracolor. 
Instalado sobre painéis com miolo de madeira contraplacado por lâminas de madeira e externamente por chapas em CRFS - espessura de 40 mm</t>
  </si>
  <si>
    <t>FF-062</t>
  </si>
  <si>
    <t>FF-063</t>
  </si>
  <si>
    <t>FF-064</t>
  </si>
  <si>
    <t>Deck de madeira com pranchas de Pinus tratado em autoclave impermeabilizado, L = 100 mm e E = 20 mm</t>
  </si>
  <si>
    <t>Assoalho de madeira com pranchas de Pinus tratado em autoclave unidas com encaixe tipo macho-fêmea, L = 100 mm E = 20 mm
Instalado sobre painéis com miolo de madeira contraplacado por lâminas de madeira e externamente por chapas em CRFS - espessura de 40 mm</t>
  </si>
  <si>
    <t xml:space="preserve">Deck de madeira com pranchas de Pinus tratado em autoclave impermeabilizado, L = 100 mm e E = 20 mm
Instalado sobre camada de impermeabilização e painéis com miolo de madeira contraplacado por lâminas de madeira e externamente por chapas em CRFS - espessura de 40 mm </t>
  </si>
  <si>
    <t>FF-065</t>
  </si>
  <si>
    <t>FF-066</t>
  </si>
  <si>
    <t>FF-067</t>
  </si>
  <si>
    <t>FF-068</t>
  </si>
  <si>
    <t>FF-069</t>
  </si>
  <si>
    <t>FF-070</t>
  </si>
  <si>
    <t>FF-071</t>
  </si>
  <si>
    <t>Placas de MDF resistente à úmidade revestidas com laminado melamínico de alta pressão, texturizado, cor branca. Ref. Formica L 120 Branco TX</t>
  </si>
  <si>
    <t>Pintura com tinta epóxi cor branca aplicada sobre massa acrílica e placas cimentícias com tratamento de impermeabilização</t>
  </si>
  <si>
    <t>Pintura com tinta epóxi cor branca aplicada sobre massa acrílica aplicada em placas de MDF resistente à úmidade</t>
  </si>
  <si>
    <t>Pintura acrílica branca sobre fundo de painéis com miolo de madeira contraplacado por lâminas de madeira e externamente por chapas em CRFS</t>
  </si>
  <si>
    <t>Pintura com tinta epóxi cor branca sobre massa acrílica aplicada em placas de MDF resistente à úmidade</t>
  </si>
  <si>
    <t>Policarbonato alveolar branco leitoso espessura 10mm.  Ref. Arkos PCA</t>
  </si>
  <si>
    <t>ILUMINAÇÃO E TOMADAS</t>
  </si>
  <si>
    <t>ALIMENTADORES</t>
  </si>
  <si>
    <t>TELEFONIA E LÓGICA</t>
  </si>
  <si>
    <t>S.P.D.A</t>
  </si>
  <si>
    <t>20503</t>
  </si>
  <si>
    <t>20505</t>
  </si>
  <si>
    <t>20508</t>
  </si>
  <si>
    <t>20518</t>
  </si>
  <si>
    <t>21538</t>
  </si>
  <si>
    <t>26760</t>
  </si>
  <si>
    <t>27010</t>
  </si>
  <si>
    <t>37542</t>
  </si>
  <si>
    <t>38009</t>
  </si>
  <si>
    <t>40510</t>
  </si>
  <si>
    <t>45111</t>
  </si>
  <si>
    <t>45119</t>
  </si>
  <si>
    <t>46306</t>
  </si>
  <si>
    <t>46311</t>
  </si>
  <si>
    <t>46321</t>
  </si>
  <si>
    <t>48008</t>
  </si>
  <si>
    <t>48528</t>
  </si>
  <si>
    <t>Cimento CPII-E-32 (sacos de 50 kg)</t>
  </si>
  <si>
    <t>Cal hidratada (saco de 20 kg)</t>
  </si>
  <si>
    <t>Areia média lavada (a granel caçamba fechada)</t>
  </si>
  <si>
    <t>Pedra britada nº médios 1.2.3 e 4 (a granel)</t>
  </si>
  <si>
    <t>Sarrafo de cedrinho 2,5 x 5 cm</t>
  </si>
  <si>
    <t>Sarrafo de pinus, 1´ x 4´ - bruto</t>
  </si>
  <si>
    <t>Aço CA-60-B $MD bitolas</t>
  </si>
  <si>
    <t>Bloco de concreto de vedação 19 x 19 x 39 cm, uso revestido - 3 Mpa</t>
  </si>
  <si>
    <t>Prego diversas bitolas (referência 18 x 27)</t>
  </si>
  <si>
    <t>Arame recozido nº 18 BWG</t>
  </si>
  <si>
    <t>Sherwin Willian, Metalatex (Fusecolor) ou equivalente</t>
  </si>
  <si>
    <t>Selador para pintura latex</t>
  </si>
  <si>
    <t>Poste concreto seção duplo ´T´, H= 7,50m p/90kgf</t>
  </si>
  <si>
    <t>Isolador tipo roldana baixa tensão de 76 x 79 mm-</t>
  </si>
  <si>
    <t>Caixa de medição tipo ´M´ externa de (900x1200x270)mm, padrão Eletropaulo</t>
  </si>
  <si>
    <t>Caixa para seccionadora tipo ´T´, (900x600x250)mm, padrão Eletropaulo</t>
  </si>
  <si>
    <t>Caixa tipo "IV" 30,20 x 55,3 x 21cm CPFL, EDP BANDEIRANTE E ELEKTRO</t>
  </si>
  <si>
    <t>Molde classe R para conexão exotérmica</t>
  </si>
  <si>
    <t>Alicate p/ molde classe R (conexão exotérmica)</t>
  </si>
  <si>
    <t>Cartucho p/ conexão exoterm. Cabo/haste/ p/cabo 50mm2</t>
  </si>
  <si>
    <t>Haste coperweld 19mm (3/4)x3m</t>
  </si>
  <si>
    <t>Cinta aço zincado para poste concreto tubular 250mm</t>
  </si>
  <si>
    <t>Betoneira motor elétrico monofásico capacidade 400l</t>
  </si>
  <si>
    <t>Armação secundária para 1 estribo</t>
  </si>
  <si>
    <t>Caixa de inspeção p/ Terra (250x250x250)mm</t>
  </si>
  <si>
    <t>28056</t>
  </si>
  <si>
    <t>38012</t>
  </si>
  <si>
    <t>38028</t>
  </si>
  <si>
    <t>45108</t>
  </si>
  <si>
    <t>Tábua cedrinho 25 mm x 300 mm de 3ª</t>
  </si>
  <si>
    <t>21021</t>
  </si>
  <si>
    <t>Tinta esmalte sintético alto brilho, grafite metálico, para estrutura metálica, ref. Sherwin Willians, Metalatex, ou equivalente</t>
  </si>
  <si>
    <t>Lixa para ferro e metais Norton N° 80, ou equivalente</t>
  </si>
  <si>
    <t>Zarcão, ref. Zarcoral fabricação Coral - Zarcão Internacional ou equivalente</t>
  </si>
  <si>
    <t>Caixa de proteção para TC, em chapa 14, (1000x750x300) mm, padrão CPFL</t>
  </si>
  <si>
    <t>AE-19 Abrigo e entrada de energia (Caixa II, IV ou E) - CPFL, EDP Bandeirante e Elektro</t>
  </si>
  <si>
    <t>FF-072</t>
  </si>
  <si>
    <t>Quadro de distribuição de luz e força do tipo de sobrepor com barramento interno 3F + N + T, proteção geral de 15 kA e disjuntores parciais de 5kA, placa de fixação independente, fechadura com chave Yale de acordo com ABNT 60439-1 - ref. GIMI ou equivalente, conforme diagramas de projeto</t>
  </si>
  <si>
    <t>Caixa de passagem em alvenaria de 0,60x0,60x0,60m</t>
  </si>
  <si>
    <t>Aço CA-25 $MD bitolas</t>
  </si>
  <si>
    <t>Tijolo comum maciço</t>
  </si>
  <si>
    <t>Divisória porta 0,82x2,10 colocada G1-C7</t>
  </si>
  <si>
    <t>Dobradiça aço crom. c/pino bolas aço 3 1/2x3"</t>
  </si>
  <si>
    <t>Fechadura tipo tubular completa - 90mm dist.</t>
  </si>
  <si>
    <t>Telha de aço galvanizado chapa 0,5mm com sand. Poliuretan h=50mm sup. Trapez com inf. Plano com pintura faces aparente</t>
  </si>
  <si>
    <t>Telhadista</t>
  </si>
  <si>
    <t>Ajudante de telhadista</t>
  </si>
  <si>
    <t>Telha Galvanizada chapa 0,5mm perfil sup.trapez e inf. Plano sand poliuret e=50mm c/acab</t>
  </si>
  <si>
    <t>Parafuso auto-perf c/ conj vedação p/ telha de aço</t>
  </si>
  <si>
    <t>Arbusto regional altura maior que 1m</t>
  </si>
  <si>
    <t>Muda de árvore ornamental, Oiti/Aroeira salsa/Angico/Opê/Jacarandá ou equivalente da região, h= 2m</t>
  </si>
  <si>
    <t>Muda de árvore ornamental, Oiti/Aroeira salsa/Angico/Opê/Jacarandá ou equivalente da região, h= 1m</t>
  </si>
  <si>
    <t>Muda de palmeira, areca, h=150cm</t>
  </si>
  <si>
    <t>Muda de de rasteira/forração, amendoim rasteiro/onzze horas/azulzinha/impatiens ou equivalente da região</t>
  </si>
  <si>
    <t>Muda de arbusto folhagem, sansão do campo ou equivalente da região, h=50 70 cm</t>
  </si>
  <si>
    <t>ILUMINAÇÃO EXTERNA</t>
  </si>
  <si>
    <t>Te, PVC, Soldável, DN 25mm, instalado em ramal ou sub-ramal de água fornecimento e instalação. AF_12/2014_P</t>
  </si>
  <si>
    <t>Te, PVC, Soldável, DN 32mm, instalado em ramal ou sub-ramal de água fornecimento e instalação. AF_12/2014_P</t>
  </si>
  <si>
    <t>SINAPI ADAPTADO</t>
  </si>
  <si>
    <t>Adesivo para tubos PVC</t>
  </si>
  <si>
    <t>Solução limpadora para PVC</t>
  </si>
  <si>
    <t>Lixa d´água, ref. Norton n° 80, Aquaflex ou equivalente</t>
  </si>
  <si>
    <t>Tê soldável,PVC, 90 fraus, 32 mm, para água fria predial (NBR 5648)</t>
  </si>
  <si>
    <t>Tê soldável,PVC, 90 fraus, 25 mm, para água fria predial (NBR 5648)</t>
  </si>
  <si>
    <t>Tê soldável,PVC, 90 fraus, 60 mm, para água fria predial (NBR 5648)</t>
  </si>
  <si>
    <t>Tê soldável,PVC, 90 fraus, 50 mm, para água fria predial (NBR 5648)</t>
  </si>
  <si>
    <t>Adaptado de ref. SINAPI 89395</t>
  </si>
  <si>
    <t>FF-073</t>
  </si>
  <si>
    <t>Te, PVC, Soldável, DN 25mm, instalado em ramal ou sub-ramal de água fornecimento e instalação.</t>
  </si>
  <si>
    <t>FF-074</t>
  </si>
  <si>
    <t>FF-075</t>
  </si>
  <si>
    <t>Te, PVC, Soldável, DN 32mm, instalado em ramal ou sub-ramal de água fornecimento e instalação.</t>
  </si>
  <si>
    <t>Te, PVC, Soldável, DN 50mm, instalado em ramal ou sub-ramal de água fornecimento e instalação.</t>
  </si>
  <si>
    <t>Te, PVC, Soldável, DN 60mm, instalado em ramal ou sub-ramal de água fornecimento e instalação.</t>
  </si>
  <si>
    <t>Cotovelo 45º, PVC, Soldável, DN 25mm, instalado em ramal ou sub-ramal de água fornecimento e instalação.</t>
  </si>
  <si>
    <t>Cotovelo 45º, PVC, Soldável, DN 32mm, instalado em ramal ou sub-ramal de água fornecimento e instalação.</t>
  </si>
  <si>
    <t>Cotovelo 45º, PVC, Soldável, DN 50mm, instalado em ramal ou sub-ramal de água fornecimento e instalação.</t>
  </si>
  <si>
    <t>Cotovelo 45º, PVC, Soldável, DN 60mm, instalado em ramal ou sub-ramal de água fornecimento e instalação.</t>
  </si>
  <si>
    <t>FF-076</t>
  </si>
  <si>
    <t>FF-077</t>
  </si>
  <si>
    <t>FF-078</t>
  </si>
  <si>
    <t>FF-079</t>
  </si>
  <si>
    <t>Curva de pvc 45 graus, soldável, 25mm, para água fria predial (NBR 5648)</t>
  </si>
  <si>
    <t>Curva de pvc 45 graus, soldável, 32mm, para água fria predial (NBR 5648)</t>
  </si>
  <si>
    <t>Curva de pvc 45 graus, soldável, 50mm, para água fria predial (NBR 5648)</t>
  </si>
  <si>
    <t>Curva de pvc 45 graus, soldável, 60mm, para água fria predial (NBR 5648)</t>
  </si>
  <si>
    <t>FF-080</t>
  </si>
  <si>
    <t>Joelho 90 graus com bucha de latão, pvc, soldável  DN 25MM, X 3/4 instalado em ramal ou sub-ramal de água fornecimento e instalação.</t>
  </si>
  <si>
    <t>Adaptado de ref. SINAPI 89366</t>
  </si>
  <si>
    <t>Joelho PVC sold 90G c/bucha de latão 25mmx3/4"</t>
  </si>
  <si>
    <t>FF-081</t>
  </si>
  <si>
    <t>União PVC, Soldável, 25 mm, para água fria predial instalado em ramal ou sub-ramal de água fornecimento e instalação.</t>
  </si>
  <si>
    <t>União PVC, Soldável, 25 mm, para água fria predial</t>
  </si>
  <si>
    <t>Adaptado de ref. SINAPI 89382</t>
  </si>
  <si>
    <t>Luva de redução soldável, PVC 25 mm X 20 mm, para água fria predial</t>
  </si>
  <si>
    <t>FF-082</t>
  </si>
  <si>
    <t>FF-083</t>
  </si>
  <si>
    <t>FF-084</t>
  </si>
  <si>
    <t>FF-085</t>
  </si>
  <si>
    <t>FF-086</t>
  </si>
  <si>
    <t>FF-087</t>
  </si>
  <si>
    <t>FF-088</t>
  </si>
  <si>
    <t>FF-089</t>
  </si>
  <si>
    <t>FF-090</t>
  </si>
  <si>
    <t>FF-091</t>
  </si>
  <si>
    <t>FF-092</t>
  </si>
  <si>
    <t>FF-093</t>
  </si>
  <si>
    <t>FF-094</t>
  </si>
  <si>
    <t>Luva de redução soldável, PVC 25 mm X 20 mm, para água fria predial instalado em ramal ou sub-ramal de água fornecimento e instalação.</t>
  </si>
  <si>
    <t>Adaptado de ref. SINAPI 89419</t>
  </si>
  <si>
    <t>Luva soldável, PVC 25mm, para água fria predial instalado em ramal ou sub-ramal de água fornecimento e instalação.</t>
  </si>
  <si>
    <t>Luva soldável, PVC 32mm, para água fria predial instalado em ramal ou sub-ramal de água fornecimento e instalação.</t>
  </si>
  <si>
    <t>Luva soldável, PVC 50mm, para água fria predial instalado em ramal ou sub-ramal de água fornecimento e instalação.</t>
  </si>
  <si>
    <t>Luva soldável, PVC 60mm, para água fria predial instalado em ramal ou sub-ramal de água fornecimento e instalação.</t>
  </si>
  <si>
    <t>Luva PVC soldável, 25 mm, para água fria predial</t>
  </si>
  <si>
    <t>Luva PVC soldável, 32 mm, para água fria predial</t>
  </si>
  <si>
    <t>Luva PVC soldável, 50 mm, para água fria predial</t>
  </si>
  <si>
    <t>Luva PVC soldável, 60 mm, para água fria predial</t>
  </si>
  <si>
    <t>Adaptado de ref. SINAPI 89424</t>
  </si>
  <si>
    <t>Adaptador PVC soldável curto com bolsa e rosca, 50mm x 1 1/2"" para água fria</t>
  </si>
  <si>
    <t>Adaptador curto com bolsa e rosca para registro, PVC, soldável DN 50mmx1.1/2" instalação em prumada de água fornecimento e instalação</t>
  </si>
  <si>
    <t>Adaptado de ref. SINAPI 89596</t>
  </si>
  <si>
    <t>Adaptador PVC Soldável, com flanges livres, 50mm x 1 1/2" para caixa d´água</t>
  </si>
  <si>
    <t>Adaptador PVC Soldável, com flanges livres, 60mm x 2" para caixa d´água</t>
  </si>
  <si>
    <t>Adaptador PVC Soldável, com flanges livres, 50mm x 1 1/2" para caixa d´água, fornecimento e instalação</t>
  </si>
  <si>
    <t>Adaptador PVC Soldável, com flanges livres, 60mm x 2" para caixa d´água, fornecimento e instalação</t>
  </si>
  <si>
    <t>Fita teflon de 18 mm</t>
  </si>
  <si>
    <t>Adaptado de ref. SINAPI 72792</t>
  </si>
  <si>
    <t>FUNDAÇÕES PROFUNDAS</t>
  </si>
  <si>
    <t>FF-095</t>
  </si>
  <si>
    <t>FF-096</t>
  </si>
  <si>
    <t>FF-097</t>
  </si>
  <si>
    <t>FF-098</t>
  </si>
  <si>
    <t>FF-099</t>
  </si>
  <si>
    <t>Cotovelo de 90º 28mm solda em cobre para água quente, Fornecimento e Instalação</t>
  </si>
  <si>
    <t>Cotovelo de 90º 22mm solda em cobre para água quente, Fornecimento e Instalação</t>
  </si>
  <si>
    <t>Tê 28mm solda em cobre para água quente, Fornecimento e Instalação</t>
  </si>
  <si>
    <t>Cotovelo cobre s/anel solda ref 607 22mm</t>
  </si>
  <si>
    <t>Cotovelo cobre s/anel solda ref 607 28mm</t>
  </si>
  <si>
    <t>Tê cobre s/anel de solda ref. 611 028mm</t>
  </si>
  <si>
    <t>Solda p/ tubo e conexões de cobre 500G</t>
  </si>
  <si>
    <t>Adaptado de ref. SINAPI 74060/002</t>
  </si>
  <si>
    <t>Adaptado de ref. SINAPI 74060/003</t>
  </si>
  <si>
    <t>Solda 50/50</t>
  </si>
  <si>
    <t>Adaptado de ref. SINAPI 72724</t>
  </si>
  <si>
    <t>INSTALAÇÕES DE GÁS</t>
  </si>
  <si>
    <t>INSTALAÇÕES DE ESGOTO</t>
  </si>
  <si>
    <t>Biodigestor 3.000 litros Acqualimp  ou equivalente técnico</t>
  </si>
  <si>
    <t>Caixa de inspeção de esgoto ref. Tigre ou equivalente técnico</t>
  </si>
  <si>
    <t>FF-100</t>
  </si>
  <si>
    <t>FF-101</t>
  </si>
  <si>
    <t>FF-102</t>
  </si>
  <si>
    <t>FF-103</t>
  </si>
  <si>
    <t>FF-104</t>
  </si>
  <si>
    <t>FF-105</t>
  </si>
  <si>
    <t>FF-106</t>
  </si>
  <si>
    <t>FF-107</t>
  </si>
  <si>
    <t>FF-108</t>
  </si>
  <si>
    <t>FF-109</t>
  </si>
  <si>
    <t>Joelho 90 graus de PVC série R diam. 100mm, fornecimento e instalação</t>
  </si>
  <si>
    <t>Joelho 90 graus de PVC série R diam. 50mm, fornecimento e instalação</t>
  </si>
  <si>
    <t>Joelho 90 graus de PVC série R diam. 40mm, fornecimento e instalação</t>
  </si>
  <si>
    <t>Joelho 45 graus de PVC série R diam. 100mm, fornecimento e instalação</t>
  </si>
  <si>
    <t>Joelho 45 graus de PVC série R diam. 50mm, fornecimento e instalação</t>
  </si>
  <si>
    <t>Junção simples de PVC série R diam. 100mm, fornecimento e instalação</t>
  </si>
  <si>
    <t>Junção simples de PVC série R diam. 50mm, fornecimento e instalação</t>
  </si>
  <si>
    <t>Junção invertida de PVC série R diam. 75x50mm, fornecimento e instalação</t>
  </si>
  <si>
    <t>Tê de PVC série R diam. 50mm, fornecimento e instalação</t>
  </si>
  <si>
    <t>Redução excentrica de PVC série R diam. 100 para 50mm, fornecimento e instalação</t>
  </si>
  <si>
    <t>Redução excentrica de PVC série R diam. 75 para 50mm, fornecimento e instalação</t>
  </si>
  <si>
    <t>FF-110</t>
  </si>
  <si>
    <t>FF-111</t>
  </si>
  <si>
    <t>FF-112</t>
  </si>
  <si>
    <t>FF-113</t>
  </si>
  <si>
    <t>FF-114</t>
  </si>
  <si>
    <t>FF-115</t>
  </si>
  <si>
    <t>FF-116</t>
  </si>
  <si>
    <t>Luva de PVC série R diam. 100mm, fornecimento e instalação</t>
  </si>
  <si>
    <t>Luva de PVC série R diam. 50mm, fornecimento e instalação</t>
  </si>
  <si>
    <t>Luva de PVC série R diam. 40mm, fornecimento e instalação</t>
  </si>
  <si>
    <t>Caixa de gordura em PVC com cesto de limpeza ref. Tigre ou equivalente, dim. 250x172x50mm</t>
  </si>
  <si>
    <t>ÁGUAS PLUVIAIS</t>
  </si>
  <si>
    <t>Caixa de inspeção de águas pluviais ref. Tigre ou equivalente técnico</t>
  </si>
  <si>
    <t>Cisterna 2.800L, equipada para água de chuva com 2 filtros e bomba 1/2CV ref. Acqualimp ou equivalente técnico</t>
  </si>
  <si>
    <t>Joelho PVC série R p/ Esgoto Predial 90G DN 100 MM</t>
  </si>
  <si>
    <t>Anel de borracha para tubo de esgoto predial, DN 100 mm (NBR 5688)</t>
  </si>
  <si>
    <t>Pasta lubrificante para uso em tubos de PVC com anel de borracha (pote de 400G)</t>
  </si>
  <si>
    <t>Joelho PVC série R p/ Esgoto Predial 90G DN 50 MM</t>
  </si>
  <si>
    <t>Anel de borracha para tubo de esgoto predial, DN 50 mm (NBR 5688)</t>
  </si>
  <si>
    <t>Ref. SINAPI 89529</t>
  </si>
  <si>
    <t>Ref. SINAPI 89520</t>
  </si>
  <si>
    <t>Joelho PVC série R p/ Esgoto Predial 90G DN 40 MM</t>
  </si>
  <si>
    <t>Joelho PVC série R p/ Esgoto Predial 45G DN 100 MM</t>
  </si>
  <si>
    <t>Ref. SINAPI 89531</t>
  </si>
  <si>
    <t>Joelho PVC série R p/ Esgoto Predial 45G DN 50 MM</t>
  </si>
  <si>
    <t>Joelho PVC série R p/ Esgoto Predial 45G DN 40MM</t>
  </si>
  <si>
    <t>Ref. SINAPI 89516</t>
  </si>
  <si>
    <t>Junção simples PVC p/esgoto predial DN 100x100mm</t>
  </si>
  <si>
    <t>Ref. SINAPI 89797</t>
  </si>
  <si>
    <t>Junção simples PVC p/esgoto predial DN 50x50mm</t>
  </si>
  <si>
    <t>Ref. SINAPI 89827</t>
  </si>
  <si>
    <t>Junção invertida PVC sold p/esgoto predial DN 75x50mm</t>
  </si>
  <si>
    <t>Ref. SINAPI 89685</t>
  </si>
  <si>
    <t>Anel de borracha para tubo de esgoto predial, DN 75 mm (NBR 5688)</t>
  </si>
  <si>
    <t>Te PVC série R p/ esg predial 75x75mm</t>
  </si>
  <si>
    <t>Ref. SINAPI 89687</t>
  </si>
  <si>
    <t>Redução excentrica PVC p/ esg predial DN 100x50mm</t>
  </si>
  <si>
    <t>Redução excentrica PVC p/ esg predial DN 75x50mm</t>
  </si>
  <si>
    <t>Luva simples PVC série R p/Esg predual 100mm</t>
  </si>
  <si>
    <t>Ref. SINAPI 89554</t>
  </si>
  <si>
    <t>Luva simples PVC série R p/Esg predual 50mm</t>
  </si>
  <si>
    <t>Ref. SINAPI 89545</t>
  </si>
  <si>
    <t>Luva simples PVC série R p/Esg predual 40mm</t>
  </si>
  <si>
    <t>Anel de borracha para tubo de esgoto predial, DN 40 mm (NBR 5688)</t>
  </si>
  <si>
    <t>Ref. SINAPI 89544</t>
  </si>
  <si>
    <t>GC-01 - Guarda-corpo de madeira com fechamento de tela galvanizada + corrimão duplo de aço galvanizado 1/12"</t>
  </si>
  <si>
    <t>GC-02 - Guarda-corpo de madeira com fechamento de tela galvanizada (rampas, escadas e decks externos)</t>
  </si>
  <si>
    <t>GC-03 - Guarda-corpo de madeira com fechamento de tela galvanizada (edifício padrão)</t>
  </si>
  <si>
    <t>Piso tátil de alerta com elementos soltos de poliéster instalação parafusada - cor preta - largura 25cm</t>
  </si>
  <si>
    <t>Argamassa de cimento e areia - média 1:5</t>
  </si>
  <si>
    <t>EDIF</t>
  </si>
  <si>
    <t>Hidrorrepelente a base de silano-siloxano oligomérico disperso em solvente, ref. Denver HR da Denver, Nitoprimer 40 da Fosroc</t>
  </si>
  <si>
    <t>EDIF SET 2015</t>
  </si>
  <si>
    <t>Assoalho em cumaru com encaixe macho e fêmea</t>
  </si>
  <si>
    <t>Barrote de madeira para assoalho</t>
  </si>
  <si>
    <t>Solvente para materiais base epóxi</t>
  </si>
  <si>
    <r>
      <rPr>
        <b/>
        <sz val="8"/>
        <color theme="1"/>
        <rFont val="Calibri"/>
        <family val="2"/>
        <scheme val="minor"/>
      </rPr>
      <t>WOOD DESIGN MARCENARIA TÉCNICA LTDA EPP</t>
    </r>
    <r>
      <rPr>
        <sz val="8"/>
        <color theme="1"/>
        <rFont val="Calibri"/>
        <family val="2"/>
        <scheme val="minor"/>
      </rPr>
      <t xml:space="preserve">
07.853.379/0001-21
Rua Pedro Delforno, 145, Jd. Virgínia - Itatiba/SP
(11) 4538-1257
Giovani Bredariol
orcamento@wooddesign.com.br</t>
    </r>
  </si>
  <si>
    <t>Policarbonato 40mm - Fechamento de Caixilhos, sistema Arkowall ou equivalente técnico</t>
  </si>
  <si>
    <t>Policarbonato 10mm, sistema TOPGAL da Arkos ou equivalente técnico</t>
  </si>
  <si>
    <t>Policarbonato 10mm, Sistema PCA da Arkos, ou equivalente técnico</t>
  </si>
  <si>
    <t>Acessórios e instalações do sistema de policarbonato</t>
  </si>
  <si>
    <t>Cobertura em policarbonato 20mm, sistema TOPGAL da Arkos, ou equivalente técnico. Fornecimento e Instalação</t>
  </si>
  <si>
    <t xml:space="preserve">Cobertura em policarbonato 20mm, sistema TOPGAL da Arkos, ou equivalente técnico. </t>
  </si>
  <si>
    <t>MAPA DE EQUALIZAÇÃO DE COTAÇÕES</t>
  </si>
  <si>
    <t>CA-22 Canaleta de águas pluviais em concreto (30cm)</t>
  </si>
  <si>
    <t>Chapa compensada cola PVA resinada de 12mm (2,20 x 1,10)m</t>
  </si>
  <si>
    <t>FUNDAÇÕES SUPERFICIAIS E CONTENÇÕES</t>
  </si>
  <si>
    <t>FF-117</t>
  </si>
  <si>
    <t>FF-118</t>
  </si>
  <si>
    <t>FF-119</t>
  </si>
  <si>
    <t>FF-120</t>
  </si>
  <si>
    <t>FF-121</t>
  </si>
  <si>
    <t>FF-122</t>
  </si>
  <si>
    <t>Luminária circular de embutir com foco orbital. Corpo e Orbital em alumínio injetado. Lâmpada LED 15W ângulo de abertura 20 graus, temperatura de cor 3000K.</t>
  </si>
  <si>
    <t>Luminária de embutir com corpo em alumínio injetado com acabamento em pintura na cor branca. Difusor recuado translúcido. Dissipador de calor em alumínio injetado na cor titânio. Temperatura de cor 3000K.</t>
  </si>
  <si>
    <t>Luminária de sobrepor com corpo de alumínio injetado com acabamento em pintura na cor branca. Difusor recuado em acrílico translúcido e IP20. Temperatura de cor 3000K.</t>
  </si>
  <si>
    <t>Luminária circular de embutir no piso ou parede. Aro externo em alumínio, difusor em vidro plano temperado transparente. Corpo em alumínio injetado. Grau de proteção IP67. Temperatura de cor 3000K.</t>
  </si>
  <si>
    <t>Luminária de sobrepor com barra de LED. Corpo em chapa de aço tratada com acabamento em pintura eletrostática na cor branca. Difusor em acrílico translúcido. Temperatura de cor 3000K.</t>
  </si>
  <si>
    <t>Luminária tipo Spot com  foco orientável, corpo em alumínio pintado, refletor em alumínio anodizado, para uma lâmpada LED COB 15 W, abertura 50º, temperatura de cor 3000K.</t>
  </si>
  <si>
    <t>AR CONDICIONADO E EXAUSTORES</t>
  </si>
  <si>
    <t>Tampo em MDF de 25 mm de espessura com laminado melamínico</t>
  </si>
  <si>
    <t>Fornecimento de Exaustor tipo Multivac ou equivalente técnico, para 125mm na saída</t>
  </si>
  <si>
    <t>Fornecimento de duto circular de alumínio para uso aparente</t>
  </si>
  <si>
    <t>FF-123</t>
  </si>
  <si>
    <t>Fornecimento e Instalação de Exaustor ref. Multivac ou equivalente técnico, com saída de 125mm, inclusive dutos de alumínio aparente</t>
  </si>
  <si>
    <r>
      <rPr>
        <b/>
        <sz val="8"/>
        <color theme="1"/>
        <rFont val="Calibri"/>
        <family val="2"/>
        <scheme val="minor"/>
      </rPr>
      <t>ARMEL - ARTEFATOS DE MOVIMENTAÇÃO E ELEVAÇÃO</t>
    </r>
    <r>
      <rPr>
        <sz val="8"/>
        <color theme="1"/>
        <rFont val="Calibri"/>
        <family val="2"/>
        <scheme val="minor"/>
      </rPr>
      <t xml:space="preserve">
 05.253.382/0001-89
Rod. Da Uva km 04, 2644, Sala B - Colombo - PR 
CEP 83402-000
(11)3663-2894
armel@armel.ind.br
Silvia Haddad</t>
    </r>
  </si>
  <si>
    <r>
      <rPr>
        <b/>
        <sz val="8"/>
        <color theme="1"/>
        <rFont val="Calibri"/>
        <family val="2"/>
        <scheme val="minor"/>
      </rPr>
      <t>VERTLINE ELEVADORES LTDA - EPP</t>
    </r>
    <r>
      <rPr>
        <sz val="8"/>
        <color theme="1"/>
        <rFont val="Calibri"/>
        <family val="2"/>
        <scheme val="minor"/>
      </rPr>
      <t xml:space="preserve">
CNPJ: 07.614.645/0001-63
Rua Tratoy, 230, Jardim Piemont - Betim - MG 
CEP 32.689-338 
Tel.: (31) 3512-7100
vertline@vertline.com.br
Izabel</t>
    </r>
  </si>
  <si>
    <t>Fornecimento de aparelho ar condicionado Split Hi Wall 9.000BTU/h</t>
  </si>
  <si>
    <r>
      <rPr>
        <b/>
        <sz val="8"/>
        <color theme="1"/>
        <rFont val="Calibri"/>
        <family val="2"/>
        <scheme val="minor"/>
      </rPr>
      <t xml:space="preserve">NECSA COMÉRCIO E SERVIÇOS DE ELETRODOMÉSTICOS EIRELI
</t>
    </r>
    <r>
      <rPr>
        <sz val="8"/>
        <color theme="1"/>
        <rFont val="Calibri"/>
        <family val="2"/>
        <scheme val="minor"/>
      </rPr>
      <t xml:space="preserve">CNPJ. 07.288.076/0001-03
Rua Presidente Wenceslau, 351 
São Bento (07438-005) Arujá – SP
(11) 4655-4541 / 4274-0417
contato@necsa.com.br
Guillermo Romanutti
</t>
    </r>
  </si>
  <si>
    <t>FF-124</t>
  </si>
  <si>
    <t>Fornecimento e instalação de aparelho ar condicionado Split Hi Wall 9.000BTU/h</t>
  </si>
  <si>
    <r>
      <rPr>
        <b/>
        <sz val="8"/>
        <color theme="1"/>
        <rFont val="Calibri"/>
        <family val="2"/>
        <scheme val="minor"/>
      </rPr>
      <t xml:space="preserve"> GLOBAL AR COMERCIO DE REFRIGERAÇÃO LTDA</t>
    </r>
    <r>
      <rPr>
        <sz val="8"/>
        <color theme="1"/>
        <rFont val="Calibri"/>
        <family val="2"/>
        <scheme val="minor"/>
      </rPr>
      <t xml:space="preserve">
CNPJ: 66.110.404/0001-46
Rua Barao de Campinas, 690 - Campos Eliseos - Sao Paulo / SP - CEP:01201-000
Tel: (11) 3636.3535
VENDAS</t>
    </r>
  </si>
  <si>
    <r>
      <rPr>
        <b/>
        <sz val="8"/>
        <color theme="1"/>
        <rFont val="Calibri"/>
        <family val="2"/>
        <scheme val="minor"/>
      </rPr>
      <t>MPS DISTRIBUIDORA MERCANTIL LTDA</t>
    </r>
    <r>
      <rPr>
        <sz val="8"/>
        <color theme="1"/>
        <rFont val="Calibri"/>
        <family val="2"/>
        <scheme val="minor"/>
      </rPr>
      <t xml:space="preserve">
CNPJ: 09.570.732/0004-34
R. Carlota de Almeida Lemos, 46, Jd Paraíso, Campo Grande-MS
CEP 79117-004
(11)3649-4067
VENDAS</t>
    </r>
  </si>
  <si>
    <t>REF. CPOS 43.07.12</t>
  </si>
  <si>
    <t>OBS:</t>
  </si>
  <si>
    <r>
      <rPr>
        <b/>
        <sz val="8"/>
        <color theme="1"/>
        <rFont val="Calibri"/>
        <family val="2"/>
        <scheme val="minor"/>
      </rPr>
      <t>FLORA BRASIL PAISAGISMO E JARDINAGEM ME</t>
    </r>
    <r>
      <rPr>
        <sz val="8"/>
        <color theme="1"/>
        <rFont val="Calibri"/>
        <family val="2"/>
        <scheme val="minor"/>
      </rPr>
      <t xml:space="preserve">
CNPJ 21.852.296/0001-49
rua Manoel Malta -  Ipiranga - São Paulo capital. 
Fone: 97591-8296 / 97508-5816
florabrasilsp@gmail.com
Thiago Fonseca</t>
    </r>
  </si>
  <si>
    <r>
      <rPr>
        <b/>
        <sz val="8"/>
        <color theme="1"/>
        <rFont val="Calibri"/>
        <family val="2"/>
        <scheme val="minor"/>
      </rPr>
      <t>ARKOS BRASIL PROJETOS LTDA</t>
    </r>
    <r>
      <rPr>
        <sz val="8"/>
        <color theme="1"/>
        <rFont val="Calibri"/>
        <family val="2"/>
        <scheme val="minor"/>
      </rPr>
      <t xml:space="preserve">
CNPJ 20.300.907/0001-83
Rua Rinaldo Chiarotti, 292B, Sala 1 - Loteamento Industrial Coral, Mauá, SP
Cep 09372-060
(11) 4543-6741
Guilherme Mendes
g.mendes@arkosbrasil.com.br</t>
    </r>
  </si>
  <si>
    <r>
      <rPr>
        <b/>
        <sz val="8"/>
        <color theme="1"/>
        <rFont val="Calibri"/>
        <family val="2"/>
        <scheme val="minor"/>
      </rPr>
      <t>PLASTIREAL INDUSTRIA E COMÉRCIO DE PLÁSTICOS LTDA.</t>
    </r>
    <r>
      <rPr>
        <sz val="8"/>
        <color theme="1"/>
        <rFont val="Calibri"/>
        <family val="2"/>
        <scheme val="minor"/>
      </rPr>
      <t xml:space="preserve">
CNPJ 53.234.274/0001-01
Av Cruzeiro Do Sul, 225 | S Paulo - SP, CEP: 01109-100
11- 3227-5355
Larissa Andrade
vendas24@plastireal.com.br
</t>
    </r>
    <r>
      <rPr>
        <b/>
        <sz val="8"/>
        <color rgb="FFFF0000"/>
        <rFont val="Calibri"/>
        <family val="2"/>
        <scheme val="minor"/>
      </rPr>
      <t>(declinou)</t>
    </r>
  </si>
  <si>
    <r>
      <rPr>
        <b/>
        <sz val="8"/>
        <color theme="1"/>
        <rFont val="Calibri"/>
        <family val="2"/>
        <scheme val="minor"/>
      </rPr>
      <t>LASERSIGN SINALIZAÇÃO E PROJETOS LTDA</t>
    </r>
    <r>
      <rPr>
        <sz val="8"/>
        <color theme="1"/>
        <rFont val="Calibri"/>
        <family val="2"/>
        <scheme val="minor"/>
      </rPr>
      <t xml:space="preserve">
SOF Sul Quadra 19 Conjunto B Lote 1A/B, Guará Brasília-DF
(61) 3399.7458 3036.7194
VENDAS</t>
    </r>
  </si>
  <si>
    <r>
      <t xml:space="preserve">CLIMILDA PESSOA - ME
(CRIATIVA CORRIMÃOS)
</t>
    </r>
    <r>
      <rPr>
        <sz val="8"/>
        <color theme="1"/>
        <rFont val="Calibri"/>
        <family val="2"/>
        <scheme val="minor"/>
      </rPr>
      <t>CNPJ: 23.810.382/0001-14
Av. Vereador João de Luca, 944 - Jardim Prudência - São Paulo CEP 04381-000
(11)5623-3279
contato@criativacorrimaos.com.br
Tainah</t>
    </r>
  </si>
  <si>
    <t>CX 06 (A+B)- Painel de policarbonato alveolar transparente de 40mm com acabamento em perfil de alumínio, para fechamento da treliça dim.. Fornecimento e instalação</t>
  </si>
  <si>
    <t>FF-125</t>
  </si>
  <si>
    <t>PM 01-A - Porta lisa com batente de madeira (pinus tratado autoclavado) L=124,5cm H=240cm e painel fixo de madeira L=20cm H=240cm.</t>
  </si>
  <si>
    <t>PM 01-B - Porta lisa com batente de madeira (pinus tratado autoclavado) L=124,5cm H=240cm e painel fixo de madeira L=20cm H=240cm.</t>
  </si>
  <si>
    <t>PM 02 - Porta lisa com batente de madeira (pinus tratado autoclavado) L=124,5cm H=240cm e painel fixo de madeira L=20cm H=240cm.</t>
  </si>
  <si>
    <t>PM 03 - Porta lisa com batente de madeira (pinus tratado autoclavado) L=124,5cm H=240cm e painel fixo de madeira L=20cm H=240cm.</t>
  </si>
  <si>
    <t>PM 04 - Porta lisa com batente de madeira (pinus tratado autoclavado) L=124,5cm H=240cm e painel fixo de madeira L=20cm H=240cm.</t>
  </si>
  <si>
    <t>PM 05 - Porta lisa com batente de madeira (pinus tratado autoclavado) L=124,5cm H=240cm e painel fixo de madeira L=20cm H=240cm.</t>
  </si>
  <si>
    <t>FF-126</t>
  </si>
  <si>
    <t>FF-127</t>
  </si>
  <si>
    <t>FF-128</t>
  </si>
  <si>
    <t>FF-129</t>
  </si>
  <si>
    <t>FF-130</t>
  </si>
  <si>
    <t>PM 02-B - Porta veneziana com batente de madeira  (pinus tratado autoclavado) L=73cm H=210 + 32cm de bandeira</t>
  </si>
  <si>
    <t>FF-131</t>
  </si>
  <si>
    <r>
      <rPr>
        <b/>
        <sz val="8"/>
        <color theme="1"/>
        <rFont val="Calibri"/>
        <family val="2"/>
        <scheme val="minor"/>
      </rPr>
      <t xml:space="preserve">LUMEX INDÚSTRIA, COMÉRCIO, IMPORTAÇÃO, EXPORTAÇÃO E PROJETOS DE ILUMINAÇÃO EIRELI
</t>
    </r>
    <r>
      <rPr>
        <sz val="8"/>
        <color theme="1"/>
        <rFont val="Calibri"/>
        <family val="2"/>
        <scheme val="minor"/>
      </rPr>
      <t xml:space="preserve">CNPJ: 12.187.493/0001-08
Av. Helio Ossamu Daikuara, 3177 - Jd Vista Alegre - CEP 06807-00 - Embu das Artes/SP
(11) 4785-1010
valdecir@itaimiluminação.com.br
Valdecir Fontes
</t>
    </r>
  </si>
  <si>
    <r>
      <rPr>
        <b/>
        <sz val="8"/>
        <color theme="1"/>
        <rFont val="Calibri"/>
        <family val="2"/>
        <scheme val="minor"/>
      </rPr>
      <t>MADERMAC - PORTAS E JANELAS LTDA - ME</t>
    </r>
    <r>
      <rPr>
        <sz val="8"/>
        <color theme="1"/>
        <rFont val="Calibri"/>
        <family val="2"/>
        <scheme val="minor"/>
      </rPr>
      <t xml:space="preserve">
02.849.332/0001-70
R Manoel Ramires, 1342, Andar 1 Sala 1, Parque Industrial 03, Umuarama, PR, CEP 87507-011, Brasil
(44) 3652-1163
 vendas@madermac.com.br</t>
    </r>
  </si>
  <si>
    <r>
      <t xml:space="preserve">JOSÉ CARLOS CURY DE MELLO EPP
(OFICINA DE MARCENARIA)
</t>
    </r>
    <r>
      <rPr>
        <sz val="8"/>
        <color theme="1"/>
        <rFont val="Calibri"/>
        <family val="2"/>
        <scheme val="minor"/>
      </rPr>
      <t>CNPJ: 55.769.384/0001-01
R Das Bananas, 43, Mato Dentro, Ubatuba, SP, CEP 11680-000
(12) 3832-3381
José Carlos</t>
    </r>
  </si>
  <si>
    <t>SUPERESTRUTURA (ABRIGOS)</t>
  </si>
  <si>
    <t>Solicitação de Outorga de Recursos Hídricos</t>
  </si>
  <si>
    <t>FF-PROJ-002</t>
  </si>
  <si>
    <t>Solicitação e Acompanhamento para outorga de recursos hídricos junto ao DAEE</t>
  </si>
  <si>
    <t>PRJ-001</t>
  </si>
  <si>
    <t>PROJETO</t>
  </si>
  <si>
    <t>As-built em prancha A1</t>
  </si>
  <si>
    <t>COMPOSIÇÃOFF-PROJ-002</t>
  </si>
  <si>
    <t>K1 (3)</t>
  </si>
  <si>
    <t>COMPOSIÇÃO DE PREÇOS UNITÁRIO - CONSULTORIA E PROJETOS (1)</t>
  </si>
  <si>
    <t>MENSAL (2)</t>
  </si>
  <si>
    <t>AS-BUILT (4)</t>
  </si>
  <si>
    <t>Ref. SIURB EDIF 20-03-16</t>
  </si>
  <si>
    <t>As-Built, Consultoria Técnica de Projetos e Assistência técnica de obra</t>
  </si>
  <si>
    <t>12092</t>
  </si>
  <si>
    <t>12346</t>
  </si>
  <si>
    <t>12353</t>
  </si>
  <si>
    <t>12365</t>
  </si>
  <si>
    <t>Abracadeira tipo d 1/2" c/ parafuso"</t>
  </si>
  <si>
    <t>Cabo de cobre flexível de 16 mm2, com isolamento anti-chama 450/750 v</t>
  </si>
  <si>
    <t>Curva pvc 90g p/ eletroduto roscavel 1 1/2"</t>
  </si>
  <si>
    <t>Isolador de porcelana, tipo pino monocorpo, para tensao de *15* kv</t>
  </si>
  <si>
    <t>Peca de madeira de lei *7,5  x 15* cm ( 3"  x 6" ), não aparelhada, (p/telhado, estruturas permanentes)</t>
  </si>
  <si>
    <t>Tubo aco galv c/ costura din 2440/nbr 5580 classe media dn 2.1/2" (65mm) e=3,65mm - 6,51kg/m</t>
  </si>
  <si>
    <t>Eletroduto metalico flexivel tipo conduite d = 1 1/2"</t>
  </si>
  <si>
    <t>Chave faca tripolar c/base de ardosia/marmore 100a/250v</t>
  </si>
  <si>
    <t>Eletroduto de pvc roscável de 1/2, sem luva</t>
  </si>
  <si>
    <t>Fusivel rosca 15a - 250v fixo</t>
  </si>
  <si>
    <t>Isolador de porcelana, tipo carretilha, dimensoes de 42 x 75 mm, 4 ranhuras</t>
  </si>
  <si>
    <t>Fusivel faca 100a - 250v fixo</t>
  </si>
  <si>
    <t>SINDUSCON</t>
  </si>
  <si>
    <t>REF-EXT-VB1</t>
  </si>
  <si>
    <t>REF-EXT-VB2</t>
  </si>
  <si>
    <t>REF-EXT-VB3</t>
  </si>
  <si>
    <t>REF-EXT-VB4</t>
  </si>
  <si>
    <t>Administração Local (Una)</t>
  </si>
  <si>
    <t>Administração Local (Sede)</t>
  </si>
  <si>
    <t>Administração Local (Despraiado)</t>
  </si>
  <si>
    <t>Administração Local (Prelado)</t>
  </si>
  <si>
    <t>SERVIÇOS COMPLEMENTARES</t>
  </si>
  <si>
    <r>
      <rPr>
        <b/>
        <sz val="8"/>
        <color theme="1"/>
        <rFont val="Calibri"/>
        <family val="2"/>
        <scheme val="minor"/>
      </rPr>
      <t>MEU MUNDO ACESSÍVEL</t>
    </r>
    <r>
      <rPr>
        <sz val="8"/>
        <color theme="1"/>
        <rFont val="Calibri"/>
        <family val="2"/>
        <scheme val="minor"/>
      </rPr>
      <t xml:space="preserve">
Travessa Maserata, 66 - Vila Rosária
CEP: 08021-023  -  São Paulo / SP
(11) 4116-0144
Vendas</t>
    </r>
  </si>
  <si>
    <t>FF-132</t>
  </si>
  <si>
    <t>FF-133</t>
  </si>
  <si>
    <t>FF-134</t>
  </si>
  <si>
    <t>FF-135</t>
  </si>
  <si>
    <t>Fornecimento e Instalação de Estruturas de Madeira Laminada Colada, conforme projeto (Una), incluindo ligações metálicas, produtos, acabamentos e frete</t>
  </si>
  <si>
    <t>Fornecimento e Instalação de Estruturas de Madeira Laminada Colada, conforme projeto (Sede), incluindo ligações metálicas, produtos, acabamentos e frete</t>
  </si>
  <si>
    <t>Fornecimento e Instalação de Estruturas de Madeira Laminada Colada, conforme projeto (Despraiado), incluindo ligações metálicas, produtos, acabamentos e frete</t>
  </si>
  <si>
    <t>Fornecimento e Instalação de Estruturas de Madeira Laminada Colada, conforme projeto (Prelado), incluindo ligações metálicas, produtos, acabamentos e frete</t>
  </si>
  <si>
    <r>
      <t xml:space="preserve">BRA REWOODS INDUSTRIAL IMP. E EXP. LTDA
</t>
    </r>
    <r>
      <rPr>
        <sz val="8"/>
        <color theme="1"/>
        <rFont val="Calibri"/>
        <family val="2"/>
        <scheme val="minor"/>
      </rPr>
      <t>CNPJ 13.396.675/0002‐24</t>
    </r>
    <r>
      <rPr>
        <b/>
        <sz val="8"/>
        <color theme="1"/>
        <rFont val="Calibri"/>
        <family val="2"/>
        <scheme val="minor"/>
      </rPr>
      <t xml:space="preserve">
</t>
    </r>
    <r>
      <rPr>
        <sz val="8"/>
        <color theme="1"/>
        <rFont val="Calibri"/>
        <family val="2"/>
        <scheme val="minor"/>
      </rPr>
      <t>Rua Paulino Nunes, 127
Taboão da Serra – SP – CEP 06765‐360
(11) 4787‐3366
mail@brarewoods.com.br
Dr. Carlito Calil Neto</t>
    </r>
  </si>
  <si>
    <t>ORÇAMENTO - PROJETO EXECUTIVO</t>
  </si>
  <si>
    <t>PLANILHA ORÇAMENTÁRIA</t>
  </si>
  <si>
    <t>MUCJI - SEDE ADMINISTRATIVA
PERUÍBE/SP</t>
  </si>
  <si>
    <t>Chapa de MDF cru, E = 25 mm, de *2,75 x 1,85* m</t>
  </si>
  <si>
    <t>Cola a base de resina sintética para chapa de laminado melamínico</t>
  </si>
  <si>
    <t>Chapa de laminado melamínico, liso fosco, de 1,25x3,08m, e=0,8mm</t>
  </si>
  <si>
    <t>SEDE</t>
  </si>
  <si>
    <t>UMA</t>
  </si>
  <si>
    <t>DESPRAIADO</t>
  </si>
  <si>
    <t>PRELADO</t>
  </si>
  <si>
    <r>
      <rPr>
        <b/>
        <sz val="8"/>
        <rFont val="Calibri"/>
        <family val="2"/>
        <scheme val="minor"/>
      </rPr>
      <t xml:space="preserve">CARPINTERIA ESTRUTURAS DE MADEIRA LTDA
</t>
    </r>
    <r>
      <rPr>
        <sz val="8"/>
        <rFont val="Calibri"/>
        <family val="2"/>
        <scheme val="minor"/>
      </rPr>
      <t>CNPJ: 12.878.778/0001-87</t>
    </r>
    <r>
      <rPr>
        <sz val="8"/>
        <color theme="1"/>
        <rFont val="Calibri"/>
        <family val="2"/>
        <scheme val="minor"/>
      </rPr>
      <t xml:space="preserve">
R Pamplona, 1.868, Slj Sala 01 - Jardim Paulista, Sao Paulo  SP, CEP 01405-002
(11) 3052.3510
Alan Dias</t>
    </r>
  </si>
  <si>
    <t>Quadro de distribuição de luz e força do tipo de sobrepor com barramento interno 3F + N + T, proteção geral de 15 kA e disjuntores parciais de 5kA, placa de fixação independente, fechadura com chave Yale de acordo com ABNT 60439-1 - ref. GIMI ou equivalente, conforme diagramas de projeto (padrão)</t>
  </si>
  <si>
    <t>Quadro de distribuição de luz e força do tipo de sobrepor com barramento interno 3F + N + T, proteção geral de 15 kA e disjuntores parciais de 5kA, placa de fixação independente, fechadura com chave Yale de acordo com ABNT 60439-1 - ref. GIMI ou equivalente, conforme diagramas de projeto (sede)</t>
  </si>
  <si>
    <r>
      <rPr>
        <b/>
        <sz val="8"/>
        <color theme="1"/>
        <rFont val="Calibri"/>
        <family val="2"/>
        <scheme val="minor"/>
      </rPr>
      <t>ELETRO NOFX MONTAGEM, MANUTENÇÃO E INSTALAÇÃO DE ELETROELETRÔNICOS LTDA.</t>
    </r>
    <r>
      <rPr>
        <sz val="8"/>
        <color theme="1"/>
        <rFont val="Calibri"/>
        <family val="2"/>
        <scheme val="minor"/>
      </rPr>
      <t xml:space="preserve">
CNPJ: 08.893.630/0001-44
Av. Inocêncio Seráfico, 4477 - Vila Dirce - Carapicuiba - SP
CEP 06343-410
(11) 4187-1927
jonathan@eletronofx.com.br
Jonathan</t>
    </r>
  </si>
  <si>
    <t>FF-136</t>
  </si>
  <si>
    <t>CRONOGRAMA FÍSICO FINANCEIRO</t>
  </si>
  <si>
    <t>MUCJI - SEDE ADMINISTRATIVA PERUÍBE/SP</t>
  </si>
  <si>
    <t>SEM BDI</t>
  </si>
  <si>
    <t>COM BDI</t>
  </si>
  <si>
    <t>TOTAIS</t>
  </si>
  <si>
    <t>Parcela</t>
  </si>
  <si>
    <t>SIMPLES</t>
  </si>
  <si>
    <t>ACUMULADO</t>
  </si>
  <si>
    <t>PESO
(VALOR C/ BDI)</t>
  </si>
  <si>
    <t>%</t>
  </si>
  <si>
    <t>FF-137</t>
  </si>
  <si>
    <t>Espelho colado sobre suporte de madeira e =2cm</t>
  </si>
  <si>
    <t>Telha/Cumeeira/Rufo de Alumínio Natural</t>
  </si>
  <si>
    <t>Rebite tanoeiro No. 8 (3,0 X 6,1 mm) Ferro zincado</t>
  </si>
  <si>
    <t>Silicone</t>
  </si>
  <si>
    <t>SISTEMA DE COMBATE À INCÊNDIO</t>
  </si>
  <si>
    <t>Rufo liso de alumínio acab. Natural e=0,80mm corte até 0,16m</t>
  </si>
  <si>
    <t>Rufo liso de alumínio acab. Natural e=0,80mm corte  0,25m</t>
  </si>
  <si>
    <t>Rufo liso de alumínio acab. Natural e=0,80mm corte  0,33m</t>
  </si>
  <si>
    <t>Rufo liso de alumínio acab. Natural e=0,80mm corte  0,50m</t>
  </si>
  <si>
    <t>Rufo liso de alumínio acab. Natural e=0,80mm corte  1,00m</t>
  </si>
  <si>
    <t>Calha de alumínio acab natural e=0,8mm corte 1,00m</t>
  </si>
  <si>
    <t>COMUNICAÇÃO VISUAL</t>
  </si>
  <si>
    <t>Totem de Identificação</t>
  </si>
  <si>
    <t>80130</t>
  </si>
  <si>
    <t>38727</t>
  </si>
  <si>
    <t>Concreto dosado (condição A) Fck 25MPa</t>
  </si>
  <si>
    <t>Locação de andaime torre metálico (1,5 x 1,5 m) com piso metálico</t>
  </si>
  <si>
    <t>SI-12 Totem de sinalização</t>
  </si>
  <si>
    <t>Vibrador de imersão elétrico 2HP (1,5KW)</t>
  </si>
  <si>
    <t>FF-138</t>
  </si>
  <si>
    <t>Fornecimento e plantio de Guapira Opposita - Maria Mole</t>
  </si>
  <si>
    <t>Adubo Bovino</t>
  </si>
  <si>
    <t>Fertilizante NPK - 10:10:10</t>
  </si>
  <si>
    <t>Calcário dolomítico (posto pedreira / fornecedor, sem frete)</t>
  </si>
  <si>
    <t>FF-139</t>
  </si>
  <si>
    <t>Sistema de Tratamento de Esgoto ref. MF-1600 da Mizumo ou equivalente técnico</t>
  </si>
  <si>
    <t>Sistema de Tratamento de Esgoto ref. MF-3200 da Mizumo ou equivalente técnico</t>
  </si>
  <si>
    <r>
      <t>MÁQUINAS AGRÍCOLAS JACTO SA
(MIZUMO)</t>
    </r>
    <r>
      <rPr>
        <sz val="8"/>
        <color theme="1"/>
        <rFont val="Calibri"/>
        <family val="2"/>
        <scheme val="minor"/>
      </rPr>
      <t xml:space="preserve">
CNPJ: 55.064.562/0001-90
Av. Fundação Shunki Nishimura, 184 - Pompéia/SP.
(14) 3405-3000
acacio.tsuru@mizumo.com.br</t>
    </r>
    <r>
      <rPr>
        <b/>
        <sz val="8"/>
        <color theme="1"/>
        <rFont val="Calibri"/>
        <family val="2"/>
        <scheme val="minor"/>
      </rPr>
      <t xml:space="preserve">
</t>
    </r>
    <r>
      <rPr>
        <sz val="8"/>
        <color theme="1"/>
        <rFont val="Calibri"/>
        <family val="2"/>
        <scheme val="minor"/>
      </rPr>
      <t>Acácio</t>
    </r>
  </si>
  <si>
    <t>FF-140</t>
  </si>
  <si>
    <r>
      <rPr>
        <b/>
        <sz val="8"/>
        <color theme="1"/>
        <rFont val="Calibri"/>
        <family val="2"/>
        <scheme val="minor"/>
      </rPr>
      <t xml:space="preserve">CASA DO EXAUSTOR
LUCAS HAUPT AGUIAR COMERCIAL EIRELI EPP.
</t>
    </r>
    <r>
      <rPr>
        <sz val="8"/>
        <color theme="1"/>
        <rFont val="Calibri"/>
        <family val="2"/>
        <scheme val="minor"/>
      </rPr>
      <t>CNPJ. 24.595.350/0001-06
Rua Cel José Teófilo Ramos, 22, Mooca-São Paulo - SP
CEP: 03345-000
comercial2@casadoexaustor.com.br
Dayane</t>
    </r>
  </si>
  <si>
    <r>
      <rPr>
        <b/>
        <sz val="8"/>
        <color theme="1"/>
        <rFont val="Calibri"/>
        <family val="2"/>
        <scheme val="minor"/>
      </rPr>
      <t>LA VENT VENTILAÇÃO E EXAUSTÃO</t>
    </r>
    <r>
      <rPr>
        <sz val="8"/>
        <color theme="1"/>
        <rFont val="Calibri"/>
        <family val="2"/>
        <scheme val="minor"/>
      </rPr>
      <t xml:space="preserve">
CNPJ 19.669.591/001-12
R. Margarinos Torres, 69 - São Paulo/SP | CEP: 02119-000 | Tel 11 2533-1011
Piter Fuentes</t>
    </r>
  </si>
  <si>
    <r>
      <rPr>
        <b/>
        <sz val="8"/>
        <color theme="1"/>
        <rFont val="Calibri"/>
        <family val="2"/>
        <scheme val="minor"/>
      </rPr>
      <t>JARDINS URBANOS INSUMOS AGRÍCOLAS EIRELI</t>
    </r>
    <r>
      <rPr>
        <sz val="8"/>
        <color theme="1"/>
        <rFont val="Calibri"/>
        <family val="2"/>
        <scheme val="minor"/>
      </rPr>
      <t xml:space="preserve">
CNPJ: 13.780.014/0001-17
R Clelia, 1481, Parte, Lapa, Sao Paulo, SP, CEP 05042-000, Brasil
VENDAS</t>
    </r>
  </si>
  <si>
    <r>
      <rPr>
        <b/>
        <sz val="8"/>
        <color theme="1"/>
        <rFont val="Calibri"/>
        <family val="2"/>
        <scheme val="minor"/>
      </rPr>
      <t xml:space="preserve">POLICOM CABOS E CONECTORES LTDA
</t>
    </r>
    <r>
      <rPr>
        <sz val="8"/>
        <color theme="1"/>
        <rFont val="Calibri"/>
        <family val="2"/>
        <scheme val="minor"/>
      </rPr>
      <t>CNPJ: 00.413.540/0001-05
Rua Costa Aguiar, 1714 - São Paulo - SP
(11) 2065-0800
contato@policom.com.br
Sandro Souza</t>
    </r>
  </si>
  <si>
    <r>
      <rPr>
        <b/>
        <sz val="8"/>
        <color theme="1"/>
        <rFont val="Calibri"/>
        <family val="2"/>
        <scheme val="minor"/>
      </rPr>
      <t>AVANCE ACESSIBILIDADE
CNPJ: 0.533.190/001-14</t>
    </r>
    <r>
      <rPr>
        <sz val="8"/>
        <color theme="1"/>
        <rFont val="Calibri"/>
        <family val="2"/>
        <scheme val="minor"/>
      </rPr>
      <t xml:space="preserve">
Rua Guira, 382 - Cidade A.E. Carvalho, Cep 08223-100 - São Paulo
(11) 2372-7922
Giovani</t>
    </r>
  </si>
  <si>
    <r>
      <t xml:space="preserve">EC ELEVADORES
</t>
    </r>
    <r>
      <rPr>
        <sz val="8"/>
        <color theme="1"/>
        <rFont val="Calibri"/>
        <family val="2"/>
        <scheme val="minor"/>
      </rPr>
      <t>Rua Pacaembu N 85 Jd. Imperial - Atibaia - SP -CEP 12950-390
 Fone: +55 (11)  4412-9220 / 9.9670-0478
Tatiane Nascimento</t>
    </r>
  </si>
  <si>
    <r>
      <rPr>
        <b/>
        <sz val="8"/>
        <color theme="1"/>
        <rFont val="Calibri"/>
        <family val="2"/>
        <scheme val="minor"/>
      </rPr>
      <t>MÁQUINAS HIDRÁULICAS HIDROSUL</t>
    </r>
    <r>
      <rPr>
        <sz val="8"/>
        <color theme="1"/>
        <rFont val="Calibri"/>
        <family val="2"/>
        <scheme val="minor"/>
      </rPr>
      <t xml:space="preserve">
Rua República, 650 - B. Mato Grande – CEP 92.320-000 – Canoas /RS
Fone: (51) 3472.5066 R.4 | 9964-8182 | hidrosul@hidrosul.com.br
Ana Paula
</t>
    </r>
    <r>
      <rPr>
        <b/>
        <sz val="8"/>
        <color rgb="FFFF0000"/>
        <rFont val="Calibri"/>
        <family val="2"/>
        <scheme val="minor"/>
      </rPr>
      <t>(DECLINOU)</t>
    </r>
  </si>
  <si>
    <r>
      <rPr>
        <b/>
        <sz val="8"/>
        <color theme="1"/>
        <rFont val="Calibri"/>
        <family val="2"/>
        <scheme val="minor"/>
      </rPr>
      <t xml:space="preserve">HISTEC COMERCIAL LTDA
</t>
    </r>
    <r>
      <rPr>
        <sz val="8"/>
        <color theme="1"/>
        <rFont val="Calibri"/>
        <family val="2"/>
        <scheme val="minor"/>
      </rPr>
      <t>CNPJ: 02.2930.790/001-11
AV. DO CURSINO 762 / 772, SAÚDE
SAO PAULO - UF: SP - Cep: 04132-000 - Tel.(11)3018-0500
Rafael</t>
    </r>
  </si>
  <si>
    <r>
      <rPr>
        <b/>
        <sz val="8"/>
        <color theme="1"/>
        <rFont val="Calibri"/>
        <family val="2"/>
        <scheme val="minor"/>
      </rPr>
      <t>ALPHENZ INDÚSTRIA DE TANQUES LTDA.</t>
    </r>
    <r>
      <rPr>
        <sz val="8"/>
        <color theme="1"/>
        <rFont val="Calibri"/>
        <family val="2"/>
        <scheme val="minor"/>
      </rPr>
      <t xml:space="preserve">
CNPJ: 10.808.894/0001-02
Rua Frei Vital de Primeiro, nº 247 - Vila Pacaembú, Piracicaba - SP.
(019) 3302-9606
Enio Meniquetti</t>
    </r>
  </si>
  <si>
    <r>
      <rPr>
        <b/>
        <sz val="8"/>
        <color theme="1"/>
        <rFont val="Calibri"/>
        <family val="2"/>
        <scheme val="minor"/>
      </rPr>
      <t>PLUGSOLAR ENERGIA - ME</t>
    </r>
    <r>
      <rPr>
        <sz val="8"/>
        <color theme="1"/>
        <rFont val="Calibri"/>
        <family val="2"/>
        <scheme val="minor"/>
      </rPr>
      <t xml:space="preserve">
20.355.902/0001-58
Av das Águias, 516, Andar 2º 
Rua Lelystad 157 Holambra-SP CEP 13.825.000
(19) 4141-8380
Alberto Nairo
nairo@plugsolar.com.br</t>
    </r>
  </si>
  <si>
    <r>
      <rPr>
        <b/>
        <sz val="8"/>
        <rFont val="Calibri"/>
        <family val="2"/>
        <scheme val="minor"/>
      </rPr>
      <t xml:space="preserve">ORBITAL
</t>
    </r>
    <r>
      <rPr>
        <sz val="8"/>
        <rFont val="Calibri"/>
        <family val="2"/>
        <scheme val="minor"/>
      </rPr>
      <t>CNPJ: 17.104.358/0001-67</t>
    </r>
    <r>
      <rPr>
        <sz val="8"/>
        <color theme="1"/>
        <rFont val="Calibri"/>
        <family val="2"/>
        <scheme val="minor"/>
      </rPr>
      <t xml:space="preserve">
Rua Fidêncio Ramos, 101 - cj 104 -- CEP 04551-010 - São Paulo - SP
(11) 3849-0886
Maurício de Almeida
</t>
    </r>
  </si>
  <si>
    <t>DIFERENÇA</t>
  </si>
  <si>
    <r>
      <rPr>
        <b/>
        <sz val="8"/>
        <color theme="1"/>
        <rFont val="Calibri"/>
        <family val="2"/>
        <scheme val="minor"/>
      </rPr>
      <t>ESTILO ÚNICO</t>
    </r>
    <r>
      <rPr>
        <sz val="8"/>
        <color theme="1"/>
        <rFont val="Calibri"/>
        <family val="2"/>
        <scheme val="minor"/>
      </rPr>
      <t xml:space="preserve">
Rua Serra da Esperança, 266 - Jardim Bom Refúgio
São Paulo/SP - CEP: 05788-370
(11) 5842-5467
vendas@estilounico.com.br</t>
    </r>
  </si>
  <si>
    <r>
      <rPr>
        <b/>
        <sz val="8"/>
        <color theme="1"/>
        <rFont val="Calibri"/>
        <family val="2"/>
        <scheme val="minor"/>
      </rPr>
      <t>Replaex Resinas Plásticas Extrudadas Ltda</t>
    </r>
    <r>
      <rPr>
        <sz val="8"/>
        <color theme="1"/>
        <rFont val="Calibri"/>
        <family val="2"/>
        <scheme val="minor"/>
      </rPr>
      <t xml:space="preserve">
CNPJ 036.161.784/0001-87
Estrada da Ligação,839 – Taquara– Rio de Janeiro – RJ – CEP 22713-470
Fone: (0xx21) 2446-8811 - Fax ( 0xx21 ) 2446 - 7181
cesarpaixao@replaex.com.br
César Paixão</t>
    </r>
  </si>
  <si>
    <r>
      <rPr>
        <b/>
        <sz val="8"/>
        <color theme="1"/>
        <rFont val="Calibri"/>
        <family val="2"/>
        <scheme val="minor"/>
      </rPr>
      <t>MOISES ABRAÃO DA FONSECA ME (VALE VERDE PAISAGISMO)</t>
    </r>
    <r>
      <rPr>
        <sz val="8"/>
        <color theme="1"/>
        <rFont val="Calibri"/>
        <family val="2"/>
        <scheme val="minor"/>
      </rPr>
      <t xml:space="preserve">
CNPJ: 23.329.706/0001-05 
Endereço: Avenida Engenheiro Tomaz Magalhães, 225 São Paulo capital. 
Fone: (11) 99690-8713/97278-2408
valeverdepaisagismo@ig.com.br
Moisés</t>
    </r>
  </si>
  <si>
    <t>R05</t>
  </si>
  <si>
    <r>
      <rPr>
        <b/>
        <sz val="8"/>
        <color theme="1"/>
        <rFont val="Calibri"/>
        <family val="2"/>
        <scheme val="minor"/>
      </rPr>
      <t xml:space="preserve">SUNFLORA PAISAGISMO E JARDINAGEM LTDA - ME </t>
    </r>
    <r>
      <rPr>
        <sz val="8"/>
        <color theme="1"/>
        <rFont val="Calibri"/>
        <family val="2"/>
        <scheme val="minor"/>
      </rPr>
      <t xml:space="preserve">
</t>
    </r>
    <r>
      <rPr>
        <sz val="8"/>
        <rFont val="Calibri"/>
        <family val="2"/>
        <scheme val="minor"/>
      </rPr>
      <t>CNPJ: 24.725.419/0001-79</t>
    </r>
    <r>
      <rPr>
        <sz val="8"/>
        <color theme="1"/>
        <rFont val="Calibri"/>
        <family val="2"/>
        <scheme val="minor"/>
      </rPr>
      <t xml:space="preserve">
Rua na Rua na Rua Doutor Antônio Macedo de Lima, 300 Doutor Antônio Macedo de Lima, 300
(11) 98427-9319 / (11) 97354-7914
Rafael Fernandes</t>
    </r>
  </si>
  <si>
    <r>
      <rPr>
        <b/>
        <sz val="8"/>
        <color theme="1"/>
        <rFont val="Calibri"/>
        <family val="2"/>
        <scheme val="minor"/>
      </rPr>
      <t>ARTE CORRIMÃOS</t>
    </r>
    <r>
      <rPr>
        <sz val="8"/>
        <color theme="1"/>
        <rFont val="Calibri"/>
        <family val="2"/>
        <scheme val="minor"/>
      </rPr>
      <t xml:space="preserve">
R. Dr. Estevão Montebelo, 548 - Vila Picinin, São Paulo - SP, 02930-000
artecorrimaos@artecorrimaos.com.br
(11) 3978-7630
artecorrimaos@artecorrimaos.com.br</t>
    </r>
  </si>
  <si>
    <t xml:space="preserve">1. Vide relatório Circunstanciado  das empresas consultadas as quais não retornaram ou declinaram enviarem proposta
</t>
  </si>
  <si>
    <r>
      <rPr>
        <b/>
        <sz val="8"/>
        <color theme="1"/>
        <rFont val="Calibri"/>
        <family val="2"/>
        <scheme val="minor"/>
      </rPr>
      <t xml:space="preserve">ALFA ENERGIA LTDA - EPP
</t>
    </r>
    <r>
      <rPr>
        <sz val="8"/>
        <color theme="1"/>
        <rFont val="Calibri"/>
        <family val="2"/>
        <scheme val="minor"/>
      </rPr>
      <t xml:space="preserve">CNPJ: 23.924.847/0001-68
Endereço: Rua Galvão, 389 – Lote 91 – Quinta da Boa Vista – Itaquaquecetuba/SP
(11) 4645-0310
caio.gomes@grupoalfa.eng.br
Caio Franquilino
</t>
    </r>
  </si>
  <si>
    <r>
      <rPr>
        <b/>
        <sz val="8"/>
        <color theme="1"/>
        <rFont val="Calibri"/>
        <family val="2"/>
        <scheme val="minor"/>
      </rPr>
      <t xml:space="preserve">VEMOM COMERCIAL E MONTAGENS ELETRICA LTDA - ME
</t>
    </r>
    <r>
      <rPr>
        <sz val="8"/>
        <color theme="1"/>
        <rFont val="Calibri"/>
        <family val="2"/>
        <scheme val="minor"/>
      </rPr>
      <t>CNPJ. 12.964.111/0001-05
Av. Afonso de Sampaio e Sousa, 1062 - Pq. Nsa. Sra. do Carmo - Itaquera – São Paulo/SP
Tel/Fax: 2269-3738 / 2269-5673
Verônica Maria</t>
    </r>
  </si>
  <si>
    <t>LAYOUT PROVISÓRIO</t>
  </si>
  <si>
    <t>Locação de container tipo deposito - área mínima de 13,80 m²</t>
  </si>
  <si>
    <t>Transporte de mobiliário até local de layout provisório</t>
  </si>
  <si>
    <t>Transporte de mobiliário até local definitivo ao término da obra</t>
  </si>
  <si>
    <t xml:space="preserve">m </t>
  </si>
  <si>
    <t xml:space="preserve">un </t>
  </si>
  <si>
    <t>Aualização de valores: FF</t>
  </si>
  <si>
    <t>Rev. 01</t>
  </si>
  <si>
    <t>Switch Gigabit 24 portas com capacidade de 10/100/1000/Mbps</t>
  </si>
  <si>
    <t>B.01.000.010198</t>
  </si>
  <si>
    <t>Técnico equipamentos informática (RETIRADA E REINSTALAÇÃO SERVIDOR</t>
  </si>
  <si>
    <t>B.01.000.010115</t>
  </si>
  <si>
    <t>Eletricista (RETIRADA E REINSTALAÇÃO SERVIDOR)</t>
  </si>
  <si>
    <t>B.01.000.010101</t>
  </si>
  <si>
    <t>REVESTIMENTOS</t>
  </si>
  <si>
    <t>% ATIVIDADE</t>
  </si>
  <si>
    <t>MÊS 1</t>
  </si>
  <si>
    <t>MÊS 2</t>
  </si>
  <si>
    <t>MÊS 3</t>
  </si>
  <si>
    <t>MÊS 4</t>
  </si>
  <si>
    <t>MÊS 5</t>
  </si>
  <si>
    <t>MÊS 6</t>
  </si>
  <si>
    <t>TOTAL MENSAL</t>
  </si>
  <si>
    <t>VALOR ATIVIDADE (R$)</t>
  </si>
  <si>
    <t>BDI (31,33%)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</si>
</sst>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00\-00"/>
    <numFmt numFmtId="165" formatCode="_(* #,##0.00_);_(* \(#,##0.00\);_(* &quot;-&quot;??_);_(@_)"/>
    <numFmt numFmtId="166" formatCode="#,##0.0000"/>
    <numFmt numFmtId="167" formatCode="[$-416]mmmm\-yy;@"/>
    <numFmt numFmtId="168" formatCode="_-* #,##0.0000_-;\-* #,##0.0000_-;_-* &quot;-&quot;??_-;_-@_-"/>
    <numFmt numFmtId="169" formatCode="000"/>
    <numFmt numFmtId="170" formatCode="_-* #,##0.000_-;\-* #,##0.000_-;_-* &quot;-&quot;??_-;_-@_-"/>
    <numFmt numFmtId="171" formatCode="#,##0.00\ \ \ \ "/>
    <numFmt numFmtId="172" formatCode="_(&quot;R$ &quot;* #,##0.00_);_(&quot;R$ &quot;* \(#,##0.00\);_(&quot;R$ &quot;* &quot;-&quot;??_);_(@_)"/>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b/>
      <sz val="14"/>
      <color theme="0"/>
      <name val="Calibri"/>
      <family val="2"/>
      <scheme val="minor"/>
    </font>
    <font>
      <sz val="14"/>
      <color theme="1"/>
      <name val="Calibri"/>
      <family val="2"/>
      <scheme val="minor"/>
    </font>
    <font>
      <sz val="9"/>
      <name val="Calibri"/>
      <family val="2"/>
      <scheme val="minor"/>
    </font>
    <font>
      <b/>
      <sz val="11"/>
      <name val="Calibri"/>
      <family val="2"/>
      <scheme val="minor"/>
    </font>
    <font>
      <sz val="11"/>
      <name val="Calibri"/>
      <family val="2"/>
      <scheme val="minor"/>
    </font>
    <font>
      <sz val="10"/>
      <name val="Calibri"/>
      <family val="2"/>
      <scheme val="minor"/>
    </font>
    <font>
      <sz val="10"/>
      <name val="Arial"/>
      <family val="2"/>
    </font>
    <font>
      <b/>
      <sz val="8"/>
      <color rgb="FFFF0000"/>
      <name val="Calibri"/>
      <family val="2"/>
      <scheme val="minor"/>
    </font>
    <font>
      <sz val="8"/>
      <name val="Calibri"/>
      <family val="2"/>
      <scheme val="minor"/>
    </font>
    <font>
      <sz val="12"/>
      <name val="Calibri"/>
      <family val="2"/>
      <scheme val="minor"/>
    </font>
    <font>
      <b/>
      <sz val="9"/>
      <name val="Calibri"/>
      <family val="2"/>
      <scheme val="minor"/>
    </font>
    <font>
      <b/>
      <sz val="8"/>
      <name val="Calibri"/>
      <family val="2"/>
      <scheme val="minor"/>
    </font>
    <font>
      <sz val="16"/>
      <color theme="1"/>
      <name val="Calibri"/>
      <family val="2"/>
      <scheme val="minor"/>
    </font>
    <font>
      <b/>
      <sz val="16"/>
      <color theme="1"/>
      <name val="Calibri"/>
      <family val="2"/>
      <scheme val="minor"/>
    </font>
    <font>
      <sz val="8"/>
      <color theme="1"/>
      <name val="Calibri"/>
      <family val="2"/>
      <scheme val="minor"/>
    </font>
    <font>
      <b/>
      <sz val="8"/>
      <color theme="1"/>
      <name val="Calibri"/>
      <family val="2"/>
      <scheme val="minor"/>
    </font>
    <font>
      <b/>
      <vertAlign val="subscript"/>
      <sz val="11"/>
      <color theme="1"/>
      <name val="Calibri"/>
      <family val="2"/>
      <scheme val="minor"/>
    </font>
    <font>
      <b/>
      <sz val="9"/>
      <color theme="0"/>
      <name val="Calibri"/>
      <family val="2"/>
      <scheme val="minor"/>
    </font>
    <font>
      <sz val="12"/>
      <name val="Arial"/>
      <family val="2"/>
    </font>
    <font>
      <sz val="11"/>
      <color rgb="FF000000"/>
      <name val="Calibri"/>
      <family val="2"/>
      <scheme val="minor"/>
    </font>
    <font>
      <i/>
      <sz val="11"/>
      <color theme="1"/>
      <name val="Calibri"/>
      <family val="2"/>
      <scheme val="minor"/>
    </font>
    <font>
      <sz val="14"/>
      <color theme="4" tint="-0.249977111117893"/>
      <name val="Calibri"/>
      <family val="2"/>
      <scheme val="minor"/>
    </font>
    <font>
      <b/>
      <sz val="14"/>
      <color theme="4" tint="-0.249977111117893"/>
      <name val="Calibri"/>
      <family val="2"/>
      <scheme val="minor"/>
    </font>
    <font>
      <sz val="11"/>
      <name val="Ecofont Vera Sans"/>
      <family val="2"/>
    </font>
    <font>
      <sz val="11"/>
      <color indexed="8"/>
      <name val="Ecofont Vera Sans"/>
      <family val="2"/>
    </font>
    <font>
      <b/>
      <sz val="14"/>
      <name val="Calibri"/>
      <family val="2"/>
      <scheme val="minor"/>
    </font>
    <font>
      <b/>
      <sz val="16"/>
      <name val="Calibri"/>
      <family val="2"/>
      <scheme val="minor"/>
    </font>
    <font>
      <b/>
      <sz val="18"/>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5" tint="0.39997558519241921"/>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11">
    <xf numFmtId="0" fontId="0" fillId="0" borderId="0"/>
    <xf numFmtId="43" fontId="1" fillId="0" borderId="0" applyFont="0" applyFill="0" applyBorder="0" applyAlignment="0" applyProtection="0"/>
    <xf numFmtId="0" fontId="17" fillId="0" borderId="0"/>
    <xf numFmtId="165"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0" fontId="29" fillId="0" borderId="0"/>
    <xf numFmtId="171" fontId="1" fillId="0" borderId="0"/>
    <xf numFmtId="165" fontId="17" fillId="0" borderId="0" applyFont="0" applyFill="0" applyBorder="0" applyAlignment="0" applyProtection="0"/>
    <xf numFmtId="0" fontId="1" fillId="0" borderId="0"/>
    <xf numFmtId="172" fontId="1" fillId="0" borderId="0" applyFont="0" applyFill="0" applyBorder="0" applyAlignment="0" applyProtection="0"/>
  </cellStyleXfs>
  <cellXfs count="616">
    <xf numFmtId="0" fontId="0" fillId="0" borderId="0" xfId="0"/>
    <xf numFmtId="0" fontId="8" fillId="3" borderId="3" xfId="0" applyFont="1" applyFill="1" applyBorder="1" applyAlignment="1">
      <alignment horizontal="center" vertical="center"/>
    </xf>
    <xf numFmtId="0" fontId="8" fillId="2" borderId="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4" xfId="0" applyFont="1" applyFill="1" applyBorder="1" applyAlignment="1">
      <alignment vertical="center"/>
    </xf>
    <xf numFmtId="0" fontId="4" fillId="4" borderId="4" xfId="0" applyFont="1" applyFill="1" applyBorder="1" applyAlignment="1">
      <alignment vertical="center"/>
    </xf>
    <xf numFmtId="0" fontId="4" fillId="4" borderId="4" xfId="0" applyFont="1" applyFill="1" applyBorder="1" applyAlignment="1">
      <alignment horizontal="center" vertical="center"/>
    </xf>
    <xf numFmtId="43" fontId="4" fillId="4" borderId="4" xfId="1" applyFont="1" applyFill="1" applyBorder="1" applyAlignment="1">
      <alignment vertical="center"/>
    </xf>
    <xf numFmtId="43" fontId="2" fillId="4" borderId="2" xfId="1" applyFont="1" applyFill="1" applyBorder="1" applyAlignment="1">
      <alignment vertical="center"/>
    </xf>
    <xf numFmtId="0" fontId="3" fillId="3" borderId="1" xfId="0" applyFont="1" applyFill="1" applyBorder="1" applyAlignment="1">
      <alignment horizontal="center" vertical="center"/>
    </xf>
    <xf numFmtId="0" fontId="3" fillId="3" borderId="4" xfId="0" applyFont="1" applyFill="1" applyBorder="1" applyAlignment="1">
      <alignment vertical="center"/>
    </xf>
    <xf numFmtId="0" fontId="0" fillId="3" borderId="4" xfId="0" applyFill="1" applyBorder="1" applyAlignment="1">
      <alignment vertical="center"/>
    </xf>
    <xf numFmtId="0" fontId="0" fillId="3" borderId="4" xfId="0" applyFill="1" applyBorder="1" applyAlignment="1">
      <alignment horizontal="center" vertical="center"/>
    </xf>
    <xf numFmtId="43" fontId="0" fillId="3" borderId="4" xfId="1" applyFont="1" applyFill="1" applyBorder="1" applyAlignment="1">
      <alignment vertical="center"/>
    </xf>
    <xf numFmtId="43" fontId="3" fillId="3" borderId="2" xfId="1" applyFont="1" applyFill="1" applyBorder="1" applyAlignment="1">
      <alignment vertical="center"/>
    </xf>
    <xf numFmtId="1" fontId="0" fillId="0" borderId="5" xfId="0" applyNumberFormat="1" applyFont="1" applyBorder="1" applyAlignment="1">
      <alignment horizontal="center" vertical="center"/>
    </xf>
    <xf numFmtId="0" fontId="0" fillId="0" borderId="5" xfId="0" applyBorder="1" applyAlignment="1">
      <alignment horizontal="center" vertical="center"/>
    </xf>
    <xf numFmtId="164" fontId="0" fillId="0" borderId="5" xfId="0" applyNumberFormat="1" applyBorder="1" applyAlignment="1">
      <alignment horizontal="center" vertical="center"/>
    </xf>
    <xf numFmtId="0" fontId="0" fillId="0" borderId="5" xfId="0" applyBorder="1" applyAlignment="1">
      <alignment vertical="center" wrapText="1"/>
    </xf>
    <xf numFmtId="43" fontId="0" fillId="0" borderId="5" xfId="1" applyFont="1" applyFill="1" applyBorder="1" applyAlignment="1">
      <alignment vertical="center"/>
    </xf>
    <xf numFmtId="43" fontId="0" fillId="0" borderId="5" xfId="1" applyFont="1" applyBorder="1" applyAlignment="1">
      <alignment vertical="center"/>
    </xf>
    <xf numFmtId="0" fontId="8" fillId="2" borderId="0" xfId="0" applyFont="1" applyFill="1" applyBorder="1" applyAlignment="1">
      <alignment horizontal="center" vertical="center" wrapText="1"/>
    </xf>
    <xf numFmtId="0" fontId="3" fillId="5" borderId="1" xfId="0" applyFont="1" applyFill="1" applyBorder="1" applyAlignment="1">
      <alignment horizontal="center" vertical="center"/>
    </xf>
    <xf numFmtId="0" fontId="2" fillId="5" borderId="4" xfId="0" applyFont="1" applyFill="1" applyBorder="1" applyAlignment="1">
      <alignment vertical="center"/>
    </xf>
    <xf numFmtId="0" fontId="0" fillId="5" borderId="4" xfId="0" applyFill="1" applyBorder="1" applyAlignment="1">
      <alignment vertical="center"/>
    </xf>
    <xf numFmtId="0" fontId="0" fillId="5" borderId="4" xfId="0" applyFill="1" applyBorder="1" applyAlignment="1">
      <alignment vertical="center" wrapText="1"/>
    </xf>
    <xf numFmtId="0" fontId="0" fillId="5" borderId="4" xfId="0" applyFill="1" applyBorder="1" applyAlignment="1">
      <alignment horizontal="center" vertical="center"/>
    </xf>
    <xf numFmtId="43" fontId="0" fillId="5" borderId="4" xfId="1" applyFont="1" applyFill="1" applyBorder="1" applyAlignment="1">
      <alignment vertical="center"/>
    </xf>
    <xf numFmtId="43" fontId="2" fillId="5" borderId="2" xfId="1" applyFont="1" applyFill="1" applyBorder="1" applyAlignment="1">
      <alignment vertical="center"/>
    </xf>
    <xf numFmtId="0" fontId="4" fillId="4" borderId="4" xfId="0" applyFont="1" applyFill="1" applyBorder="1" applyAlignment="1">
      <alignment vertical="center" wrapText="1"/>
    </xf>
    <xf numFmtId="0" fontId="3" fillId="6" borderId="1" xfId="0" applyFont="1" applyFill="1" applyBorder="1" applyAlignment="1">
      <alignment horizontal="center" vertical="center"/>
    </xf>
    <xf numFmtId="0" fontId="3" fillId="6" borderId="4" xfId="0" applyFont="1" applyFill="1" applyBorder="1" applyAlignment="1">
      <alignment vertical="center"/>
    </xf>
    <xf numFmtId="0" fontId="0" fillId="6" borderId="4" xfId="0" applyFill="1" applyBorder="1" applyAlignment="1">
      <alignment vertical="center"/>
    </xf>
    <xf numFmtId="0" fontId="0" fillId="6" borderId="4" xfId="0" applyFill="1" applyBorder="1" applyAlignment="1">
      <alignment vertical="center" wrapText="1"/>
    </xf>
    <xf numFmtId="0" fontId="0" fillId="6" borderId="4" xfId="0" applyFill="1" applyBorder="1" applyAlignment="1">
      <alignment horizontal="center" vertical="center"/>
    </xf>
    <xf numFmtId="43" fontId="0" fillId="6" borderId="4" xfId="1" applyFont="1" applyFill="1" applyBorder="1" applyAlignment="1">
      <alignment vertical="center"/>
    </xf>
    <xf numFmtId="43" fontId="3" fillId="6" borderId="2" xfId="1" applyFont="1" applyFill="1" applyBorder="1" applyAlignment="1">
      <alignment vertical="center"/>
    </xf>
    <xf numFmtId="0" fontId="0" fillId="3" borderId="4" xfId="0" applyFill="1" applyBorder="1" applyAlignment="1">
      <alignment vertical="center" wrapText="1"/>
    </xf>
    <xf numFmtId="0" fontId="7" fillId="4" borderId="1" xfId="0" applyFont="1" applyFill="1" applyBorder="1" applyAlignment="1">
      <alignment horizontal="center" vertical="center"/>
    </xf>
    <xf numFmtId="0" fontId="11" fillId="4" borderId="4" xfId="0" applyFont="1" applyFill="1" applyBorder="1" applyAlignment="1">
      <alignment vertical="center"/>
    </xf>
    <xf numFmtId="0" fontId="12" fillId="4" borderId="4" xfId="0" applyFont="1" applyFill="1" applyBorder="1" applyAlignment="1">
      <alignment vertical="center"/>
    </xf>
    <xf numFmtId="0" fontId="12" fillId="4" borderId="4" xfId="0" applyFont="1" applyFill="1" applyBorder="1" applyAlignment="1">
      <alignment horizontal="center" vertical="center"/>
    </xf>
    <xf numFmtId="43" fontId="12" fillId="4" borderId="4" xfId="1" applyFont="1" applyFill="1" applyBorder="1" applyAlignment="1">
      <alignment vertical="center"/>
    </xf>
    <xf numFmtId="43" fontId="11" fillId="4" borderId="2" xfId="1" applyFont="1" applyFill="1" applyBorder="1" applyAlignment="1">
      <alignment vertical="center"/>
    </xf>
    <xf numFmtId="0" fontId="3" fillId="2" borderId="6" xfId="0" applyFont="1" applyFill="1" applyBorder="1" applyAlignment="1">
      <alignment horizontal="center" vertical="center"/>
    </xf>
    <xf numFmtId="0" fontId="0" fillId="2" borderId="7" xfId="0" applyFill="1" applyBorder="1" applyAlignment="1">
      <alignment vertical="center"/>
    </xf>
    <xf numFmtId="0" fontId="9" fillId="2" borderId="7" xfId="0" applyFont="1" applyFill="1" applyBorder="1" applyAlignment="1">
      <alignment vertical="center"/>
    </xf>
    <xf numFmtId="0" fontId="0" fillId="2" borderId="7" xfId="0" applyFill="1" applyBorder="1" applyAlignment="1">
      <alignment horizontal="center" vertical="center"/>
    </xf>
    <xf numFmtId="43" fontId="0" fillId="2" borderId="7" xfId="1" applyFont="1" applyFill="1" applyBorder="1" applyAlignment="1">
      <alignment vertical="center"/>
    </xf>
    <xf numFmtId="43" fontId="0" fillId="2" borderId="8" xfId="1" applyFont="1" applyFill="1" applyBorder="1" applyAlignment="1">
      <alignment vertical="center"/>
    </xf>
    <xf numFmtId="0" fontId="3" fillId="2" borderId="9" xfId="0" applyFont="1" applyFill="1" applyBorder="1" applyAlignment="1">
      <alignment horizontal="center" vertical="center"/>
    </xf>
    <xf numFmtId="0" fontId="0" fillId="2" borderId="0" xfId="0" applyFill="1" applyBorder="1" applyAlignment="1">
      <alignment vertical="center"/>
    </xf>
    <xf numFmtId="0" fontId="0" fillId="2" borderId="0" xfId="0" applyFill="1" applyBorder="1"/>
    <xf numFmtId="43" fontId="0" fillId="2" borderId="0" xfId="1" applyFont="1" applyFill="1" applyBorder="1" applyAlignment="1">
      <alignment vertical="center"/>
    </xf>
    <xf numFmtId="43" fontId="0" fillId="2" borderId="10" xfId="1" applyFont="1" applyFill="1" applyBorder="1" applyAlignment="1">
      <alignment vertical="center"/>
    </xf>
    <xf numFmtId="0" fontId="14" fillId="2" borderId="9" xfId="0" applyFont="1" applyFill="1" applyBorder="1" applyAlignment="1">
      <alignment horizontal="center" vertical="center"/>
    </xf>
    <xf numFmtId="0" fontId="15" fillId="2" borderId="0" xfId="0" applyFont="1" applyFill="1" applyBorder="1" applyAlignment="1">
      <alignment vertical="center"/>
    </xf>
    <xf numFmtId="43" fontId="15" fillId="2" borderId="0" xfId="1" applyFont="1" applyFill="1" applyBorder="1" applyAlignment="1">
      <alignment vertical="center"/>
    </xf>
    <xf numFmtId="43" fontId="15" fillId="2" borderId="10" xfId="1" applyFont="1" applyFill="1" applyBorder="1" applyAlignment="1">
      <alignment vertical="center"/>
    </xf>
    <xf numFmtId="0" fontId="15" fillId="2" borderId="11" xfId="0" applyFont="1" applyFill="1" applyBorder="1" applyAlignment="1">
      <alignment vertical="center"/>
    </xf>
    <xf numFmtId="43" fontId="15" fillId="2" borderId="11" xfId="1" applyFont="1" applyFill="1" applyBorder="1" applyAlignment="1">
      <alignment vertical="center"/>
    </xf>
    <xf numFmtId="0" fontId="3"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3" fontId="0" fillId="0" borderId="0" xfId="1" applyFont="1" applyAlignment="1">
      <alignment vertical="center"/>
    </xf>
    <xf numFmtId="0" fontId="0" fillId="2" borderId="8" xfId="0" applyFill="1" applyBorder="1" applyAlignment="1">
      <alignment vertical="center"/>
    </xf>
    <xf numFmtId="0" fontId="5" fillId="2" borderId="9" xfId="0" applyFont="1" applyFill="1" applyBorder="1" applyAlignment="1">
      <alignment horizontal="center" vertical="center"/>
    </xf>
    <xf numFmtId="0" fontId="6" fillId="2" borderId="0" xfId="0" applyFont="1" applyFill="1" applyBorder="1" applyAlignment="1">
      <alignment vertical="center"/>
    </xf>
    <xf numFmtId="0" fontId="7" fillId="2" borderId="0" xfId="0" applyFont="1" applyFill="1" applyBorder="1" applyAlignment="1">
      <alignment vertical="center"/>
    </xf>
    <xf numFmtId="0" fontId="6" fillId="2" borderId="0" xfId="0" applyFont="1" applyFill="1" applyBorder="1" applyAlignment="1">
      <alignment horizontal="center" vertical="center"/>
    </xf>
    <xf numFmtId="0" fontId="0" fillId="2" borderId="0" xfId="0" applyFill="1" applyBorder="1" applyAlignment="1">
      <alignment horizontal="center" vertical="center"/>
    </xf>
    <xf numFmtId="0" fontId="10" fillId="2" borderId="0" xfId="0" applyFont="1" applyFill="1" applyBorder="1" applyAlignment="1">
      <alignment horizontal="left" vertical="center"/>
    </xf>
    <xf numFmtId="17" fontId="10" fillId="2" borderId="10" xfId="0" applyNumberFormat="1" applyFont="1" applyFill="1" applyBorder="1" applyAlignment="1">
      <alignment horizontal="left"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14" fillId="2" borderId="12" xfId="0" applyFont="1" applyFill="1" applyBorder="1" applyAlignment="1">
      <alignment horizontal="center" vertical="center"/>
    </xf>
    <xf numFmtId="43" fontId="15" fillId="2" borderId="13" xfId="1" applyFont="1" applyFill="1" applyBorder="1" applyAlignment="1">
      <alignment vertical="center"/>
    </xf>
    <xf numFmtId="0" fontId="7" fillId="2" borderId="0" xfId="0" applyFont="1" applyFill="1" applyBorder="1" applyAlignment="1">
      <alignment vertical="center" wrapText="1"/>
    </xf>
    <xf numFmtId="0" fontId="3" fillId="0" borderId="12" xfId="0" applyFont="1"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43" fontId="0" fillId="0" borderId="11" xfId="1" applyFont="1" applyBorder="1" applyAlignment="1">
      <alignment vertical="center"/>
    </xf>
    <xf numFmtId="43" fontId="0" fillId="0" borderId="13" xfId="1" applyFont="1" applyBorder="1" applyAlignment="1">
      <alignment vertical="center"/>
    </xf>
    <xf numFmtId="0" fontId="8" fillId="2" borderId="0" xfId="0" applyFont="1" applyFill="1" applyBorder="1" applyAlignment="1"/>
    <xf numFmtId="17" fontId="9" fillId="2" borderId="0" xfId="0" applyNumberFormat="1" applyFont="1" applyFill="1" applyBorder="1" applyAlignment="1">
      <alignment horizontal="left"/>
    </xf>
    <xf numFmtId="17" fontId="8" fillId="2" borderId="10" xfId="0" applyNumberFormat="1" applyFont="1" applyFill="1" applyBorder="1" applyAlignment="1">
      <alignment horizontal="left"/>
    </xf>
    <xf numFmtId="0" fontId="9" fillId="2" borderId="0" xfId="0" applyFont="1" applyFill="1" applyBorder="1" applyAlignment="1">
      <alignment horizontal="left" wrapText="1"/>
    </xf>
    <xf numFmtId="0" fontId="9" fillId="2" borderId="0" xfId="0" applyFont="1" applyFill="1" applyBorder="1" applyAlignment="1">
      <alignment horizontal="left"/>
    </xf>
    <xf numFmtId="0" fontId="8" fillId="2" borderId="10" xfId="0" applyFont="1" applyFill="1" applyBorder="1" applyAlignment="1">
      <alignment horizontal="left" wrapText="1"/>
    </xf>
    <xf numFmtId="0" fontId="9" fillId="2" borderId="0" xfId="0" applyFont="1" applyFill="1" applyBorder="1" applyAlignment="1">
      <alignment horizontal="center"/>
    </xf>
    <xf numFmtId="167" fontId="9" fillId="2" borderId="10" xfId="0" quotePrefix="1" applyNumberFormat="1" applyFont="1" applyFill="1" applyBorder="1" applyAlignment="1">
      <alignment horizontal="left"/>
    </xf>
    <xf numFmtId="17" fontId="8" fillId="2" borderId="0" xfId="0" applyNumberFormat="1" applyFont="1" applyFill="1" applyBorder="1" applyAlignment="1">
      <alignment horizontal="left"/>
    </xf>
    <xf numFmtId="0" fontId="8" fillId="2" borderId="0" xfId="0" applyFont="1" applyFill="1" applyBorder="1" applyAlignment="1">
      <alignment horizontal="left" wrapText="1"/>
    </xf>
    <xf numFmtId="167" fontId="9" fillId="2" borderId="0" xfId="0" quotePrefix="1" applyNumberFormat="1" applyFont="1" applyFill="1" applyBorder="1" applyAlignment="1">
      <alignment horizontal="left"/>
    </xf>
    <xf numFmtId="0" fontId="3" fillId="0" borderId="0" xfId="0" applyFont="1" applyAlignment="1">
      <alignment vertical="center" wrapText="1"/>
    </xf>
    <xf numFmtId="0" fontId="0" fillId="0" borderId="0" xfId="0" applyAlignment="1">
      <alignment vertical="center" wrapText="1"/>
    </xf>
    <xf numFmtId="0" fontId="0" fillId="0" borderId="0" xfId="0" applyNumberFormat="1" applyAlignment="1">
      <alignment horizontal="center" vertical="center"/>
    </xf>
    <xf numFmtId="0" fontId="3" fillId="0" borderId="0" xfId="0" applyFont="1"/>
    <xf numFmtId="17" fontId="18" fillId="2" borderId="0" xfId="2" applyNumberFormat="1" applyFont="1" applyFill="1" applyAlignment="1">
      <alignment vertical="center"/>
    </xf>
    <xf numFmtId="0" fontId="19" fillId="2" borderId="0" xfId="2" applyFont="1" applyFill="1" applyAlignment="1">
      <alignment vertical="center"/>
    </xf>
    <xf numFmtId="0" fontId="20" fillId="2" borderId="0" xfId="2" applyFont="1" applyFill="1" applyAlignment="1">
      <alignment vertical="center"/>
    </xf>
    <xf numFmtId="165" fontId="20" fillId="2" borderId="0" xfId="3" applyFont="1" applyFill="1" applyAlignment="1">
      <alignment horizontal="center" vertical="center"/>
    </xf>
    <xf numFmtId="0" fontId="1" fillId="0" borderId="0" xfId="0" applyFont="1"/>
    <xf numFmtId="43" fontId="1" fillId="0" borderId="0" xfId="1" applyFont="1"/>
    <xf numFmtId="1" fontId="21" fillId="2" borderId="6" xfId="2" applyNumberFormat="1" applyFont="1" applyFill="1" applyBorder="1" applyAlignment="1">
      <alignment horizontal="justify" vertical="top"/>
    </xf>
    <xf numFmtId="165" fontId="21" fillId="2" borderId="16" xfId="3" applyFont="1" applyFill="1" applyBorder="1" applyAlignment="1">
      <alignment horizontal="center" vertical="top"/>
    </xf>
    <xf numFmtId="1" fontId="21" fillId="2" borderId="12" xfId="2" applyNumberFormat="1" applyFont="1" applyFill="1" applyBorder="1" applyAlignment="1">
      <alignment horizontal="justify" vertical="top"/>
    </xf>
    <xf numFmtId="165" fontId="13" fillId="2" borderId="18" xfId="3" applyFont="1" applyFill="1" applyBorder="1" applyAlignment="1">
      <alignment horizontal="center" vertical="top"/>
    </xf>
    <xf numFmtId="0" fontId="21" fillId="2" borderId="3" xfId="2" applyFont="1" applyFill="1" applyBorder="1" applyAlignment="1">
      <alignment horizontal="centerContinuous" vertical="center"/>
    </xf>
    <xf numFmtId="0" fontId="13" fillId="2" borderId="9" xfId="2" applyNumberFormat="1" applyFont="1" applyFill="1" applyBorder="1" applyAlignment="1">
      <alignment horizontal="center" vertical="center"/>
    </xf>
    <xf numFmtId="0" fontId="13" fillId="2" borderId="16" xfId="2" applyNumberFormat="1" applyFont="1" applyFill="1" applyBorder="1" applyAlignment="1">
      <alignment horizontal="center" vertical="center" wrapText="1"/>
    </xf>
    <xf numFmtId="0" fontId="13" fillId="2" borderId="0" xfId="2" applyNumberFormat="1" applyFont="1" applyFill="1" applyBorder="1" applyAlignment="1">
      <alignment horizontal="center" vertical="center"/>
    </xf>
    <xf numFmtId="166" fontId="13" fillId="2" borderId="16" xfId="3" applyNumberFormat="1" applyFont="1" applyFill="1" applyBorder="1" applyAlignment="1">
      <alignment horizontal="center" vertical="center"/>
    </xf>
    <xf numFmtId="2" fontId="13" fillId="2" borderId="0" xfId="2" applyNumberFormat="1" applyFont="1" applyFill="1" applyBorder="1" applyAlignment="1">
      <alignment horizontal="center" vertical="center"/>
    </xf>
    <xf numFmtId="165" fontId="13" fillId="2" borderId="16" xfId="3" applyFont="1" applyFill="1" applyBorder="1" applyAlignment="1">
      <alignment horizontal="center" vertical="center"/>
    </xf>
    <xf numFmtId="165" fontId="13" fillId="2" borderId="10" xfId="3" applyFont="1" applyFill="1" applyBorder="1" applyAlignment="1">
      <alignment horizontal="center" vertical="center"/>
    </xf>
    <xf numFmtId="0" fontId="13" fillId="2" borderId="17" xfId="2" applyNumberFormat="1" applyFont="1" applyFill="1" applyBorder="1" applyAlignment="1">
      <alignment horizontal="center" vertical="center" wrapText="1"/>
    </xf>
    <xf numFmtId="0" fontId="13" fillId="2" borderId="0" xfId="2" applyFont="1" applyFill="1" applyBorder="1" applyAlignment="1">
      <alignment horizontal="center" vertical="center"/>
    </xf>
    <xf numFmtId="166" fontId="13" fillId="2" borderId="17" xfId="3" applyNumberFormat="1" applyFont="1" applyFill="1" applyBorder="1" applyAlignment="1">
      <alignment horizontal="center" vertical="center"/>
    </xf>
    <xf numFmtId="165" fontId="13" fillId="2" borderId="17" xfId="3" applyFont="1" applyFill="1" applyBorder="1" applyAlignment="1">
      <alignment horizontal="center" vertical="center"/>
    </xf>
    <xf numFmtId="49" fontId="13" fillId="2" borderId="9" xfId="2" applyNumberFormat="1" applyFont="1" applyFill="1" applyBorder="1" applyAlignment="1">
      <alignment horizontal="center" vertical="center"/>
    </xf>
    <xf numFmtId="49" fontId="13" fillId="2" borderId="17" xfId="2" applyNumberFormat="1" applyFont="1" applyFill="1" applyBorder="1" applyAlignment="1">
      <alignment horizontal="center" vertical="center"/>
    </xf>
    <xf numFmtId="2" fontId="13" fillId="2" borderId="0" xfId="3" applyNumberFormat="1" applyFont="1" applyFill="1" applyBorder="1" applyAlignment="1">
      <alignment horizontal="center" vertical="center"/>
    </xf>
    <xf numFmtId="49" fontId="21" fillId="2" borderId="1" xfId="2" applyNumberFormat="1" applyFont="1" applyFill="1" applyBorder="1" applyAlignment="1">
      <alignment vertical="top"/>
    </xf>
    <xf numFmtId="165" fontId="21" fillId="2" borderId="1" xfId="3" applyFont="1" applyFill="1" applyBorder="1" applyAlignment="1">
      <alignment horizontal="center" vertical="center"/>
    </xf>
    <xf numFmtId="165" fontId="13" fillId="2" borderId="3" xfId="3" applyFont="1" applyFill="1" applyBorder="1" applyAlignment="1">
      <alignment horizontal="center" vertical="center"/>
    </xf>
    <xf numFmtId="165" fontId="13" fillId="2" borderId="2" xfId="3" applyFont="1" applyFill="1" applyBorder="1" applyAlignment="1">
      <alignment horizontal="center" vertical="center"/>
    </xf>
    <xf numFmtId="0" fontId="21" fillId="2" borderId="6" xfId="2" applyFont="1" applyFill="1" applyBorder="1" applyAlignment="1">
      <alignment vertical="center"/>
    </xf>
    <xf numFmtId="0" fontId="21" fillId="2" borderId="7" xfId="2" applyFont="1" applyFill="1" applyBorder="1" applyAlignment="1">
      <alignment vertical="center"/>
    </xf>
    <xf numFmtId="4" fontId="21" fillId="2" borderId="8" xfId="2" applyNumberFormat="1" applyFont="1" applyFill="1" applyBorder="1" applyAlignment="1">
      <alignment vertical="center"/>
    </xf>
    <xf numFmtId="165" fontId="21" fillId="2" borderId="16" xfId="3" applyFont="1" applyFill="1" applyBorder="1" applyAlignment="1">
      <alignment horizontal="center" vertical="center"/>
    </xf>
    <xf numFmtId="4" fontId="13" fillId="2" borderId="1" xfId="2" applyNumberFormat="1" applyFont="1" applyFill="1" applyBorder="1" applyAlignment="1">
      <alignment horizontal="left" vertical="center" indent="1"/>
    </xf>
    <xf numFmtId="4" fontId="13" fillId="2" borderId="4" xfId="2" applyNumberFormat="1" applyFont="1" applyFill="1" applyBorder="1" applyAlignment="1">
      <alignment horizontal="right" vertical="center"/>
    </xf>
    <xf numFmtId="0" fontId="13" fillId="2" borderId="0" xfId="2" applyFont="1" applyFill="1" applyBorder="1" applyAlignment="1">
      <alignment vertical="center"/>
    </xf>
    <xf numFmtId="17" fontId="13" fillId="2" borderId="9" xfId="2" quotePrefix="1" applyNumberFormat="1" applyFont="1" applyFill="1" applyBorder="1" applyAlignment="1">
      <alignment vertical="center"/>
    </xf>
    <xf numFmtId="4" fontId="13" fillId="2" borderId="10" xfId="2" applyNumberFormat="1" applyFont="1" applyFill="1" applyBorder="1" applyAlignment="1">
      <alignment vertical="center"/>
    </xf>
    <xf numFmtId="4" fontId="21" fillId="2" borderId="1" xfId="2" applyNumberFormat="1" applyFont="1" applyFill="1" applyBorder="1" applyAlignment="1">
      <alignment horizontal="left" vertical="center" indent="1"/>
    </xf>
    <xf numFmtId="10" fontId="21" fillId="2" borderId="4" xfId="4" applyNumberFormat="1" applyFont="1" applyFill="1" applyBorder="1" applyAlignment="1">
      <alignment horizontal="center" vertical="center"/>
    </xf>
    <xf numFmtId="0" fontId="13" fillId="2" borderId="12" xfId="2" applyFont="1" applyFill="1" applyBorder="1" applyAlignment="1">
      <alignment vertical="center"/>
    </xf>
    <xf numFmtId="0" fontId="13" fillId="2" borderId="11" xfId="2" applyFont="1" applyFill="1" applyBorder="1" applyAlignment="1">
      <alignment vertical="center"/>
    </xf>
    <xf numFmtId="4" fontId="13" fillId="2" borderId="13" xfId="2" applyNumberFormat="1" applyFont="1" applyFill="1" applyBorder="1" applyAlignment="1">
      <alignment vertical="center"/>
    </xf>
    <xf numFmtId="4" fontId="21" fillId="3" borderId="11" xfId="2" applyNumberFormat="1" applyFont="1" applyFill="1" applyBorder="1" applyAlignment="1">
      <alignment horizontal="left" vertical="center" indent="1"/>
    </xf>
    <xf numFmtId="4" fontId="13" fillId="3" borderId="11" xfId="2" applyNumberFormat="1" applyFont="1" applyFill="1" applyBorder="1" applyAlignment="1">
      <alignment horizontal="right" vertical="center"/>
    </xf>
    <xf numFmtId="165" fontId="21" fillId="3" borderId="18" xfId="3" applyFont="1" applyFill="1" applyBorder="1" applyAlignment="1">
      <alignment horizontal="center" vertical="center"/>
    </xf>
    <xf numFmtId="1" fontId="1" fillId="0" borderId="0" xfId="0" applyNumberFormat="1" applyFont="1"/>
    <xf numFmtId="165" fontId="1" fillId="0" borderId="0" xfId="0" applyNumberFormat="1" applyFont="1"/>
    <xf numFmtId="0" fontId="19" fillId="0" borderId="0" xfId="2" applyFont="1" applyFill="1" applyAlignment="1">
      <alignment vertical="center"/>
    </xf>
    <xf numFmtId="0" fontId="20" fillId="0" borderId="0" xfId="2" applyFont="1" applyFill="1" applyAlignment="1">
      <alignment vertical="center"/>
    </xf>
    <xf numFmtId="165" fontId="20" fillId="0" borderId="0" xfId="3" applyFont="1" applyFill="1" applyAlignment="1">
      <alignment horizontal="center" vertical="center"/>
    </xf>
    <xf numFmtId="10" fontId="0" fillId="0" borderId="0" xfId="5" applyNumberFormat="1"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2" borderId="0" xfId="0" applyFont="1" applyFill="1" applyAlignment="1">
      <alignment horizontal="center" vertical="center"/>
    </xf>
    <xf numFmtId="0" fontId="0" fillId="2" borderId="0" xfId="0" applyFont="1" applyFill="1" applyAlignment="1">
      <alignment vertical="center"/>
    </xf>
    <xf numFmtId="10" fontId="0" fillId="2" borderId="0" xfId="5" applyNumberFormat="1" applyFont="1" applyFill="1" applyAlignment="1">
      <alignment vertical="center"/>
    </xf>
    <xf numFmtId="0" fontId="0" fillId="2" borderId="0" xfId="0" applyFont="1" applyFill="1" applyAlignment="1">
      <alignment horizontal="center" vertical="center"/>
    </xf>
    <xf numFmtId="0" fontId="3" fillId="2" borderId="0" xfId="0" applyFont="1" applyFill="1" applyAlignment="1">
      <alignment horizontal="center" vertical="center"/>
    </xf>
    <xf numFmtId="10" fontId="3" fillId="2" borderId="0" xfId="5" applyNumberFormat="1" applyFont="1" applyFill="1" applyAlignment="1">
      <alignment vertical="center"/>
    </xf>
    <xf numFmtId="0" fontId="3" fillId="2" borderId="0" xfId="0" applyFont="1" applyFill="1" applyAlignment="1">
      <alignment vertical="center"/>
    </xf>
    <xf numFmtId="0" fontId="23" fillId="2" borderId="0" xfId="0" applyFont="1" applyFill="1" applyAlignment="1">
      <alignment vertical="center"/>
    </xf>
    <xf numFmtId="0" fontId="24" fillId="2" borderId="0" xfId="0" applyFont="1" applyFill="1" applyAlignment="1">
      <alignment vertical="center"/>
    </xf>
    <xf numFmtId="10" fontId="24" fillId="2" borderId="0" xfId="5" applyNumberFormat="1" applyFont="1" applyFill="1" applyAlignment="1">
      <alignment vertical="center"/>
    </xf>
    <xf numFmtId="0" fontId="25" fillId="2" borderId="0" xfId="0" applyFont="1" applyFill="1" applyAlignment="1">
      <alignment horizontal="center" vertical="center"/>
    </xf>
    <xf numFmtId="0" fontId="6" fillId="2" borderId="0" xfId="0" applyFont="1" applyFill="1" applyAlignment="1">
      <alignment horizontal="center" vertical="center"/>
    </xf>
    <xf numFmtId="0" fontId="0" fillId="2" borderId="11" xfId="0" applyFont="1" applyFill="1" applyBorder="1" applyAlignment="1">
      <alignment vertical="center"/>
    </xf>
    <xf numFmtId="10" fontId="0" fillId="2" borderId="11" xfId="5" applyNumberFormat="1" applyFont="1" applyFill="1" applyBorder="1" applyAlignment="1">
      <alignment vertical="center"/>
    </xf>
    <xf numFmtId="0" fontId="12" fillId="2" borderId="0" xfId="0" applyFont="1" applyFill="1" applyBorder="1" applyAlignment="1">
      <alignment horizontal="center" vertical="center"/>
    </xf>
    <xf numFmtId="0" fontId="23" fillId="0" borderId="0" xfId="0" applyFont="1" applyAlignment="1">
      <alignment vertical="center"/>
    </xf>
    <xf numFmtId="10" fontId="23" fillId="2" borderId="0" xfId="5" applyNumberFormat="1" applyFont="1" applyFill="1" applyAlignment="1">
      <alignment vertical="center"/>
    </xf>
    <xf numFmtId="10" fontId="1" fillId="2" borderId="0" xfId="5" applyNumberFormat="1" applyFont="1" applyFill="1" applyAlignment="1">
      <alignment vertical="center"/>
    </xf>
    <xf numFmtId="10" fontId="2" fillId="5" borderId="2" xfId="1" applyNumberFormat="1" applyFont="1" applyFill="1" applyBorder="1" applyAlignment="1">
      <alignment vertical="center"/>
    </xf>
    <xf numFmtId="0" fontId="3" fillId="2" borderId="0" xfId="0" applyFont="1" applyFill="1" applyAlignment="1">
      <alignment horizontal="center" vertical="center"/>
    </xf>
    <xf numFmtId="0" fontId="9" fillId="3" borderId="0" xfId="0" applyFont="1" applyFill="1"/>
    <xf numFmtId="0" fontId="8" fillId="3" borderId="0" xfId="0" applyFont="1" applyFill="1"/>
    <xf numFmtId="0" fontId="9" fillId="0" borderId="0" xfId="0" applyFont="1" applyAlignment="1">
      <alignment vertical="center"/>
    </xf>
    <xf numFmtId="9" fontId="9" fillId="0" borderId="0" xfId="5" applyFont="1" applyAlignment="1">
      <alignment vertical="center"/>
    </xf>
    <xf numFmtId="0" fontId="3" fillId="0" borderId="0" xfId="0" applyFont="1" applyAlignment="1">
      <alignment horizontal="center" vertical="center"/>
    </xf>
    <xf numFmtId="0" fontId="8" fillId="7" borderId="0" xfId="0" applyFont="1" applyFill="1"/>
    <xf numFmtId="10" fontId="8" fillId="7" borderId="0" xfId="0" applyNumberFormat="1" applyFont="1" applyFill="1"/>
    <xf numFmtId="0" fontId="8" fillId="6" borderId="0" xfId="0" applyFont="1" applyFill="1"/>
    <xf numFmtId="10" fontId="8" fillId="6" borderId="0" xfId="5" applyNumberFormat="1" applyFont="1" applyFill="1"/>
    <xf numFmtId="10" fontId="8" fillId="7" borderId="0" xfId="5" applyNumberFormat="1" applyFont="1" applyFill="1"/>
    <xf numFmtId="168" fontId="8" fillId="7" borderId="0" xfId="1" applyNumberFormat="1" applyFont="1" applyFill="1"/>
    <xf numFmtId="10" fontId="8" fillId="3" borderId="0" xfId="0" applyNumberFormat="1" applyFont="1" applyFill="1"/>
    <xf numFmtId="10" fontId="8" fillId="3" borderId="0" xfId="5" applyNumberFormat="1" applyFont="1" applyFill="1"/>
    <xf numFmtId="0" fontId="9" fillId="2" borderId="0" xfId="0" applyFont="1" applyFill="1" applyAlignment="1">
      <alignment vertical="center"/>
    </xf>
    <xf numFmtId="0" fontId="8" fillId="2" borderId="0" xfId="0" applyFont="1" applyFill="1"/>
    <xf numFmtId="0" fontId="9" fillId="2" borderId="0" xfId="0" applyFont="1" applyFill="1"/>
    <xf numFmtId="10" fontId="9" fillId="2" borderId="0" xfId="5" applyNumberFormat="1" applyFont="1" applyFill="1"/>
    <xf numFmtId="10" fontId="8" fillId="2" borderId="0" xfId="5" applyNumberFormat="1" applyFont="1" applyFill="1"/>
    <xf numFmtId="43" fontId="9" fillId="2" borderId="0" xfId="1" applyFont="1" applyFill="1"/>
    <xf numFmtId="43" fontId="9" fillId="2" borderId="0" xfId="0" applyNumberFormat="1" applyFont="1" applyFill="1"/>
    <xf numFmtId="10" fontId="9" fillId="2" borderId="0" xfId="1" applyNumberFormat="1" applyFont="1" applyFill="1"/>
    <xf numFmtId="10" fontId="8" fillId="2" borderId="0" xfId="0" applyNumberFormat="1" applyFont="1" applyFill="1"/>
    <xf numFmtId="0" fontId="8" fillId="2" borderId="0" xfId="0" applyFont="1" applyFill="1" applyAlignment="1">
      <alignment horizontal="center" vertical="center"/>
    </xf>
    <xf numFmtId="0" fontId="8" fillId="2" borderId="0" xfId="0" applyFont="1" applyFill="1" applyAlignment="1">
      <alignment vertical="center"/>
    </xf>
    <xf numFmtId="0" fontId="9" fillId="2" borderId="0" xfId="0" applyFont="1" applyFill="1" applyAlignment="1">
      <alignment horizontal="center" vertical="center"/>
    </xf>
    <xf numFmtId="43" fontId="9" fillId="2" borderId="0" xfId="1" applyFont="1" applyFill="1" applyAlignment="1">
      <alignment vertical="center"/>
    </xf>
    <xf numFmtId="0" fontId="9" fillId="2" borderId="0" xfId="0" applyFont="1" applyFill="1" applyAlignment="1">
      <alignment horizontal="left" vertical="center" wrapText="1"/>
    </xf>
    <xf numFmtId="9" fontId="9" fillId="2" borderId="0" xfId="1" applyNumberFormat="1" applyFont="1" applyFill="1" applyAlignment="1">
      <alignment vertical="center"/>
    </xf>
    <xf numFmtId="10" fontId="9" fillId="2" borderId="0" xfId="1" applyNumberFormat="1" applyFont="1" applyFill="1" applyAlignment="1">
      <alignment vertical="center"/>
    </xf>
    <xf numFmtId="10" fontId="9" fillId="2" borderId="0" xfId="5" applyNumberFormat="1" applyFont="1" applyFill="1" applyAlignment="1">
      <alignment vertical="center"/>
    </xf>
    <xf numFmtId="10" fontId="8" fillId="2" borderId="0" xfId="1" applyNumberFormat="1" applyFont="1" applyFill="1" applyAlignment="1">
      <alignment vertical="center"/>
    </xf>
    <xf numFmtId="10" fontId="9" fillId="2" borderId="0" xfId="1" applyNumberFormat="1" applyFont="1" applyFill="1" applyAlignment="1">
      <alignment horizontal="center" vertical="center"/>
    </xf>
    <xf numFmtId="10" fontId="8" fillId="2" borderId="0" xfId="5" applyNumberFormat="1" applyFont="1" applyFill="1" applyAlignment="1">
      <alignment vertical="center"/>
    </xf>
    <xf numFmtId="0" fontId="8" fillId="2" borderId="0" xfId="0" applyFont="1" applyFill="1" applyAlignment="1">
      <alignment horizontal="left" vertical="center" wrapText="1"/>
    </xf>
    <xf numFmtId="168" fontId="8" fillId="2" borderId="0" xfId="1" applyNumberFormat="1" applyFont="1" applyFill="1"/>
    <xf numFmtId="0" fontId="26" fillId="2" borderId="0" xfId="0" applyFont="1" applyFill="1"/>
    <xf numFmtId="1" fontId="0" fillId="2" borderId="5" xfId="0" applyNumberFormat="1" applyFont="1" applyFill="1" applyBorder="1" applyAlignment="1">
      <alignment horizontal="center" vertical="center"/>
    </xf>
    <xf numFmtId="0" fontId="8" fillId="3" borderId="9"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0" xfId="0" applyFont="1" applyFill="1" applyBorder="1" applyAlignment="1">
      <alignment horizontal="center" vertical="center"/>
    </xf>
    <xf numFmtId="0" fontId="3" fillId="6" borderId="0" xfId="0" applyFont="1" applyFill="1" applyAlignment="1">
      <alignment vertical="center"/>
    </xf>
    <xf numFmtId="43" fontId="3" fillId="6" borderId="0" xfId="1" applyFont="1" applyFill="1" applyAlignment="1">
      <alignment vertical="center"/>
    </xf>
    <xf numFmtId="0" fontId="0" fillId="6"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center" vertical="center"/>
    </xf>
    <xf numFmtId="0" fontId="3" fillId="3" borderId="0" xfId="0" applyFont="1" applyFill="1" applyAlignment="1">
      <alignment vertical="center"/>
    </xf>
    <xf numFmtId="43" fontId="3" fillId="3" borderId="0" xfId="1" applyFont="1" applyFill="1" applyAlignment="1">
      <alignment vertical="center"/>
    </xf>
    <xf numFmtId="0" fontId="0" fillId="3" borderId="0" xfId="0" applyFill="1" applyAlignment="1">
      <alignment horizontal="center" vertical="center"/>
    </xf>
    <xf numFmtId="0" fontId="3" fillId="6" borderId="0" xfId="0" applyFont="1" applyFill="1" applyAlignment="1">
      <alignment horizontal="center" vertical="center"/>
    </xf>
    <xf numFmtId="0" fontId="0" fillId="6" borderId="0" xfId="0" applyFill="1" applyAlignment="1">
      <alignment vertical="center"/>
    </xf>
    <xf numFmtId="0" fontId="10" fillId="6" borderId="0" xfId="0" applyFont="1" applyFill="1" applyAlignment="1">
      <alignment horizontal="left" vertical="center"/>
    </xf>
    <xf numFmtId="17" fontId="10" fillId="6" borderId="0" xfId="0" applyNumberFormat="1" applyFont="1" applyFill="1" applyAlignment="1">
      <alignment horizontal="left" vertical="center"/>
    </xf>
    <xf numFmtId="0" fontId="10" fillId="2" borderId="0" xfId="0" applyFont="1" applyFill="1" applyAlignment="1">
      <alignment horizontal="left" vertical="center"/>
    </xf>
    <xf numFmtId="17" fontId="10" fillId="2" borderId="0" xfId="0" applyNumberFormat="1" applyFont="1" applyFill="1" applyAlignment="1">
      <alignment horizontal="left" vertical="center"/>
    </xf>
    <xf numFmtId="0" fontId="3" fillId="0" borderId="0" xfId="0" applyFont="1" applyFill="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43" fontId="0" fillId="0" borderId="0" xfId="1" applyFont="1" applyBorder="1" applyAlignment="1">
      <alignment vertical="center"/>
    </xf>
    <xf numFmtId="0" fontId="14" fillId="2" borderId="3" xfId="2" applyNumberFormat="1" applyFont="1" applyFill="1" applyBorder="1" applyAlignment="1">
      <alignment horizontal="center" vertical="top"/>
    </xf>
    <xf numFmtId="0" fontId="0" fillId="0" borderId="5" xfId="0" applyBorder="1" applyAlignment="1">
      <alignment horizontal="center" vertical="center" wrapText="1"/>
    </xf>
    <xf numFmtId="0" fontId="0" fillId="0" borderId="0" xfId="0" applyNumberFormat="1" applyBorder="1" applyAlignment="1">
      <alignment horizontal="center" vertical="center"/>
    </xf>
    <xf numFmtId="0" fontId="3" fillId="0" borderId="0" xfId="0" applyFont="1" applyBorder="1" applyAlignment="1">
      <alignment vertical="center" wrapText="1"/>
    </xf>
    <xf numFmtId="0" fontId="0" fillId="7" borderId="0" xfId="0" applyNumberFormat="1" applyFill="1" applyAlignment="1">
      <alignment horizontal="center" vertical="center"/>
    </xf>
    <xf numFmtId="0" fontId="0" fillId="7" borderId="0" xfId="0" applyFill="1" applyAlignment="1">
      <alignment vertical="center" wrapText="1"/>
    </xf>
    <xf numFmtId="0" fontId="0" fillId="7" borderId="0" xfId="0" applyFill="1" applyAlignment="1">
      <alignment horizontal="center" vertical="center"/>
    </xf>
    <xf numFmtId="43" fontId="0" fillId="7" borderId="0" xfId="1" applyFont="1" applyFill="1" applyAlignment="1">
      <alignment vertical="center"/>
    </xf>
    <xf numFmtId="0" fontId="3" fillId="7" borderId="0" xfId="0" applyFont="1" applyFill="1" applyAlignment="1">
      <alignment vertical="center"/>
    </xf>
    <xf numFmtId="169" fontId="0" fillId="0" borderId="5" xfId="0" applyNumberFormat="1" applyBorder="1" applyAlignment="1">
      <alignment horizontal="center" vertical="center"/>
    </xf>
    <xf numFmtId="0" fontId="8" fillId="2" borderId="3" xfId="0" applyFont="1" applyFill="1" applyBorder="1" applyAlignment="1">
      <alignment horizontal="center" wrapText="1"/>
    </xf>
    <xf numFmtId="17" fontId="6" fillId="2" borderId="3" xfId="0" applyNumberFormat="1" applyFont="1" applyFill="1" applyBorder="1" applyAlignment="1">
      <alignment horizontal="center" vertical="center"/>
    </xf>
    <xf numFmtId="0" fontId="6" fillId="2" borderId="3" xfId="0" applyFont="1" applyFill="1" applyBorder="1" applyAlignment="1">
      <alignment horizontal="center"/>
    </xf>
    <xf numFmtId="170" fontId="6" fillId="2" borderId="3" xfId="1" applyNumberFormat="1" applyFont="1" applyFill="1" applyBorder="1"/>
    <xf numFmtId="0" fontId="0" fillId="2" borderId="3" xfId="0" applyFill="1" applyBorder="1" applyAlignment="1">
      <alignment horizontal="center" vertical="center"/>
    </xf>
    <xf numFmtId="0" fontId="0" fillId="2" borderId="3" xfId="0" applyFill="1" applyBorder="1" applyAlignment="1">
      <alignment vertical="center" wrapText="1"/>
    </xf>
    <xf numFmtId="0" fontId="0" fillId="2" borderId="3" xfId="0" applyFill="1" applyBorder="1" applyAlignment="1">
      <alignment horizontal="center" vertical="center" wrapText="1"/>
    </xf>
    <xf numFmtId="43" fontId="0" fillId="2" borderId="3" xfId="1" applyFont="1" applyFill="1" applyBorder="1" applyAlignment="1">
      <alignment vertical="center"/>
    </xf>
    <xf numFmtId="17" fontId="18" fillId="2" borderId="10" xfId="0" applyNumberFormat="1" applyFont="1" applyFill="1" applyBorder="1" applyAlignment="1">
      <alignment horizontal="left" vertical="center"/>
    </xf>
    <xf numFmtId="17" fontId="9" fillId="2" borderId="7" xfId="0" applyNumberFormat="1" applyFont="1" applyFill="1" applyBorder="1" applyAlignment="1">
      <alignment horizontal="left" vertical="center"/>
    </xf>
    <xf numFmtId="17" fontId="8" fillId="2" borderId="8" xfId="0" applyNumberFormat="1" applyFont="1" applyFill="1" applyBorder="1" applyAlignment="1">
      <alignment horizontal="left" vertical="center"/>
    </xf>
    <xf numFmtId="0" fontId="3" fillId="2" borderId="12" xfId="0" applyFont="1" applyFill="1" applyBorder="1" applyAlignment="1">
      <alignment horizontal="center" vertical="center"/>
    </xf>
    <xf numFmtId="0" fontId="0" fillId="2" borderId="11" xfId="0" applyFill="1" applyBorder="1" applyAlignment="1">
      <alignment vertical="center"/>
    </xf>
    <xf numFmtId="0" fontId="10" fillId="2" borderId="11" xfId="0" applyFont="1" applyFill="1" applyBorder="1" applyAlignment="1">
      <alignment horizontal="left" vertical="center"/>
    </xf>
    <xf numFmtId="17" fontId="10" fillId="2" borderId="11" xfId="0" applyNumberFormat="1" applyFont="1" applyFill="1" applyBorder="1" applyAlignment="1">
      <alignment horizontal="left" vertical="center"/>
    </xf>
    <xf numFmtId="0" fontId="0" fillId="2" borderId="13" xfId="0" applyFill="1" applyBorder="1" applyAlignment="1">
      <alignment vertical="center"/>
    </xf>
    <xf numFmtId="17" fontId="0" fillId="0" borderId="0" xfId="0" applyNumberFormat="1"/>
    <xf numFmtId="0" fontId="0" fillId="0" borderId="0" xfId="0" applyFont="1"/>
    <xf numFmtId="170" fontId="0" fillId="0" borderId="0" xfId="1" applyNumberFormat="1" applyFont="1"/>
    <xf numFmtId="0" fontId="3" fillId="2" borderId="3" xfId="0" applyFont="1" applyFill="1" applyBorder="1" applyAlignment="1">
      <alignment horizontal="center" vertical="center"/>
    </xf>
    <xf numFmtId="0" fontId="8" fillId="7" borderId="1" xfId="0" applyFont="1" applyFill="1" applyBorder="1" applyAlignment="1">
      <alignment horizontal="left" vertical="center"/>
    </xf>
    <xf numFmtId="0" fontId="8" fillId="7" borderId="4" xfId="0" applyFont="1" applyFill="1" applyBorder="1" applyAlignment="1">
      <alignment horizontal="center" vertical="center"/>
    </xf>
    <xf numFmtId="0" fontId="8" fillId="7" borderId="2"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18" xfId="0" applyFont="1" applyFill="1" applyBorder="1" applyAlignment="1">
      <alignment horizontal="center" vertical="center"/>
    </xf>
    <xf numFmtId="0" fontId="0" fillId="8" borderId="1" xfId="0" applyFont="1" applyFill="1" applyBorder="1" applyAlignment="1">
      <alignment horizontal="center" vertical="center"/>
    </xf>
    <xf numFmtId="43" fontId="0" fillId="8" borderId="4" xfId="1" applyFont="1" applyFill="1" applyBorder="1" applyAlignment="1">
      <alignment vertical="center"/>
    </xf>
    <xf numFmtId="2" fontId="0" fillId="8" borderId="4" xfId="1" applyNumberFormat="1" applyFont="1" applyFill="1" applyBorder="1" applyAlignment="1">
      <alignment vertical="center"/>
    </xf>
    <xf numFmtId="43" fontId="3" fillId="8" borderId="2" xfId="1" applyFont="1" applyFill="1" applyBorder="1" applyAlignment="1">
      <alignment vertical="center"/>
    </xf>
    <xf numFmtId="43" fontId="0" fillId="0" borderId="19" xfId="1" applyFont="1" applyBorder="1" applyAlignment="1">
      <alignment vertical="center"/>
    </xf>
    <xf numFmtId="43" fontId="0" fillId="0" borderId="20" xfId="1" applyFont="1" applyBorder="1" applyAlignment="1">
      <alignment vertical="center"/>
    </xf>
    <xf numFmtId="1" fontId="2" fillId="4" borderId="1" xfId="0" applyNumberFormat="1" applyFont="1" applyFill="1" applyBorder="1" applyAlignment="1">
      <alignment horizontal="left" vertical="center"/>
    </xf>
    <xf numFmtId="43" fontId="2" fillId="4" borderId="4" xfId="1" applyFont="1" applyFill="1" applyBorder="1" applyAlignment="1">
      <alignment vertical="center"/>
    </xf>
    <xf numFmtId="1" fontId="3" fillId="0" borderId="9" xfId="0" applyNumberFormat="1" applyFont="1" applyBorder="1" applyAlignment="1">
      <alignment horizontal="left" vertical="center"/>
    </xf>
    <xf numFmtId="0" fontId="3" fillId="0" borderId="0" xfId="0" applyFont="1" applyBorder="1" applyAlignment="1">
      <alignment vertical="center"/>
    </xf>
    <xf numFmtId="43" fontId="3" fillId="0" borderId="0" xfId="1" applyFont="1" applyBorder="1" applyAlignment="1">
      <alignment vertical="center"/>
    </xf>
    <xf numFmtId="43" fontId="3" fillId="0" borderId="10" xfId="1" applyFont="1" applyBorder="1" applyAlignment="1">
      <alignment vertical="center"/>
    </xf>
    <xf numFmtId="43" fontId="0" fillId="0" borderId="21" xfId="1" applyFont="1" applyBorder="1" applyAlignment="1">
      <alignment vertical="center"/>
    </xf>
    <xf numFmtId="0" fontId="3" fillId="8" borderId="1" xfId="0" applyFont="1" applyFill="1" applyBorder="1" applyAlignment="1">
      <alignment horizontal="left" vertical="center"/>
    </xf>
    <xf numFmtId="0" fontId="15" fillId="0" borderId="21" xfId="0" applyFont="1" applyBorder="1" applyAlignment="1">
      <alignment horizontal="center" vertical="center"/>
    </xf>
    <xf numFmtId="43" fontId="15" fillId="0" borderId="21" xfId="1" applyFont="1" applyBorder="1" applyAlignment="1">
      <alignment vertical="center"/>
    </xf>
    <xf numFmtId="0" fontId="15" fillId="0" borderId="20" xfId="0" applyFont="1" applyBorder="1" applyAlignment="1">
      <alignment horizontal="center" vertical="center"/>
    </xf>
    <xf numFmtId="43" fontId="15" fillId="0" borderId="20" xfId="1" applyFont="1" applyBorder="1" applyAlignment="1">
      <alignment vertical="center"/>
    </xf>
    <xf numFmtId="0" fontId="0" fillId="0" borderId="5" xfId="0" applyFont="1" applyBorder="1" applyAlignment="1">
      <alignment horizontal="center" vertical="center"/>
    </xf>
    <xf numFmtId="43" fontId="0" fillId="0" borderId="19" xfId="1" applyFont="1" applyBorder="1" applyAlignment="1">
      <alignment horizontal="center" vertical="center"/>
    </xf>
    <xf numFmtId="0" fontId="0" fillId="2" borderId="7" xfId="0" applyFill="1" applyBorder="1" applyAlignment="1">
      <alignment vertical="center" wrapText="1"/>
    </xf>
    <xf numFmtId="0" fontId="0" fillId="2" borderId="0" xfId="0" applyFill="1" applyBorder="1" applyAlignment="1">
      <alignment vertical="center" wrapText="1"/>
    </xf>
    <xf numFmtId="0" fontId="0" fillId="0" borderId="0" xfId="0" applyAlignment="1">
      <alignment wrapText="1"/>
    </xf>
    <xf numFmtId="0" fontId="8" fillId="7" borderId="4" xfId="0" applyFont="1" applyFill="1" applyBorder="1" applyAlignment="1">
      <alignment horizontal="center" vertical="center" wrapText="1"/>
    </xf>
    <xf numFmtId="0" fontId="3" fillId="8" borderId="4" xfId="0" applyFont="1" applyFill="1" applyBorder="1" applyAlignment="1">
      <alignment vertical="center" wrapText="1"/>
    </xf>
    <xf numFmtId="0" fontId="0" fillId="0" borderId="5" xfId="0" applyFont="1" applyBorder="1" applyAlignment="1">
      <alignment vertical="center" wrapText="1"/>
    </xf>
    <xf numFmtId="0" fontId="2" fillId="4" borderId="4" xfId="0" applyFont="1" applyFill="1" applyBorder="1" applyAlignment="1">
      <alignment vertical="center" wrapText="1"/>
    </xf>
    <xf numFmtId="0" fontId="5" fillId="2" borderId="9" xfId="0" quotePrefix="1" applyFont="1" applyFill="1" applyBorder="1" applyAlignment="1">
      <alignment vertical="top" wrapText="1"/>
    </xf>
    <xf numFmtId="0" fontId="5" fillId="2" borderId="12" xfId="0" quotePrefix="1" applyFont="1" applyFill="1" applyBorder="1" applyAlignment="1">
      <alignment vertical="top" wrapText="1"/>
    </xf>
    <xf numFmtId="0" fontId="3" fillId="2" borderId="0" xfId="0" applyFont="1" applyFill="1" applyBorder="1" applyAlignment="1">
      <alignment horizontal="center" vertical="center"/>
    </xf>
    <xf numFmtId="0" fontId="21" fillId="2" borderId="3" xfId="0" applyFont="1" applyFill="1" applyBorder="1" applyAlignment="1">
      <alignment horizontal="left" vertical="center"/>
    </xf>
    <xf numFmtId="0" fontId="3" fillId="2" borderId="1" xfId="0" applyFont="1" applyFill="1" applyBorder="1" applyAlignment="1">
      <alignment horizontal="center" vertical="center"/>
    </xf>
    <xf numFmtId="0" fontId="2" fillId="4" borderId="4" xfId="0" applyFont="1" applyFill="1" applyBorder="1" applyAlignment="1">
      <alignment horizontal="left" vertical="center" wrapText="1"/>
    </xf>
    <xf numFmtId="43" fontId="28" fillId="4" borderId="2" xfId="0" applyNumberFormat="1" applyFont="1" applyFill="1" applyBorder="1" applyAlignment="1">
      <alignment horizontal="left" vertical="center"/>
    </xf>
    <xf numFmtId="0" fontId="2" fillId="4" borderId="1" xfId="0" applyFont="1" applyFill="1" applyBorder="1" applyAlignment="1">
      <alignment horizontal="left" vertical="center"/>
    </xf>
    <xf numFmtId="43" fontId="21" fillId="2" borderId="3" xfId="0" applyNumberFormat="1" applyFont="1" applyFill="1" applyBorder="1" applyAlignment="1">
      <alignment horizontal="left" vertical="center"/>
    </xf>
    <xf numFmtId="0" fontId="3" fillId="2" borderId="7" xfId="0" applyFont="1" applyFill="1" applyBorder="1" applyAlignment="1">
      <alignment horizontal="center" vertical="center"/>
    </xf>
    <xf numFmtId="0" fontId="5" fillId="2" borderId="0" xfId="0" applyFont="1" applyFill="1" applyBorder="1" applyAlignment="1">
      <alignment horizontal="center" vertical="center"/>
    </xf>
    <xf numFmtId="0" fontId="2" fillId="4" borderId="4" xfId="0" applyFont="1" applyFill="1" applyBorder="1" applyAlignment="1">
      <alignment horizontal="left" vertical="center"/>
    </xf>
    <xf numFmtId="0" fontId="8" fillId="7" borderId="4" xfId="0" applyFont="1" applyFill="1" applyBorder="1" applyAlignment="1">
      <alignment horizontal="left" vertical="center"/>
    </xf>
    <xf numFmtId="0" fontId="0" fillId="8" borderId="4" xfId="0" applyFont="1" applyFill="1" applyBorder="1" applyAlignment="1">
      <alignment horizontal="center" vertical="center"/>
    </xf>
    <xf numFmtId="1" fontId="2" fillId="4" borderId="4" xfId="0" applyNumberFormat="1" applyFont="1" applyFill="1" applyBorder="1" applyAlignment="1">
      <alignment horizontal="left" vertical="center"/>
    </xf>
    <xf numFmtId="1" fontId="3" fillId="0" borderId="0" xfId="0" applyNumberFormat="1" applyFont="1" applyBorder="1" applyAlignment="1">
      <alignment horizontal="left" vertical="center"/>
    </xf>
    <xf numFmtId="0" fontId="0" fillId="0" borderId="20" xfId="0" applyFont="1" applyBorder="1" applyAlignment="1">
      <alignment horizontal="center" vertical="center"/>
    </xf>
    <xf numFmtId="0" fontId="3" fillId="8" borderId="4" xfId="0" applyFont="1" applyFill="1" applyBorder="1" applyAlignment="1">
      <alignment horizontal="left" vertical="center"/>
    </xf>
    <xf numFmtId="0" fontId="5" fillId="2" borderId="0" xfId="0" quotePrefix="1" applyFont="1" applyFill="1" applyBorder="1" applyAlignment="1">
      <alignment horizontal="center" vertical="top" wrapText="1"/>
    </xf>
    <xf numFmtId="0" fontId="5" fillId="2" borderId="11" xfId="0" quotePrefix="1" applyFont="1" applyFill="1" applyBorder="1" applyAlignment="1">
      <alignment horizontal="center" vertical="top" wrapText="1"/>
    </xf>
    <xf numFmtId="0" fontId="19" fillId="2" borderId="9" xfId="2" applyFont="1" applyFill="1" applyBorder="1" applyAlignment="1">
      <alignment vertical="center"/>
    </xf>
    <xf numFmtId="0" fontId="19" fillId="2" borderId="12" xfId="2" applyFont="1" applyFill="1" applyBorder="1" applyAlignment="1">
      <alignment vertical="center"/>
    </xf>
    <xf numFmtId="17" fontId="10" fillId="2" borderId="0" xfId="0" applyNumberFormat="1" applyFont="1" applyFill="1" applyBorder="1" applyAlignment="1">
      <alignment horizontal="left" vertical="center"/>
    </xf>
    <xf numFmtId="0" fontId="0" fillId="9" borderId="1" xfId="0" applyFill="1" applyBorder="1"/>
    <xf numFmtId="0" fontId="0" fillId="9" borderId="4" xfId="0" applyFill="1" applyBorder="1"/>
    <xf numFmtId="0" fontId="0" fillId="9" borderId="2" xfId="0" applyFill="1" applyBorder="1"/>
    <xf numFmtId="164" fontId="0" fillId="0" borderId="0" xfId="0" applyNumberFormat="1" applyBorder="1" applyAlignment="1">
      <alignment horizontal="center" vertical="center"/>
    </xf>
    <xf numFmtId="43" fontId="0" fillId="0" borderId="0" xfId="0" applyNumberFormat="1"/>
    <xf numFmtId="0" fontId="0" fillId="0" borderId="0" xfId="0" applyAlignment="1">
      <alignment horizontal="left" vertical="center"/>
    </xf>
    <xf numFmtId="0" fontId="0" fillId="0" borderId="0" xfId="0" applyNumberFormat="1" applyAlignment="1">
      <alignment horizontal="left" vertical="center"/>
    </xf>
    <xf numFmtId="0" fontId="3" fillId="0" borderId="0" xfId="0" applyFont="1" applyAlignment="1">
      <alignment horizontal="left" vertical="center" wrapText="1"/>
    </xf>
    <xf numFmtId="43" fontId="0" fillId="0" borderId="0" xfId="1" applyFont="1" applyAlignment="1">
      <alignment horizontal="left" vertical="center"/>
    </xf>
    <xf numFmtId="0" fontId="0" fillId="0" borderId="0" xfId="0" applyAlignment="1">
      <alignment horizontal="left" vertical="center" wrapText="1"/>
    </xf>
    <xf numFmtId="43" fontId="0" fillId="0" borderId="0" xfId="0" applyNumberFormat="1" applyAlignment="1">
      <alignment horizontal="left" vertical="center"/>
    </xf>
    <xf numFmtId="0" fontId="3" fillId="7" borderId="0" xfId="0" applyFont="1" applyFill="1" applyAlignment="1">
      <alignment horizontal="left" vertical="center"/>
    </xf>
    <xf numFmtId="0" fontId="0" fillId="7" borderId="0" xfId="0" applyNumberFormat="1" applyFill="1" applyAlignment="1">
      <alignment horizontal="left" vertical="center"/>
    </xf>
    <xf numFmtId="0" fontId="0" fillId="7" borderId="0" xfId="0" applyNumberFormat="1" applyFill="1" applyAlignment="1">
      <alignment horizontal="left" vertical="center" wrapText="1"/>
    </xf>
    <xf numFmtId="0" fontId="0" fillId="7" borderId="0" xfId="0" applyFill="1" applyAlignment="1">
      <alignment horizontal="left" vertical="center" wrapText="1"/>
    </xf>
    <xf numFmtId="0" fontId="0" fillId="7" borderId="0" xfId="0" applyFill="1" applyAlignment="1">
      <alignment horizontal="left" vertical="center"/>
    </xf>
    <xf numFmtId="43" fontId="0" fillId="7" borderId="0" xfId="1" applyFont="1" applyFill="1" applyAlignment="1">
      <alignment horizontal="left" vertical="center"/>
    </xf>
    <xf numFmtId="0" fontId="30" fillId="0" borderId="0" xfId="0" applyFont="1" applyAlignment="1">
      <alignment horizontal="left" vertical="center" wrapText="1"/>
    </xf>
    <xf numFmtId="0" fontId="0" fillId="0" borderId="0" xfId="0" quotePrefix="1" applyNumberFormat="1" applyAlignment="1">
      <alignment horizontal="left" vertical="center"/>
    </xf>
    <xf numFmtId="0" fontId="3" fillId="2" borderId="1" xfId="0" applyFont="1" applyFill="1" applyBorder="1" applyAlignment="1">
      <alignment horizontal="left" vertical="top"/>
    </xf>
    <xf numFmtId="0" fontId="0" fillId="0" borderId="5" xfId="0" applyFill="1" applyBorder="1" applyAlignment="1">
      <alignment vertical="center" wrapText="1"/>
    </xf>
    <xf numFmtId="0" fontId="0" fillId="0" borderId="5" xfId="0" applyNumberFormat="1" applyBorder="1" applyAlignment="1">
      <alignment horizontal="center" vertical="center"/>
    </xf>
    <xf numFmtId="0" fontId="0" fillId="0" borderId="5" xfId="0" applyFill="1" applyBorder="1" applyAlignment="1">
      <alignment horizontal="center" vertical="center"/>
    </xf>
    <xf numFmtId="164" fontId="0" fillId="0" borderId="5" xfId="0" applyNumberFormat="1" applyFill="1" applyBorder="1" applyAlignment="1">
      <alignment horizontal="center" vertical="center"/>
    </xf>
    <xf numFmtId="0" fontId="0" fillId="0" borderId="5" xfId="0" applyNumberFormat="1" applyFill="1" applyBorder="1" applyAlignment="1">
      <alignment horizontal="center" vertical="center"/>
    </xf>
    <xf numFmtId="2" fontId="15" fillId="0" borderId="11" xfId="1" applyNumberFormat="1" applyFont="1" applyBorder="1" applyAlignment="1">
      <alignment horizontal="center" vertical="center"/>
    </xf>
    <xf numFmtId="0" fontId="5" fillId="2" borderId="6" xfId="0" quotePrefix="1" applyFont="1" applyFill="1" applyBorder="1" applyAlignment="1">
      <alignment vertical="top" wrapText="1"/>
    </xf>
    <xf numFmtId="0" fontId="5" fillId="2" borderId="7" xfId="0" quotePrefix="1" applyFont="1" applyFill="1" applyBorder="1" applyAlignment="1">
      <alignment horizontal="center" vertical="top" wrapText="1"/>
    </xf>
    <xf numFmtId="9" fontId="0" fillId="0" borderId="0" xfId="0" applyNumberFormat="1" applyAlignment="1">
      <alignment horizontal="center" vertical="center"/>
    </xf>
    <xf numFmtId="43" fontId="3" fillId="0" borderId="0" xfId="0" applyNumberFormat="1" applyFont="1"/>
    <xf numFmtId="0" fontId="3" fillId="0" borderId="0" xfId="0" applyFont="1" applyAlignment="1">
      <alignment horizontal="center" vertical="center"/>
    </xf>
    <xf numFmtId="0" fontId="3" fillId="2" borderId="22" xfId="0" applyFont="1" applyFill="1" applyBorder="1" applyAlignment="1">
      <alignment horizontal="center" vertical="center"/>
    </xf>
    <xf numFmtId="0" fontId="14" fillId="0" borderId="26" xfId="0" applyFont="1" applyFill="1" applyBorder="1" applyAlignment="1">
      <alignment vertical="center"/>
    </xf>
    <xf numFmtId="0" fontId="0" fillId="2" borderId="26" xfId="0" applyFill="1" applyBorder="1" applyAlignment="1">
      <alignment vertical="center"/>
    </xf>
    <xf numFmtId="0" fontId="7" fillId="2" borderId="23" xfId="0" applyFont="1" applyFill="1" applyBorder="1" applyAlignment="1">
      <alignment vertical="center" wrapText="1"/>
    </xf>
    <xf numFmtId="43" fontId="7" fillId="3" borderId="3" xfId="1" applyFont="1" applyFill="1" applyBorder="1" applyAlignment="1">
      <alignment vertical="center" wrapText="1"/>
    </xf>
    <xf numFmtId="0" fontId="3" fillId="3" borderId="32" xfId="0" applyFont="1" applyFill="1" applyBorder="1" applyAlignment="1">
      <alignment horizontal="center" vertical="center"/>
    </xf>
    <xf numFmtId="0" fontId="14" fillId="3" borderId="33" xfId="0" applyFont="1" applyFill="1" applyBorder="1" applyAlignment="1">
      <alignment vertical="center"/>
    </xf>
    <xf numFmtId="0" fontId="0" fillId="3" borderId="33" xfId="0" applyFill="1" applyBorder="1" applyAlignment="1">
      <alignment vertical="center"/>
    </xf>
    <xf numFmtId="0" fontId="7" fillId="3" borderId="34" xfId="0" applyFont="1" applyFill="1" applyBorder="1" applyAlignment="1">
      <alignment vertical="center" wrapText="1"/>
    </xf>
    <xf numFmtId="0" fontId="3" fillId="3" borderId="6" xfId="0" applyFont="1" applyFill="1" applyBorder="1" applyAlignment="1">
      <alignment horizontal="center" vertical="center"/>
    </xf>
    <xf numFmtId="0" fontId="14" fillId="3" borderId="7" xfId="0" applyFont="1" applyFill="1" applyBorder="1" applyAlignment="1">
      <alignment vertical="center"/>
    </xf>
    <xf numFmtId="0" fontId="0" fillId="3" borderId="7" xfId="0" applyFill="1" applyBorder="1" applyAlignment="1">
      <alignment vertical="center"/>
    </xf>
    <xf numFmtId="0" fontId="7" fillId="3" borderId="8" xfId="0" applyFont="1" applyFill="1" applyBorder="1" applyAlignment="1">
      <alignment vertical="center" wrapText="1"/>
    </xf>
    <xf numFmtId="43" fontId="7" fillId="3" borderId="16" xfId="1" applyFont="1" applyFill="1" applyBorder="1" applyAlignment="1">
      <alignment vertical="center" wrapText="1"/>
    </xf>
    <xf numFmtId="43" fontId="7" fillId="3" borderId="16" xfId="0" applyNumberFormat="1" applyFont="1" applyFill="1" applyBorder="1" applyAlignment="1">
      <alignment vertical="center" wrapText="1"/>
    </xf>
    <xf numFmtId="0" fontId="14" fillId="2" borderId="4" xfId="0" applyFont="1" applyFill="1" applyBorder="1" applyAlignment="1">
      <alignment vertical="center"/>
    </xf>
    <xf numFmtId="0" fontId="0" fillId="2" borderId="4" xfId="0" applyFill="1" applyBorder="1" applyAlignment="1">
      <alignment vertical="center"/>
    </xf>
    <xf numFmtId="0" fontId="7" fillId="2" borderId="4" xfId="0" applyFont="1" applyFill="1" applyBorder="1" applyAlignment="1">
      <alignment vertical="center" wrapText="1"/>
    </xf>
    <xf numFmtId="43" fontId="7" fillId="2" borderId="4" xfId="1" applyFont="1" applyFill="1" applyBorder="1" applyAlignment="1">
      <alignment vertical="center" wrapText="1"/>
    </xf>
    <xf numFmtId="43" fontId="7" fillId="2" borderId="4" xfId="0" applyNumberFormat="1" applyFont="1" applyFill="1" applyBorder="1" applyAlignment="1">
      <alignment vertical="center" wrapText="1"/>
    </xf>
    <xf numFmtId="43" fontId="7" fillId="3" borderId="21" xfId="1" applyFont="1" applyFill="1" applyBorder="1" applyAlignment="1">
      <alignment vertical="center" wrapText="1"/>
    </xf>
    <xf numFmtId="43" fontId="7" fillId="2" borderId="5" xfId="1" applyFont="1" applyFill="1" applyBorder="1" applyAlignment="1">
      <alignment vertical="center" wrapText="1"/>
    </xf>
    <xf numFmtId="43" fontId="7" fillId="2" borderId="28" xfId="1" applyFont="1" applyFill="1" applyBorder="1" applyAlignment="1">
      <alignment vertical="center" wrapText="1"/>
    </xf>
    <xf numFmtId="0" fontId="3" fillId="3" borderId="29" xfId="0" applyFont="1" applyFill="1" applyBorder="1" applyAlignment="1">
      <alignment horizontal="center" vertical="center"/>
    </xf>
    <xf numFmtId="0" fontId="14" fillId="3" borderId="30" xfId="0" applyFont="1" applyFill="1" applyBorder="1" applyAlignment="1">
      <alignment vertical="center"/>
    </xf>
    <xf numFmtId="0" fontId="0" fillId="3" borderId="30" xfId="0" applyFill="1" applyBorder="1" applyAlignment="1">
      <alignment vertical="center"/>
    </xf>
    <xf numFmtId="0" fontId="7" fillId="3" borderId="31" xfId="0" applyFont="1" applyFill="1" applyBorder="1" applyAlignment="1">
      <alignment vertical="center" wrapText="1"/>
    </xf>
    <xf numFmtId="0" fontId="2" fillId="4" borderId="29" xfId="0" applyFont="1" applyFill="1" applyBorder="1" applyAlignment="1">
      <alignment horizontal="center" vertical="center"/>
    </xf>
    <xf numFmtId="0" fontId="2" fillId="4" borderId="30" xfId="0" applyFont="1" applyFill="1" applyBorder="1" applyAlignment="1">
      <alignment vertical="center"/>
    </xf>
    <xf numFmtId="0" fontId="4" fillId="4" borderId="30" xfId="0" applyFont="1" applyFill="1" applyBorder="1" applyAlignment="1">
      <alignment vertical="center"/>
    </xf>
    <xf numFmtId="0" fontId="11" fillId="4" borderId="31" xfId="0" applyFont="1" applyFill="1" applyBorder="1" applyAlignment="1">
      <alignment vertical="center" wrapText="1"/>
    </xf>
    <xf numFmtId="43" fontId="11" fillId="4" borderId="3" xfId="1" applyFont="1" applyFill="1" applyBorder="1" applyAlignment="1">
      <alignment vertical="center" wrapText="1"/>
    </xf>
    <xf numFmtId="43" fontId="7" fillId="3" borderId="5" xfId="1" applyFont="1" applyFill="1" applyBorder="1" applyAlignment="1">
      <alignment vertical="center" wrapText="1"/>
    </xf>
    <xf numFmtId="0" fontId="7" fillId="2" borderId="3" xfId="0" applyFont="1" applyFill="1" applyBorder="1" applyAlignment="1">
      <alignment horizontal="center" vertical="center" wrapText="1"/>
    </xf>
    <xf numFmtId="10" fontId="7" fillId="3" borderId="16" xfId="5" applyNumberFormat="1" applyFont="1" applyFill="1" applyBorder="1" applyAlignment="1">
      <alignment vertical="center" wrapText="1"/>
    </xf>
    <xf numFmtId="10" fontId="7" fillId="2" borderId="5" xfId="1" applyNumberFormat="1" applyFont="1" applyFill="1" applyBorder="1" applyAlignment="1">
      <alignment vertical="center" wrapText="1"/>
    </xf>
    <xf numFmtId="10" fontId="7" fillId="2" borderId="19" xfId="1" applyNumberFormat="1" applyFont="1" applyFill="1" applyBorder="1" applyAlignment="1">
      <alignment vertical="center" wrapText="1"/>
    </xf>
    <xf numFmtId="10" fontId="7" fillId="3" borderId="17" xfId="1" applyNumberFormat="1" applyFont="1" applyFill="1" applyBorder="1" applyAlignment="1">
      <alignment vertical="center" wrapText="1"/>
    </xf>
    <xf numFmtId="0" fontId="13" fillId="2" borderId="0" xfId="0" applyFont="1" applyFill="1" applyBorder="1" applyAlignment="1">
      <alignment vertical="center"/>
    </xf>
    <xf numFmtId="0" fontId="5" fillId="2" borderId="0" xfId="0" applyFont="1" applyFill="1" applyBorder="1" applyAlignment="1"/>
    <xf numFmtId="0" fontId="6" fillId="2" borderId="0" xfId="0" applyFont="1" applyFill="1" applyBorder="1" applyAlignment="1"/>
    <xf numFmtId="0" fontId="16" fillId="2" borderId="0" xfId="0" applyFont="1" applyFill="1" applyBorder="1" applyAlignment="1"/>
    <xf numFmtId="0" fontId="9" fillId="2" borderId="0" xfId="0" applyFont="1" applyFill="1" applyBorder="1" applyAlignment="1">
      <alignment vertical="center"/>
    </xf>
    <xf numFmtId="0" fontId="7" fillId="3" borderId="18" xfId="0" applyFont="1" applyFill="1" applyBorder="1" applyAlignment="1">
      <alignment horizontal="center" vertical="center" wrapText="1"/>
    </xf>
    <xf numFmtId="0" fontId="7" fillId="2" borderId="11" xfId="0" applyFont="1" applyFill="1" applyBorder="1" applyAlignment="1">
      <alignment vertical="center" wrapText="1"/>
    </xf>
    <xf numFmtId="0" fontId="7" fillId="2" borderId="13" xfId="0" applyFont="1" applyFill="1" applyBorder="1" applyAlignment="1">
      <alignment vertical="center" wrapText="1"/>
    </xf>
    <xf numFmtId="0" fontId="7" fillId="2" borderId="10" xfId="0" applyFont="1" applyFill="1" applyBorder="1" applyAlignment="1">
      <alignment vertical="center" wrapText="1"/>
    </xf>
    <xf numFmtId="0" fontId="9" fillId="2" borderId="8" xfId="0" applyFont="1" applyFill="1" applyBorder="1" applyAlignment="1">
      <alignment vertical="center"/>
    </xf>
    <xf numFmtId="0" fontId="9" fillId="2" borderId="10" xfId="0" applyFont="1" applyFill="1" applyBorder="1" applyAlignment="1">
      <alignment vertical="center"/>
    </xf>
    <xf numFmtId="0" fontId="13" fillId="2" borderId="10" xfId="0" applyFont="1" applyFill="1" applyBorder="1" applyAlignment="1">
      <alignment vertical="center"/>
    </xf>
    <xf numFmtId="0" fontId="5" fillId="2" borderId="10" xfId="0" applyFont="1" applyFill="1" applyBorder="1" applyAlignment="1"/>
    <xf numFmtId="0" fontId="6" fillId="2" borderId="10" xfId="0" applyFont="1" applyFill="1" applyBorder="1" applyAlignment="1"/>
    <xf numFmtId="0" fontId="16" fillId="2" borderId="10" xfId="0" applyFont="1" applyFill="1" applyBorder="1" applyAlignment="1"/>
    <xf numFmtId="0" fontId="13" fillId="2" borderId="11" xfId="0" applyFont="1" applyFill="1" applyBorder="1" applyAlignment="1">
      <alignment vertical="center"/>
    </xf>
    <xf numFmtId="0" fontId="13" fillId="2" borderId="13" xfId="0" applyFont="1" applyFill="1" applyBorder="1" applyAlignment="1">
      <alignment vertical="center"/>
    </xf>
    <xf numFmtId="0" fontId="7" fillId="2" borderId="8" xfId="0" applyFont="1" applyFill="1" applyBorder="1" applyAlignment="1">
      <alignment vertical="center" wrapText="1"/>
    </xf>
    <xf numFmtId="0" fontId="7" fillId="2" borderId="7" xfId="0" applyFont="1" applyFill="1" applyBorder="1" applyAlignment="1">
      <alignment vertical="center" wrapText="1"/>
    </xf>
    <xf numFmtId="10" fontId="7" fillId="3" borderId="16" xfId="5" applyNumberFormat="1" applyFont="1" applyFill="1" applyBorder="1" applyAlignment="1">
      <alignment horizontal="center" vertical="center" wrapText="1"/>
    </xf>
    <xf numFmtId="10" fontId="7" fillId="2" borderId="4" xfId="0" applyNumberFormat="1" applyFont="1" applyFill="1" applyBorder="1" applyAlignment="1">
      <alignment horizontal="center" vertical="center" wrapText="1"/>
    </xf>
    <xf numFmtId="10" fontId="7" fillId="3" borderId="21" xfId="5" applyNumberFormat="1" applyFont="1" applyFill="1" applyBorder="1" applyAlignment="1">
      <alignment horizontal="center" vertical="center" wrapText="1"/>
    </xf>
    <xf numFmtId="10" fontId="7" fillId="2" borderId="5" xfId="1" applyNumberFormat="1" applyFont="1" applyFill="1" applyBorder="1" applyAlignment="1">
      <alignment horizontal="center" vertical="center" wrapText="1"/>
    </xf>
    <xf numFmtId="43" fontId="12" fillId="3" borderId="16" xfId="0" applyNumberFormat="1" applyFont="1" applyFill="1" applyBorder="1" applyAlignment="1">
      <alignment horizontal="center" vertical="center" wrapText="1"/>
    </xf>
    <xf numFmtId="0" fontId="12" fillId="2" borderId="4" xfId="0" applyFont="1" applyFill="1" applyBorder="1" applyAlignment="1">
      <alignment vertical="center" wrapText="1"/>
    </xf>
    <xf numFmtId="43" fontId="12" fillId="3" borderId="21" xfId="0" applyNumberFormat="1" applyFont="1" applyFill="1" applyBorder="1" applyAlignment="1">
      <alignment vertical="center" wrapText="1"/>
    </xf>
    <xf numFmtId="43" fontId="12" fillId="2" borderId="5" xfId="1" applyFont="1" applyFill="1" applyBorder="1" applyAlignment="1">
      <alignment vertical="center" wrapText="1"/>
    </xf>
    <xf numFmtId="43" fontId="12" fillId="2" borderId="28" xfId="1" applyFont="1" applyFill="1" applyBorder="1" applyAlignment="1">
      <alignment vertical="center" wrapText="1"/>
    </xf>
    <xf numFmtId="43" fontId="12" fillId="3" borderId="3" xfId="0" applyNumberFormat="1" applyFont="1" applyFill="1" applyBorder="1" applyAlignment="1">
      <alignment vertical="center" wrapText="1"/>
    </xf>
    <xf numFmtId="10" fontId="11" fillId="4" borderId="3" xfId="1" applyNumberFormat="1" applyFont="1" applyFill="1" applyBorder="1" applyAlignment="1">
      <alignment vertical="center" wrapText="1"/>
    </xf>
    <xf numFmtId="10" fontId="11" fillId="4" borderId="3" xfId="5" applyNumberFormat="1" applyFont="1" applyFill="1" applyBorder="1" applyAlignment="1">
      <alignment horizontal="center" vertical="center" wrapText="1"/>
    </xf>
    <xf numFmtId="0" fontId="3" fillId="0" borderId="6" xfId="0" applyFont="1" applyBorder="1" applyAlignment="1">
      <alignment horizontal="center" vertical="center"/>
    </xf>
    <xf numFmtId="0" fontId="0" fillId="0" borderId="7" xfId="0" applyBorder="1" applyAlignment="1">
      <alignment vertical="center"/>
    </xf>
    <xf numFmtId="43" fontId="32" fillId="3" borderId="16" xfId="1" applyFont="1" applyFill="1" applyBorder="1" applyAlignment="1">
      <alignment horizontal="center" vertical="center" wrapText="1"/>
    </xf>
    <xf numFmtId="0" fontId="32" fillId="2" borderId="4" xfId="0" applyFont="1" applyFill="1" applyBorder="1" applyAlignment="1">
      <alignment vertical="center" wrapText="1"/>
    </xf>
    <xf numFmtId="43" fontId="32" fillId="3" borderId="21" xfId="0" applyNumberFormat="1" applyFont="1" applyFill="1" applyBorder="1" applyAlignment="1">
      <alignment vertical="center" wrapText="1"/>
    </xf>
    <xf numFmtId="43" fontId="32" fillId="2" borderId="5" xfId="1" applyFont="1" applyFill="1" applyBorder="1" applyAlignment="1">
      <alignment vertical="center" wrapText="1"/>
    </xf>
    <xf numFmtId="43" fontId="32" fillId="3" borderId="3" xfId="0" applyNumberFormat="1" applyFont="1" applyFill="1" applyBorder="1" applyAlignment="1">
      <alignment vertical="center" wrapText="1"/>
    </xf>
    <xf numFmtId="0" fontId="33" fillId="2" borderId="4" xfId="0" applyFont="1" applyFill="1" applyBorder="1" applyAlignment="1">
      <alignment vertical="center" wrapText="1"/>
    </xf>
    <xf numFmtId="43" fontId="33" fillId="4" borderId="3" xfId="1" applyFont="1" applyFill="1" applyBorder="1" applyAlignment="1">
      <alignment vertical="center" wrapText="1"/>
    </xf>
    <xf numFmtId="43" fontId="32" fillId="3" borderId="16" xfId="0" applyNumberFormat="1" applyFont="1" applyFill="1" applyBorder="1" applyAlignment="1">
      <alignment horizontal="center" vertical="center" wrapText="1"/>
    </xf>
    <xf numFmtId="43" fontId="32" fillId="3" borderId="3" xfId="1" applyFont="1" applyFill="1" applyBorder="1" applyAlignment="1">
      <alignment vertical="center" wrapText="1"/>
    </xf>
    <xf numFmtId="43" fontId="0" fillId="0" borderId="0" xfId="0" applyNumberFormat="1" applyAlignment="1">
      <alignment vertical="center"/>
    </xf>
    <xf numFmtId="43" fontId="0" fillId="0" borderId="3" xfId="1" applyFont="1" applyFill="1" applyBorder="1" applyAlignment="1">
      <alignment vertical="center"/>
    </xf>
    <xf numFmtId="43" fontId="15" fillId="0" borderId="3" xfId="1" applyFont="1" applyFill="1" applyBorder="1" applyAlignment="1">
      <alignment vertical="center"/>
    </xf>
    <xf numFmtId="0" fontId="3" fillId="6" borderId="1" xfId="0" applyFont="1" applyFill="1" applyBorder="1" applyAlignment="1">
      <alignment horizontal="center" vertical="center"/>
    </xf>
    <xf numFmtId="43" fontId="34" fillId="0" borderId="35" xfId="1" applyNumberFormat="1" applyFont="1" applyBorder="1" applyAlignment="1">
      <alignment vertical="center"/>
    </xf>
    <xf numFmtId="0" fontId="34" fillId="0" borderId="35" xfId="0" applyFont="1" applyBorder="1" applyAlignment="1">
      <alignment vertical="center" wrapText="1"/>
    </xf>
    <xf numFmtId="0" fontId="34" fillId="0" borderId="35" xfId="0" applyFont="1" applyBorder="1" applyAlignment="1">
      <alignment horizontal="center" vertical="center"/>
    </xf>
    <xf numFmtId="0" fontId="35" fillId="0" borderId="35" xfId="0" applyFont="1" applyBorder="1" applyAlignment="1">
      <alignment vertical="center"/>
    </xf>
    <xf numFmtId="0" fontId="7" fillId="2" borderId="3" xfId="0" applyFont="1" applyFill="1" applyBorder="1" applyAlignment="1">
      <alignment horizontal="center" vertical="center" wrapText="1"/>
    </xf>
    <xf numFmtId="0" fontId="3" fillId="0" borderId="0" xfId="0" applyFont="1" applyAlignment="1">
      <alignment horizontal="center" vertical="center"/>
    </xf>
    <xf numFmtId="0" fontId="7" fillId="2" borderId="3" xfId="0" applyFont="1" applyFill="1" applyBorder="1" applyAlignment="1">
      <alignment horizontal="center" vertical="center" wrapText="1"/>
    </xf>
    <xf numFmtId="0" fontId="3" fillId="0" borderId="0" xfId="0" applyFont="1" applyAlignment="1">
      <alignment horizontal="center" vertical="center"/>
    </xf>
    <xf numFmtId="43" fontId="7" fillId="2" borderId="19" xfId="1" applyFont="1" applyFill="1" applyBorder="1" applyAlignment="1">
      <alignment vertical="center" wrapText="1"/>
    </xf>
    <xf numFmtId="9" fontId="7" fillId="3" borderId="16" xfId="5" applyFont="1" applyFill="1" applyBorder="1" applyAlignment="1">
      <alignment vertical="center" wrapText="1"/>
    </xf>
    <xf numFmtId="10" fontId="0" fillId="0" borderId="7" xfId="0" applyNumberFormat="1" applyBorder="1" applyAlignment="1">
      <alignment vertical="center"/>
    </xf>
    <xf numFmtId="10" fontId="0" fillId="0" borderId="0" xfId="0" applyNumberFormat="1" applyAlignment="1">
      <alignment vertical="center"/>
    </xf>
    <xf numFmtId="9" fontId="0" fillId="2" borderId="8" xfId="0" applyNumberFormat="1" applyFill="1" applyBorder="1" applyAlignment="1">
      <alignment vertical="center"/>
    </xf>
    <xf numFmtId="9" fontId="8" fillId="2" borderId="10" xfId="0" applyNumberFormat="1" applyFont="1" applyFill="1" applyBorder="1" applyAlignment="1">
      <alignment horizontal="left"/>
    </xf>
    <xf numFmtId="9" fontId="8" fillId="2" borderId="10" xfId="0" applyNumberFormat="1" applyFont="1" applyFill="1" applyBorder="1" applyAlignment="1">
      <alignment horizontal="left" wrapText="1"/>
    </xf>
    <xf numFmtId="9" fontId="9" fillId="2" borderId="10" xfId="0" quotePrefix="1" applyNumberFormat="1" applyFont="1" applyFill="1" applyBorder="1" applyAlignment="1">
      <alignment horizontal="left"/>
    </xf>
    <xf numFmtId="9" fontId="10" fillId="2" borderId="10" xfId="0" applyNumberFormat="1" applyFont="1" applyFill="1" applyBorder="1" applyAlignment="1">
      <alignment horizontal="left" vertical="center"/>
    </xf>
    <xf numFmtId="9" fontId="7" fillId="2" borderId="13" xfId="0" applyNumberFormat="1" applyFont="1" applyFill="1" applyBorder="1" applyAlignment="1">
      <alignment vertical="center" wrapText="1"/>
    </xf>
    <xf numFmtId="9" fontId="7" fillId="3" borderId="18" xfId="0" applyNumberFormat="1" applyFont="1" applyFill="1" applyBorder="1" applyAlignment="1">
      <alignment horizontal="center" vertical="center" wrapText="1"/>
    </xf>
    <xf numFmtId="9" fontId="7" fillId="2" borderId="3" xfId="0" applyNumberFormat="1" applyFont="1" applyFill="1" applyBorder="1" applyAlignment="1">
      <alignment horizontal="center" vertical="center" wrapText="1"/>
    </xf>
    <xf numFmtId="9" fontId="7" fillId="3" borderId="16" xfId="1" applyNumberFormat="1" applyFont="1" applyFill="1" applyBorder="1" applyAlignment="1">
      <alignment horizontal="center" vertical="center" wrapText="1"/>
    </xf>
    <xf numFmtId="9" fontId="7" fillId="2" borderId="4" xfId="0" applyNumberFormat="1" applyFont="1" applyFill="1" applyBorder="1" applyAlignment="1">
      <alignment horizontal="center" vertical="center" wrapText="1"/>
    </xf>
    <xf numFmtId="9" fontId="7" fillId="2" borderId="5" xfId="1" applyNumberFormat="1" applyFont="1" applyFill="1" applyBorder="1" applyAlignment="1">
      <alignment horizontal="center" vertical="center" wrapText="1"/>
    </xf>
    <xf numFmtId="9" fontId="7" fillId="3" borderId="16" xfId="5" applyNumberFormat="1" applyFont="1" applyFill="1" applyBorder="1" applyAlignment="1">
      <alignment horizontal="center" vertical="center" wrapText="1"/>
    </xf>
    <xf numFmtId="9" fontId="7" fillId="2" borderId="8" xfId="0" applyNumberFormat="1" applyFont="1" applyFill="1" applyBorder="1" applyAlignment="1">
      <alignment vertical="center" wrapText="1"/>
    </xf>
    <xf numFmtId="9" fontId="11" fillId="4" borderId="3" xfId="5" applyNumberFormat="1" applyFont="1" applyFill="1" applyBorder="1" applyAlignment="1">
      <alignment horizontal="center" vertical="center" wrapText="1"/>
    </xf>
    <xf numFmtId="9" fontId="7" fillId="2" borderId="10" xfId="0" applyNumberFormat="1" applyFont="1" applyFill="1" applyBorder="1" applyAlignment="1">
      <alignment vertical="center" wrapText="1"/>
    </xf>
    <xf numFmtId="9" fontId="9" fillId="2" borderId="8" xfId="0" applyNumberFormat="1" applyFont="1" applyFill="1" applyBorder="1" applyAlignment="1">
      <alignment vertical="center"/>
    </xf>
    <xf numFmtId="9" fontId="9" fillId="2" borderId="10" xfId="0" applyNumberFormat="1" applyFont="1" applyFill="1" applyBorder="1" applyAlignment="1">
      <alignment vertical="center"/>
    </xf>
    <xf numFmtId="9" fontId="13" fillId="2" borderId="10" xfId="0" applyNumberFormat="1" applyFont="1" applyFill="1" applyBorder="1" applyAlignment="1">
      <alignment vertical="center"/>
    </xf>
    <xf numFmtId="9" fontId="5" fillId="2" borderId="10" xfId="0" applyNumberFormat="1" applyFont="1" applyFill="1" applyBorder="1" applyAlignment="1"/>
    <xf numFmtId="9" fontId="6" fillId="2" borderId="10" xfId="0" applyNumberFormat="1" applyFont="1" applyFill="1" applyBorder="1" applyAlignment="1"/>
    <xf numFmtId="9" fontId="16" fillId="2" borderId="10" xfId="0" applyNumberFormat="1" applyFont="1" applyFill="1" applyBorder="1" applyAlignment="1"/>
    <xf numFmtId="9" fontId="13" fillId="2" borderId="13" xfId="0" applyNumberFormat="1" applyFont="1" applyFill="1" applyBorder="1" applyAlignment="1">
      <alignment vertical="center"/>
    </xf>
    <xf numFmtId="9" fontId="0" fillId="0" borderId="7" xfId="0" applyNumberFormat="1" applyBorder="1" applyAlignment="1">
      <alignment vertical="center"/>
    </xf>
    <xf numFmtId="9" fontId="0" fillId="0" borderId="0" xfId="0" applyNumberFormat="1" applyAlignment="1">
      <alignment vertical="center"/>
    </xf>
    <xf numFmtId="43" fontId="36" fillId="10" borderId="16" xfId="1" applyFont="1" applyFill="1" applyBorder="1" applyAlignment="1">
      <alignment horizontal="center" vertical="center" wrapText="1"/>
    </xf>
    <xf numFmtId="43" fontId="36" fillId="10" borderId="16" xfId="0" applyNumberFormat="1" applyFont="1" applyFill="1" applyBorder="1" applyAlignment="1">
      <alignment horizontal="center" vertical="center" wrapText="1"/>
    </xf>
    <xf numFmtId="0" fontId="36" fillId="2" borderId="4" xfId="0" applyFont="1" applyFill="1" applyBorder="1" applyAlignment="1">
      <alignment vertical="center" wrapText="1"/>
    </xf>
    <xf numFmtId="43" fontId="36" fillId="2" borderId="5" xfId="1" applyFont="1" applyFill="1" applyBorder="1" applyAlignment="1">
      <alignment vertical="center" wrapText="1"/>
    </xf>
    <xf numFmtId="43" fontId="36" fillId="3" borderId="3" xfId="0" applyNumberFormat="1" applyFont="1" applyFill="1" applyBorder="1" applyAlignment="1">
      <alignment vertical="center" wrapText="1"/>
    </xf>
    <xf numFmtId="43" fontId="36" fillId="3" borderId="3" xfId="1" applyFont="1" applyFill="1" applyBorder="1" applyAlignment="1">
      <alignment vertical="center" wrapText="1"/>
    </xf>
    <xf numFmtId="43" fontId="36" fillId="10" borderId="5" xfId="1" applyFont="1" applyFill="1" applyBorder="1" applyAlignment="1">
      <alignment vertical="center" wrapText="1"/>
    </xf>
    <xf numFmtId="10" fontId="0" fillId="2" borderId="7" xfId="0" applyNumberFormat="1" applyFill="1" applyBorder="1" applyAlignment="1">
      <alignment vertical="center"/>
    </xf>
    <xf numFmtId="10" fontId="7" fillId="2" borderId="0" xfId="0" applyNumberFormat="1" applyFont="1" applyFill="1" applyBorder="1" applyAlignment="1">
      <alignment vertical="center" wrapText="1"/>
    </xf>
    <xf numFmtId="10" fontId="7" fillId="2" borderId="0" xfId="0" applyNumberFormat="1" applyFont="1" applyFill="1" applyBorder="1" applyAlignment="1">
      <alignment vertical="center"/>
    </xf>
    <xf numFmtId="10" fontId="7" fillId="2" borderId="11" xfId="0" applyNumberFormat="1" applyFont="1" applyFill="1" applyBorder="1" applyAlignment="1">
      <alignment vertical="center" wrapText="1"/>
    </xf>
    <xf numFmtId="10" fontId="7" fillId="3" borderId="16" xfId="0" applyNumberFormat="1" applyFont="1" applyFill="1" applyBorder="1" applyAlignment="1">
      <alignment vertical="center" wrapText="1"/>
    </xf>
    <xf numFmtId="0" fontId="7" fillId="3" borderId="3" xfId="0" applyFont="1" applyFill="1" applyBorder="1" applyAlignment="1">
      <alignment horizontal="center" vertical="center" wrapText="1"/>
    </xf>
    <xf numFmtId="0" fontId="24" fillId="11" borderId="12" xfId="0" applyFont="1" applyFill="1" applyBorder="1" applyAlignment="1">
      <alignment horizontal="center" vertical="center"/>
    </xf>
    <xf numFmtId="0" fontId="37" fillId="11" borderId="11" xfId="0" applyFont="1" applyFill="1" applyBorder="1" applyAlignment="1">
      <alignment vertical="center"/>
    </xf>
    <xf numFmtId="0" fontId="23" fillId="11" borderId="11" xfId="0" applyFont="1" applyFill="1" applyBorder="1" applyAlignment="1">
      <alignment vertical="center"/>
    </xf>
    <xf numFmtId="0" fontId="24" fillId="11" borderId="11" xfId="0" applyFont="1" applyFill="1" applyBorder="1" applyAlignment="1">
      <alignment vertical="center" wrapText="1"/>
    </xf>
    <xf numFmtId="10" fontId="24" fillId="11" borderId="3" xfId="0" applyNumberFormat="1" applyFont="1" applyFill="1" applyBorder="1" applyAlignment="1">
      <alignment vertical="center" wrapText="1"/>
    </xf>
    <xf numFmtId="10" fontId="37" fillId="11" borderId="3" xfId="0" applyNumberFormat="1" applyFont="1" applyFill="1" applyBorder="1" applyAlignment="1">
      <alignment vertical="center" wrapText="1"/>
    </xf>
    <xf numFmtId="0" fontId="7" fillId="2" borderId="2" xfId="0" applyFont="1" applyFill="1" applyBorder="1" applyAlignment="1">
      <alignment vertical="center" wrapText="1"/>
    </xf>
    <xf numFmtId="43" fontId="36" fillId="10" borderId="22" xfId="1" applyFont="1" applyFill="1" applyBorder="1" applyAlignment="1">
      <alignment horizontal="center" vertical="center" wrapText="1"/>
    </xf>
    <xf numFmtId="43" fontId="36" fillId="10" borderId="3" xfId="0" applyNumberFormat="1" applyFont="1" applyFill="1" applyBorder="1" applyAlignment="1">
      <alignment vertical="center" wrapText="1"/>
    </xf>
    <xf numFmtId="43" fontId="36" fillId="10" borderId="3" xfId="1" applyFont="1" applyFill="1" applyBorder="1" applyAlignment="1">
      <alignment vertical="center" wrapText="1"/>
    </xf>
    <xf numFmtId="43" fontId="36" fillId="10" borderId="22" xfId="1" applyFont="1" applyFill="1" applyBorder="1" applyAlignment="1">
      <alignment vertical="center" wrapText="1"/>
    </xf>
    <xf numFmtId="43" fontId="36" fillId="10" borderId="23" xfId="1" applyFont="1" applyFill="1" applyBorder="1" applyAlignment="1">
      <alignment vertical="center" wrapText="1"/>
    </xf>
    <xf numFmtId="43" fontId="36" fillId="10" borderId="26" xfId="1" applyFont="1" applyFill="1" applyBorder="1" applyAlignment="1">
      <alignment vertical="center" wrapText="1"/>
    </xf>
    <xf numFmtId="43" fontId="36" fillId="10" borderId="29" xfId="1" applyFont="1" applyFill="1" applyBorder="1" applyAlignment="1">
      <alignment vertical="center" wrapText="1"/>
    </xf>
    <xf numFmtId="43" fontId="36" fillId="10" borderId="31" xfId="1" applyFont="1" applyFill="1" applyBorder="1" applyAlignment="1">
      <alignment vertical="center" wrapText="1"/>
    </xf>
    <xf numFmtId="10" fontId="7" fillId="3" borderId="3" xfId="1" applyNumberFormat="1" applyFont="1" applyFill="1" applyBorder="1" applyAlignment="1">
      <alignment vertical="center" wrapText="1"/>
    </xf>
    <xf numFmtId="0" fontId="3" fillId="3" borderId="12" xfId="0" applyFont="1" applyFill="1" applyBorder="1" applyAlignment="1">
      <alignment horizontal="center" vertical="center"/>
    </xf>
    <xf numFmtId="0" fontId="14" fillId="3" borderId="11" xfId="0" applyFont="1" applyFill="1" applyBorder="1" applyAlignment="1">
      <alignment vertical="center"/>
    </xf>
    <xf numFmtId="0" fontId="0" fillId="3" borderId="11" xfId="0" applyFill="1" applyBorder="1" applyAlignment="1">
      <alignment vertical="center"/>
    </xf>
    <xf numFmtId="0" fontId="7" fillId="3" borderId="11" xfId="0" applyFont="1" applyFill="1" applyBorder="1" applyAlignment="1">
      <alignment vertical="center" wrapText="1"/>
    </xf>
    <xf numFmtId="43" fontId="7" fillId="2" borderId="5" xfId="1" applyNumberFormat="1" applyFont="1" applyFill="1" applyBorder="1" applyAlignment="1">
      <alignment vertical="center" wrapText="1"/>
    </xf>
    <xf numFmtId="43" fontId="7" fillId="2" borderId="22" xfId="1" applyNumberFormat="1" applyFont="1" applyFill="1" applyBorder="1" applyAlignment="1">
      <alignment vertical="center" wrapText="1"/>
    </xf>
    <xf numFmtId="43" fontId="7" fillId="2" borderId="19" xfId="1" applyNumberFormat="1" applyFont="1" applyFill="1" applyBorder="1" applyAlignment="1">
      <alignment vertical="center" wrapText="1"/>
    </xf>
    <xf numFmtId="43" fontId="7" fillId="3" borderId="3" xfId="1" applyNumberFormat="1" applyFont="1" applyFill="1" applyBorder="1" applyAlignment="1">
      <alignment vertical="center" wrapText="1"/>
    </xf>
    <xf numFmtId="43" fontId="7" fillId="3" borderId="16" xfId="0" applyNumberFormat="1" applyFont="1" applyFill="1" applyBorder="1" applyAlignment="1">
      <alignment horizontal="center" wrapText="1"/>
    </xf>
    <xf numFmtId="43" fontId="38" fillId="3" borderId="3" xfId="0" applyNumberFormat="1" applyFont="1" applyFill="1" applyBorder="1" applyAlignment="1">
      <alignment vertical="center" wrapText="1"/>
    </xf>
    <xf numFmtId="43" fontId="38" fillId="3" borderId="3" xfId="1" applyFont="1" applyFill="1" applyBorder="1" applyAlignment="1">
      <alignment vertical="center" wrapText="1"/>
    </xf>
    <xf numFmtId="10" fontId="7" fillId="2" borderId="16" xfId="0" applyNumberFormat="1" applyFont="1" applyFill="1" applyBorder="1" applyAlignment="1">
      <alignment horizontal="center" vertical="center" wrapText="1"/>
    </xf>
    <xf numFmtId="10" fontId="7" fillId="2" borderId="18" xfId="0" applyNumberFormat="1"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5" fillId="2" borderId="0" xfId="0" applyFont="1" applyFill="1" applyBorder="1" applyAlignment="1">
      <alignment horizontal="center"/>
    </xf>
    <xf numFmtId="0" fontId="6" fillId="2" borderId="0" xfId="0" applyFont="1" applyFill="1" applyBorder="1" applyAlignment="1">
      <alignment horizontal="center"/>
    </xf>
    <xf numFmtId="0" fontId="16" fillId="2" borderId="0" xfId="0" applyFont="1" applyFill="1" applyBorder="1" applyAlignment="1">
      <alignment horizontal="center"/>
    </xf>
    <xf numFmtId="0" fontId="13" fillId="2" borderId="11" xfId="0"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3" fillId="2" borderId="9" xfId="2" applyFont="1" applyFill="1" applyBorder="1" applyAlignment="1">
      <alignment vertical="center" wrapText="1"/>
    </xf>
    <xf numFmtId="0" fontId="13" fillId="2" borderId="10" xfId="2" applyFont="1" applyFill="1" applyBorder="1" applyAlignment="1">
      <alignment vertical="center" wrapText="1"/>
    </xf>
    <xf numFmtId="49" fontId="13" fillId="2" borderId="4" xfId="2" applyNumberFormat="1" applyFont="1" applyFill="1" applyBorder="1" applyAlignment="1">
      <alignment horizontal="center" vertical="top"/>
    </xf>
    <xf numFmtId="49" fontId="13" fillId="2" borderId="2" xfId="2" applyNumberFormat="1" applyFont="1" applyFill="1" applyBorder="1" applyAlignment="1">
      <alignment horizontal="center" vertical="top"/>
    </xf>
    <xf numFmtId="167" fontId="22" fillId="2" borderId="17" xfId="3" quotePrefix="1" applyNumberFormat="1" applyFont="1" applyFill="1" applyBorder="1" applyAlignment="1">
      <alignment horizontal="center" vertical="center" wrapText="1"/>
    </xf>
    <xf numFmtId="167" fontId="22" fillId="2" borderId="18" xfId="3" applyNumberFormat="1" applyFont="1" applyFill="1" applyBorder="1" applyAlignment="1">
      <alignment horizontal="center" vertical="center" wrapText="1"/>
    </xf>
    <xf numFmtId="0" fontId="21" fillId="2" borderId="14" xfId="2" applyFont="1" applyFill="1" applyBorder="1" applyAlignment="1">
      <alignment horizontal="left" vertical="top"/>
    </xf>
    <xf numFmtId="0" fontId="21" fillId="2" borderId="15" xfId="2" applyFont="1" applyFill="1" applyBorder="1" applyAlignment="1">
      <alignment horizontal="left" vertical="top"/>
    </xf>
    <xf numFmtId="1" fontId="21" fillId="2" borderId="7" xfId="2" applyNumberFormat="1" applyFont="1" applyFill="1" applyBorder="1" applyAlignment="1">
      <alignment horizontal="left" vertical="top" wrapText="1"/>
    </xf>
    <xf numFmtId="1" fontId="21" fillId="2" borderId="8" xfId="2" applyNumberFormat="1" applyFont="1" applyFill="1" applyBorder="1" applyAlignment="1">
      <alignment horizontal="left" vertical="top" wrapText="1"/>
    </xf>
    <xf numFmtId="1" fontId="21" fillId="2" borderId="11" xfId="2" applyNumberFormat="1" applyFont="1" applyFill="1" applyBorder="1" applyAlignment="1">
      <alignment horizontal="left" vertical="top" wrapText="1"/>
    </xf>
    <xf numFmtId="1" fontId="21" fillId="2" borderId="13" xfId="2" applyNumberFormat="1" applyFont="1" applyFill="1" applyBorder="1" applyAlignment="1">
      <alignment horizontal="left" vertical="top" wrapText="1"/>
    </xf>
    <xf numFmtId="0" fontId="21" fillId="2" borderId="3" xfId="2" applyFont="1" applyFill="1" applyBorder="1" applyAlignment="1">
      <alignment horizontal="center" vertical="center"/>
    </xf>
    <xf numFmtId="0" fontId="21" fillId="2" borderId="16" xfId="2" applyFont="1" applyFill="1" applyBorder="1" applyAlignment="1">
      <alignment horizontal="center" vertical="center"/>
    </xf>
    <xf numFmtId="0" fontId="21" fillId="2" borderId="18" xfId="2" applyFont="1" applyFill="1" applyBorder="1" applyAlignment="1">
      <alignment horizontal="center" vertical="center"/>
    </xf>
    <xf numFmtId="0" fontId="21" fillId="2" borderId="6" xfId="2" applyFont="1" applyFill="1" applyBorder="1" applyAlignment="1">
      <alignment horizontal="center" vertical="center"/>
    </xf>
    <xf numFmtId="0" fontId="21" fillId="2" borderId="8" xfId="2" applyFont="1" applyFill="1" applyBorder="1" applyAlignment="1">
      <alignment horizontal="center" vertical="center"/>
    </xf>
    <xf numFmtId="0" fontId="21" fillId="2" borderId="12" xfId="2" applyFont="1" applyFill="1" applyBorder="1" applyAlignment="1">
      <alignment horizontal="center" vertical="center"/>
    </xf>
    <xf numFmtId="0" fontId="21" fillId="2" borderId="13" xfId="2" applyFont="1" applyFill="1" applyBorder="1" applyAlignment="1">
      <alignment horizontal="center" vertical="center"/>
    </xf>
    <xf numFmtId="0" fontId="13" fillId="2" borderId="3" xfId="2" applyFont="1" applyFill="1" applyBorder="1" applyAlignment="1">
      <alignment horizontal="center" vertical="center"/>
    </xf>
    <xf numFmtId="165" fontId="21" fillId="2" borderId="3" xfId="3" applyFont="1" applyFill="1" applyBorder="1" applyAlignment="1">
      <alignment horizontal="center" vertical="center" wrapText="1"/>
    </xf>
    <xf numFmtId="165" fontId="13" fillId="2" borderId="3" xfId="3" applyFont="1" applyFill="1" applyBorder="1" applyAlignment="1">
      <alignment horizontal="center" vertical="center" wrapText="1"/>
    </xf>
    <xf numFmtId="0" fontId="13" fillId="2" borderId="6" xfId="2" applyFont="1" applyFill="1" applyBorder="1" applyAlignment="1">
      <alignment vertical="center" wrapText="1"/>
    </xf>
    <xf numFmtId="0" fontId="13" fillId="2" borderId="8" xfId="2" applyFont="1" applyFill="1" applyBorder="1" applyAlignment="1">
      <alignment vertical="center" wrapText="1"/>
    </xf>
    <xf numFmtId="49" fontId="13" fillId="2" borderId="4" xfId="2" applyNumberFormat="1" applyFont="1" applyFill="1" applyBorder="1" applyAlignment="1">
      <alignment horizontal="left" vertical="top"/>
    </xf>
    <xf numFmtId="49" fontId="13" fillId="2" borderId="2" xfId="2" applyNumberFormat="1" applyFont="1" applyFill="1" applyBorder="1" applyAlignment="1">
      <alignment horizontal="left" vertical="top"/>
    </xf>
    <xf numFmtId="0" fontId="0" fillId="2" borderId="0" xfId="0" applyFont="1" applyFill="1" applyAlignment="1">
      <alignment vertical="center"/>
    </xf>
    <xf numFmtId="0" fontId="0" fillId="2" borderId="0" xfId="0" applyFont="1" applyFill="1" applyAlignment="1">
      <alignment horizontal="left" vertical="center"/>
    </xf>
    <xf numFmtId="0" fontId="12" fillId="2" borderId="0" xfId="0" applyFont="1" applyFill="1" applyBorder="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3" borderId="3" xfId="0" applyFont="1" applyFill="1" applyBorder="1" applyAlignment="1">
      <alignment horizontal="center"/>
    </xf>
    <xf numFmtId="0" fontId="3" fillId="8" borderId="3" xfId="0" applyFont="1" applyFill="1" applyBorder="1" applyAlignment="1">
      <alignment horizontal="center" vertical="center" wrapText="1"/>
    </xf>
    <xf numFmtId="0" fontId="3" fillId="3" borderId="1" xfId="0" applyFont="1" applyFill="1" applyBorder="1" applyAlignment="1">
      <alignment horizontal="center"/>
    </xf>
    <xf numFmtId="0" fontId="3" fillId="3" borderId="2" xfId="0" applyFont="1" applyFill="1" applyBorder="1" applyAlignment="1">
      <alignment horizontal="center"/>
    </xf>
    <xf numFmtId="0" fontId="26"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1" fillId="2" borderId="4" xfId="0" applyFont="1" applyFill="1" applyBorder="1" applyAlignment="1">
      <alignment horizontal="left" vertical="top" wrapText="1"/>
    </xf>
    <xf numFmtId="0" fontId="31" fillId="2" borderId="2" xfId="0" applyFont="1" applyFill="1" applyBorder="1" applyAlignment="1">
      <alignment horizontal="left" vertical="top" wrapText="1"/>
    </xf>
    <xf numFmtId="43" fontId="3" fillId="6" borderId="16" xfId="1" applyFont="1" applyFill="1" applyBorder="1" applyAlignment="1">
      <alignment horizontal="center" vertical="center"/>
    </xf>
    <xf numFmtId="43" fontId="3" fillId="6" borderId="18" xfId="1" applyFont="1" applyFill="1" applyBorder="1" applyAlignment="1">
      <alignment horizontal="center" vertical="center"/>
    </xf>
    <xf numFmtId="2" fontId="15" fillId="0" borderId="16" xfId="1" applyNumberFormat="1" applyFont="1" applyBorder="1" applyAlignment="1">
      <alignment horizontal="center" vertical="center"/>
    </xf>
    <xf numFmtId="2" fontId="15" fillId="0" borderId="17" xfId="1" applyNumberFormat="1" applyFont="1" applyBorder="1" applyAlignment="1">
      <alignment horizontal="center" vertical="center"/>
    </xf>
    <xf numFmtId="2" fontId="0" fillId="0" borderId="16" xfId="1" applyNumberFormat="1" applyFont="1" applyBorder="1" applyAlignment="1">
      <alignment horizontal="center" vertical="center"/>
    </xf>
    <xf numFmtId="2" fontId="0" fillId="0" borderId="18" xfId="1" applyNumberFormat="1" applyFont="1" applyBorder="1" applyAlignment="1">
      <alignment horizontal="center" vertical="center"/>
    </xf>
    <xf numFmtId="0" fontId="3" fillId="2" borderId="3" xfId="0" applyFont="1" applyFill="1" applyBorder="1" applyAlignment="1">
      <alignment horizontal="left" vertical="center" wrapText="1"/>
    </xf>
    <xf numFmtId="2" fontId="0" fillId="0" borderId="17" xfId="1" applyNumberFormat="1" applyFont="1" applyBorder="1" applyAlignment="1">
      <alignment horizontal="center" vertical="center"/>
    </xf>
    <xf numFmtId="0" fontId="3" fillId="6" borderId="3" xfId="0" applyFont="1" applyFill="1" applyBorder="1" applyAlignment="1">
      <alignment horizontal="center" vertical="center" wrapText="1"/>
    </xf>
    <xf numFmtId="0" fontId="3" fillId="6" borderId="3" xfId="0" applyFont="1" applyFill="1" applyBorder="1" applyAlignment="1">
      <alignment horizontal="center" vertical="center"/>
    </xf>
    <xf numFmtId="0" fontId="3" fillId="6"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0" fillId="0" borderId="22" xfId="0" applyFont="1" applyBorder="1" applyAlignment="1">
      <alignment horizontal="left" vertical="center"/>
    </xf>
    <xf numFmtId="0" fontId="0" fillId="0" borderId="26" xfId="0" applyFont="1" applyBorder="1" applyAlignment="1">
      <alignment horizontal="left" vertical="center"/>
    </xf>
    <xf numFmtId="0" fontId="0" fillId="0" borderId="23" xfId="0" applyFont="1" applyBorder="1" applyAlignment="1">
      <alignment horizontal="left" vertical="center"/>
    </xf>
    <xf numFmtId="0" fontId="3" fillId="6" borderId="7"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2" xfId="0" applyFont="1" applyFill="1" applyBorder="1" applyAlignment="1">
      <alignment horizontal="center" vertical="center"/>
    </xf>
    <xf numFmtId="0" fontId="5" fillId="2" borderId="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3" fillId="6" borderId="6" xfId="0" applyFont="1" applyFill="1" applyBorder="1" applyAlignment="1">
      <alignment horizontal="center" vertical="center"/>
    </xf>
    <xf numFmtId="0" fontId="3" fillId="6" borderId="12" xfId="0" applyFont="1" applyFill="1" applyBorder="1" applyAlignment="1">
      <alignment horizontal="center" vertical="center"/>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0" fillId="0" borderId="24" xfId="0" applyFont="1" applyBorder="1" applyAlignment="1">
      <alignment horizontal="left" vertical="center"/>
    </xf>
    <xf numFmtId="0" fontId="0" fillId="0" borderId="27" xfId="0" applyFont="1" applyBorder="1" applyAlignment="1">
      <alignment horizontal="left" vertical="center"/>
    </xf>
    <xf numFmtId="0" fontId="0" fillId="0" borderId="25" xfId="0" applyFont="1" applyBorder="1" applyAlignment="1">
      <alignment horizontal="left" vertical="center"/>
    </xf>
    <xf numFmtId="10" fontId="0" fillId="2" borderId="0" xfId="5" applyNumberFormat="1" applyFont="1" applyFill="1" applyAlignment="1">
      <alignment horizontal="left" vertical="center"/>
    </xf>
    <xf numFmtId="0" fontId="9" fillId="2" borderId="0" xfId="0" applyFont="1" applyFill="1" applyAlignment="1">
      <alignment horizontal="left" vertical="center" wrapText="1"/>
    </xf>
    <xf numFmtId="0" fontId="8" fillId="2" borderId="0" xfId="0" applyFont="1" applyFill="1" applyAlignment="1">
      <alignment horizontal="center"/>
    </xf>
    <xf numFmtId="0" fontId="8" fillId="2" borderId="0" xfId="0" applyFont="1" applyFill="1" applyAlignment="1">
      <alignment horizontal="center" vertical="center"/>
    </xf>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center"/>
    </xf>
    <xf numFmtId="43" fontId="36" fillId="10" borderId="22" xfId="1" applyFont="1" applyFill="1" applyBorder="1" applyAlignment="1">
      <alignment horizontal="center" vertical="center" wrapText="1"/>
    </xf>
    <xf numFmtId="43" fontId="36" fillId="10" borderId="23" xfId="1" applyFont="1" applyFill="1" applyBorder="1" applyAlignment="1">
      <alignment horizontal="center" vertical="center" wrapText="1"/>
    </xf>
    <xf numFmtId="43" fontId="36" fillId="10" borderId="29" xfId="1" applyFont="1" applyFill="1" applyBorder="1" applyAlignment="1">
      <alignment horizontal="center" vertical="center" wrapText="1"/>
    </xf>
    <xf numFmtId="43" fontId="36" fillId="10" borderId="31" xfId="1" applyFont="1" applyFill="1" applyBorder="1" applyAlignment="1">
      <alignment horizontal="center" vertical="center" wrapText="1"/>
    </xf>
    <xf numFmtId="43" fontId="36" fillId="10" borderId="26" xfId="1" applyFont="1" applyFill="1" applyBorder="1" applyAlignment="1">
      <alignment horizontal="center" vertical="center" wrapText="1"/>
    </xf>
  </cellXfs>
  <cellStyles count="11">
    <cellStyle name="Moeda 5 4 8 2" xfId="10"/>
    <cellStyle name="Normal" xfId="0" builtinId="0"/>
    <cellStyle name="Normal 2" xfId="6"/>
    <cellStyle name="Normal 22 4 10 2" xfId="9"/>
    <cellStyle name="Normal 3 3 2" xfId="2"/>
    <cellStyle name="Normal 7 32 4 8 2" xfId="7"/>
    <cellStyle name="Porcentagem" xfId="5" builtinId="5"/>
    <cellStyle name="Porcentagem 3 2" xfId="4"/>
    <cellStyle name="Separador de milhares 4 2 2 3" xfId="8"/>
    <cellStyle name="Vírgula" xfId="1" builtinId="3"/>
    <cellStyle name="Vírgula 2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122463</xdr:colOff>
      <xdr:row>0</xdr:row>
      <xdr:rowOff>133597</xdr:rowOff>
    </xdr:from>
    <xdr:to>
      <xdr:col>2</xdr:col>
      <xdr:colOff>86591</xdr:colOff>
      <xdr:row>4</xdr:row>
      <xdr:rowOff>109240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63" y="133597"/>
          <a:ext cx="1592037" cy="89350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2111375</xdr:colOff>
      <xdr:row>1</xdr:row>
      <xdr:rowOff>15875</xdr:rowOff>
    </xdr:from>
    <xdr:ext cx="1916261" cy="1099243"/>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0975" y="206375"/>
          <a:ext cx="1916261" cy="1099243"/>
        </a:xfrm>
        <a:prstGeom prst="rect">
          <a:avLst/>
        </a:prstGeom>
      </xdr:spPr>
    </xdr:pic>
    <xdr:clientData/>
  </xdr:oneCellAnchor>
  <xdr:oneCellAnchor>
    <xdr:from>
      <xdr:col>1</xdr:col>
      <xdr:colOff>2111375</xdr:colOff>
      <xdr:row>41</xdr:row>
      <xdr:rowOff>15875</xdr:rowOff>
    </xdr:from>
    <xdr:ext cx="1916261" cy="1099243"/>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0" y="206375"/>
          <a:ext cx="1916261" cy="1099243"/>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2111375</xdr:colOff>
      <xdr:row>1</xdr:row>
      <xdr:rowOff>15875</xdr:rowOff>
    </xdr:from>
    <xdr:ext cx="1916261" cy="1099243"/>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7600" y="206375"/>
          <a:ext cx="1916261" cy="1099243"/>
        </a:xfrm>
        <a:prstGeom prst="rect">
          <a:avLst/>
        </a:prstGeom>
      </xdr:spPr>
    </xdr:pic>
    <xdr:clientData/>
  </xdr:oneCellAnchor>
  <xdr:oneCellAnchor>
    <xdr:from>
      <xdr:col>1</xdr:col>
      <xdr:colOff>2111375</xdr:colOff>
      <xdr:row>41</xdr:row>
      <xdr:rowOff>15875</xdr:rowOff>
    </xdr:from>
    <xdr:ext cx="1916261" cy="1099243"/>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0321" y="206375"/>
          <a:ext cx="1916261" cy="1099243"/>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3064</xdr:row>
      <xdr:rowOff>0</xdr:rowOff>
    </xdr:from>
    <xdr:to>
      <xdr:col>17</xdr:col>
      <xdr:colOff>238125</xdr:colOff>
      <xdr:row>3067</xdr:row>
      <xdr:rowOff>9525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9625" y="735615750"/>
          <a:ext cx="694372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312964</xdr:colOff>
      <xdr:row>1</xdr:row>
      <xdr:rowOff>81644</xdr:rowOff>
    </xdr:from>
    <xdr:to>
      <xdr:col>2</xdr:col>
      <xdr:colOff>645128</xdr:colOff>
      <xdr:row>4</xdr:row>
      <xdr:rowOff>201173</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964" y="272144"/>
          <a:ext cx="1894264" cy="107202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312964</xdr:colOff>
      <xdr:row>1</xdr:row>
      <xdr:rowOff>81644</xdr:rowOff>
    </xdr:from>
    <xdr:to>
      <xdr:col>2</xdr:col>
      <xdr:colOff>172053</xdr:colOff>
      <xdr:row>4</xdr:row>
      <xdr:rowOff>201173</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964" y="272144"/>
          <a:ext cx="1897439" cy="107202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312964</xdr:colOff>
      <xdr:row>1</xdr:row>
      <xdr:rowOff>81644</xdr:rowOff>
    </xdr:from>
    <xdr:to>
      <xdr:col>1</xdr:col>
      <xdr:colOff>876903</xdr:colOff>
      <xdr:row>3</xdr:row>
      <xdr:rowOff>48773</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964" y="272144"/>
          <a:ext cx="1487864" cy="10720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312964</xdr:colOff>
      <xdr:row>1</xdr:row>
      <xdr:rowOff>81644</xdr:rowOff>
    </xdr:from>
    <xdr:to>
      <xdr:col>2</xdr:col>
      <xdr:colOff>581628</xdr:colOff>
      <xdr:row>6</xdr:row>
      <xdr:rowOff>6671</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964" y="272144"/>
          <a:ext cx="1896985" cy="1085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312964</xdr:colOff>
      <xdr:row>1</xdr:row>
      <xdr:rowOff>81644</xdr:rowOff>
    </xdr:from>
    <xdr:to>
      <xdr:col>2</xdr:col>
      <xdr:colOff>581628</xdr:colOff>
      <xdr:row>4</xdr:row>
      <xdr:rowOff>201173</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964" y="272144"/>
          <a:ext cx="1897439" cy="10720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469447</xdr:colOff>
      <xdr:row>1</xdr:row>
      <xdr:rowOff>85044</xdr:rowOff>
    </xdr:from>
    <xdr:to>
      <xdr:col>2</xdr:col>
      <xdr:colOff>141665</xdr:colOff>
      <xdr:row>6</xdr:row>
      <xdr:rowOff>41287</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447" y="275544"/>
          <a:ext cx="1903789" cy="10992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884011</xdr:colOff>
      <xdr:row>38</xdr:row>
      <xdr:rowOff>135618</xdr:rowOff>
    </xdr:from>
    <xdr:to>
      <xdr:col>3</xdr:col>
      <xdr:colOff>569686</xdr:colOff>
      <xdr:row>38</xdr:row>
      <xdr:rowOff>512458</xdr:rowOff>
    </xdr:to>
    <xdr:pic>
      <xdr:nvPicPr>
        <xdr:cNvPr id="2" name="Picture 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87261" y="7057118"/>
          <a:ext cx="2860675" cy="376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1455965</xdr:colOff>
      <xdr:row>0</xdr:row>
      <xdr:rowOff>176892</xdr:rowOff>
    </xdr:from>
    <xdr:to>
      <xdr:col>3</xdr:col>
      <xdr:colOff>189289</xdr:colOff>
      <xdr:row>6</xdr:row>
      <xdr:rowOff>133135</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68286" y="176892"/>
          <a:ext cx="1903789" cy="10992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214312</xdr:colOff>
      <xdr:row>1</xdr:row>
      <xdr:rowOff>59532</xdr:rowOff>
    </xdr:from>
    <xdr:to>
      <xdr:col>1</xdr:col>
      <xdr:colOff>1396922</xdr:colOff>
      <xdr:row>4</xdr:row>
      <xdr:rowOff>168855</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312" y="250032"/>
          <a:ext cx="1896985" cy="10856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83344</xdr:colOff>
      <xdr:row>1</xdr:row>
      <xdr:rowOff>47625</xdr:rowOff>
    </xdr:from>
    <xdr:to>
      <xdr:col>1</xdr:col>
      <xdr:colOff>932579</xdr:colOff>
      <xdr:row>4</xdr:row>
      <xdr:rowOff>204573</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4" y="238125"/>
          <a:ext cx="1896985" cy="10856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2111375</xdr:colOff>
      <xdr:row>60</xdr:row>
      <xdr:rowOff>15875</xdr:rowOff>
    </xdr:from>
    <xdr:ext cx="1916261" cy="1099243"/>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6719" y="206375"/>
          <a:ext cx="1916261" cy="1099243"/>
        </a:xfrm>
        <a:prstGeom prst="rect">
          <a:avLst/>
        </a:prstGeom>
      </xdr:spPr>
    </xdr:pic>
    <xdr:clientData/>
  </xdr:oneCellAnchor>
  <xdr:oneCellAnchor>
    <xdr:from>
      <xdr:col>1</xdr:col>
      <xdr:colOff>2111375</xdr:colOff>
      <xdr:row>128</xdr:row>
      <xdr:rowOff>15875</xdr:rowOff>
    </xdr:from>
    <xdr:ext cx="1916261" cy="1099243"/>
    <xdr:pic>
      <xdr:nvPicPr>
        <xdr:cNvPr id="5" name="Image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6719" y="10552906"/>
          <a:ext cx="1916261" cy="1099243"/>
        </a:xfrm>
        <a:prstGeom prst="rect">
          <a:avLst/>
        </a:prstGeom>
      </xdr:spPr>
    </xdr:pic>
    <xdr:clientData/>
  </xdr:oneCellAnchor>
  <xdr:oneCellAnchor>
    <xdr:from>
      <xdr:col>1</xdr:col>
      <xdr:colOff>2111375</xdr:colOff>
      <xdr:row>201</xdr:row>
      <xdr:rowOff>15875</xdr:rowOff>
    </xdr:from>
    <xdr:ext cx="1916261" cy="1099243"/>
    <xdr:pic>
      <xdr:nvPicPr>
        <xdr:cNvPr id="6" name="Imagem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6719" y="21899563"/>
          <a:ext cx="1916261" cy="1099243"/>
        </a:xfrm>
        <a:prstGeom prst="rect">
          <a:avLst/>
        </a:prstGeom>
      </xdr:spPr>
    </xdr:pic>
    <xdr:clientData/>
  </xdr:oneCellAnchor>
  <xdr:oneCellAnchor>
    <xdr:from>
      <xdr:col>1</xdr:col>
      <xdr:colOff>2111375</xdr:colOff>
      <xdr:row>1</xdr:row>
      <xdr:rowOff>15875</xdr:rowOff>
    </xdr:from>
    <xdr:ext cx="1916261" cy="1099243"/>
    <xdr:pic>
      <xdr:nvPicPr>
        <xdr:cNvPr id="8" name="Imagem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6719" y="11886406"/>
          <a:ext cx="1916261" cy="1099243"/>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2111375</xdr:colOff>
      <xdr:row>1</xdr:row>
      <xdr:rowOff>15875</xdr:rowOff>
    </xdr:from>
    <xdr:ext cx="1916261" cy="1099243"/>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9100" y="206375"/>
          <a:ext cx="1916261" cy="1099243"/>
        </a:xfrm>
        <a:prstGeom prst="rect">
          <a:avLst/>
        </a:prstGeom>
      </xdr:spPr>
    </xdr:pic>
    <xdr:clientData/>
  </xdr:oneCellAnchor>
  <xdr:oneCellAnchor>
    <xdr:from>
      <xdr:col>1</xdr:col>
      <xdr:colOff>2111375</xdr:colOff>
      <xdr:row>41</xdr:row>
      <xdr:rowOff>15875</xdr:rowOff>
    </xdr:from>
    <xdr:ext cx="1916261" cy="1099243"/>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8594" y="206375"/>
          <a:ext cx="1916261" cy="1099243"/>
        </a:xfrm>
        <a:prstGeom prst="rect">
          <a:avLst/>
        </a:prstGeom>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view="pageBreakPreview" zoomScale="55" zoomScaleNormal="70" zoomScaleSheetLayoutView="55" workbookViewId="0">
      <selection activeCell="A10" sqref="A10:XFD10"/>
    </sheetView>
  </sheetViews>
  <sheetFormatPr defaultRowHeight="15" x14ac:dyDescent="0.25"/>
  <cols>
    <col min="1" max="1" width="7.7109375" style="438" customWidth="1"/>
    <col min="2" max="2" width="16.7109375" style="62" customWidth="1"/>
    <col min="3" max="3" width="15.7109375" style="62" customWidth="1"/>
    <col min="4" max="4" width="51.85546875" style="62" customWidth="1"/>
    <col min="5" max="7" width="24.140625" style="442" customWidth="1"/>
    <col min="8" max="13" width="23.7109375" style="62" customWidth="1"/>
    <col min="15" max="15" width="14" bestFit="1" customWidth="1"/>
    <col min="16" max="17" width="17.7109375" bestFit="1" customWidth="1"/>
  </cols>
  <sheetData>
    <row r="1" spans="1:13" x14ac:dyDescent="0.25">
      <c r="A1" s="44"/>
      <c r="B1" s="45"/>
      <c r="C1" s="45"/>
      <c r="D1" s="45"/>
      <c r="E1" s="474"/>
      <c r="F1" s="474"/>
      <c r="G1" s="474"/>
      <c r="H1" s="45"/>
      <c r="I1" s="45"/>
      <c r="J1" s="45"/>
      <c r="K1" s="45"/>
      <c r="L1" s="45"/>
      <c r="M1" s="65"/>
    </row>
    <row r="2" spans="1:13" ht="18.75" x14ac:dyDescent="0.25">
      <c r="A2" s="66"/>
      <c r="B2" s="67"/>
      <c r="C2" s="67"/>
      <c r="D2" s="509" t="s">
        <v>35</v>
      </c>
      <c r="E2" s="509"/>
      <c r="F2" s="509"/>
      <c r="G2" s="509"/>
      <c r="H2" s="509"/>
      <c r="I2" s="83"/>
      <c r="J2" s="91"/>
      <c r="K2" s="77"/>
      <c r="L2" s="83"/>
      <c r="M2" s="85"/>
    </row>
    <row r="3" spans="1:13" ht="18.75" x14ac:dyDescent="0.25">
      <c r="A3" s="66"/>
      <c r="B3" s="67"/>
      <c r="C3" s="67"/>
      <c r="D3" s="68" t="s">
        <v>36</v>
      </c>
      <c r="E3" s="476"/>
      <c r="F3" s="476"/>
      <c r="G3" s="476"/>
      <c r="H3" s="68"/>
      <c r="I3" s="83"/>
      <c r="J3" s="91"/>
      <c r="K3" s="68"/>
      <c r="L3" s="83"/>
      <c r="M3" s="85"/>
    </row>
    <row r="4" spans="1:13" ht="18.75" x14ac:dyDescent="0.25">
      <c r="A4" s="66"/>
      <c r="B4" s="67"/>
      <c r="C4" s="67"/>
      <c r="D4" s="68" t="s">
        <v>5457</v>
      </c>
      <c r="E4" s="476"/>
      <c r="F4" s="476"/>
      <c r="G4" s="476"/>
      <c r="H4" s="68"/>
      <c r="I4" s="83"/>
      <c r="J4" s="92"/>
      <c r="K4" s="68"/>
      <c r="L4" s="83"/>
      <c r="M4" s="88"/>
    </row>
    <row r="5" spans="1:13" ht="18.75" x14ac:dyDescent="0.25">
      <c r="A5" s="66"/>
      <c r="B5" s="67"/>
      <c r="C5" s="67"/>
      <c r="D5" s="68" t="s">
        <v>5472</v>
      </c>
      <c r="E5" s="476"/>
      <c r="F5" s="476"/>
      <c r="G5" s="476"/>
      <c r="H5" s="68"/>
      <c r="I5" s="83"/>
      <c r="J5" s="93"/>
      <c r="K5" s="68"/>
      <c r="L5" s="83"/>
      <c r="M5" s="90"/>
    </row>
    <row r="6" spans="1:13" ht="37.5" x14ac:dyDescent="0.25">
      <c r="A6" s="50"/>
      <c r="B6" s="51"/>
      <c r="C6" s="51"/>
      <c r="D6" s="77" t="s">
        <v>5473</v>
      </c>
      <c r="E6" s="475"/>
      <c r="F6" s="475"/>
      <c r="G6" s="475"/>
      <c r="H6" s="77"/>
      <c r="I6" s="51"/>
      <c r="J6" s="315"/>
      <c r="K6" s="77"/>
      <c r="L6" s="51"/>
      <c r="M6" s="72"/>
    </row>
    <row r="7" spans="1:13" ht="18.75" x14ac:dyDescent="0.25">
      <c r="A7" s="251"/>
      <c r="B7" s="252"/>
      <c r="C7" s="252"/>
      <c r="D7" s="391"/>
      <c r="E7" s="477"/>
      <c r="F7" s="477"/>
      <c r="G7" s="477"/>
      <c r="H7" s="391"/>
      <c r="I7" s="391"/>
      <c r="J7" s="391"/>
      <c r="K7" s="391"/>
      <c r="L7" s="391"/>
      <c r="M7" s="392"/>
    </row>
    <row r="8" spans="1:13" ht="18.75" customHeight="1" x14ac:dyDescent="0.25">
      <c r="A8" s="44"/>
      <c r="B8" s="45"/>
      <c r="C8" s="45"/>
      <c r="D8" s="403"/>
      <c r="E8" s="507" t="s">
        <v>5548</v>
      </c>
      <c r="F8" s="507" t="s">
        <v>5556</v>
      </c>
      <c r="G8" s="507" t="s">
        <v>5557</v>
      </c>
      <c r="H8" s="479" t="s">
        <v>5549</v>
      </c>
      <c r="I8" s="479" t="s">
        <v>5550</v>
      </c>
      <c r="J8" s="479" t="s">
        <v>5551</v>
      </c>
      <c r="K8" s="479" t="s">
        <v>5552</v>
      </c>
      <c r="L8" s="479" t="s">
        <v>5553</v>
      </c>
      <c r="M8" s="479" t="s">
        <v>5554</v>
      </c>
    </row>
    <row r="9" spans="1:13" ht="18.75" x14ac:dyDescent="0.25">
      <c r="A9" s="50"/>
      <c r="B9" s="51"/>
      <c r="C9" s="51"/>
      <c r="D9" s="77"/>
      <c r="E9" s="508"/>
      <c r="F9" s="508"/>
      <c r="G9" s="508"/>
      <c r="H9" s="437" t="s">
        <v>5479</v>
      </c>
      <c r="I9" s="437" t="s">
        <v>5479</v>
      </c>
      <c r="J9" s="437" t="s">
        <v>5479</v>
      </c>
      <c r="K9" s="437" t="s">
        <v>5479</v>
      </c>
      <c r="L9" s="437" t="s">
        <v>5479</v>
      </c>
      <c r="M9" s="437" t="s">
        <v>5479</v>
      </c>
    </row>
    <row r="10" spans="1:13" ht="18.75" x14ac:dyDescent="0.3">
      <c r="A10" s="356"/>
      <c r="B10" s="357" t="s">
        <v>4777</v>
      </c>
      <c r="C10" s="358"/>
      <c r="D10" s="359"/>
      <c r="E10" s="478">
        <f>F10/F34</f>
        <v>7.2420622276206437E-2</v>
      </c>
      <c r="F10" s="361">
        <f>'PO-SEDE'!H13</f>
        <v>199154.69</v>
      </c>
      <c r="G10" s="504">
        <v>199154.69</v>
      </c>
      <c r="H10" s="467">
        <f>G10/6</f>
        <v>33192.448333333334</v>
      </c>
      <c r="I10" s="468">
        <f>G10/6</f>
        <v>33192.448333333334</v>
      </c>
      <c r="J10" s="468">
        <f>G10/6</f>
        <v>33192.448333333334</v>
      </c>
      <c r="K10" s="468">
        <f>G10/6</f>
        <v>33192.448333333334</v>
      </c>
      <c r="L10" s="468">
        <f>G10/6</f>
        <v>33192.448333333334</v>
      </c>
      <c r="M10" s="468">
        <f>G10/6</f>
        <v>33192.448333333334</v>
      </c>
    </row>
    <row r="11" spans="1:13" ht="18.75" x14ac:dyDescent="0.25">
      <c r="A11" s="347"/>
      <c r="B11" s="348" t="str">
        <f>'PO-SEDE'!B22</f>
        <v>CANTEIRO DE OBRAS</v>
      </c>
      <c r="C11" s="349"/>
      <c r="D11" s="350"/>
      <c r="E11" s="382">
        <f>F11/F34</f>
        <v>8.215188831243737E-3</v>
      </c>
      <c r="F11" s="500">
        <f>'PO-SEDE'!H22</f>
        <v>22591.54</v>
      </c>
      <c r="G11" s="500">
        <f>F11*1.3133</f>
        <v>29669.469482</v>
      </c>
      <c r="H11" s="473">
        <f>G11/2</f>
        <v>14834.734741</v>
      </c>
      <c r="I11" s="470"/>
      <c r="J11" s="470"/>
      <c r="K11" s="470"/>
      <c r="L11" s="470"/>
      <c r="M11" s="473">
        <f>G11/2</f>
        <v>14834.734741</v>
      </c>
    </row>
    <row r="12" spans="1:13" ht="18.75" x14ac:dyDescent="0.25">
      <c r="A12" s="347"/>
      <c r="B12" s="348" t="str">
        <f>'PO-SEDE'!B32</f>
        <v>LAYOUT PROVISÓRIO</v>
      </c>
      <c r="C12" s="349"/>
      <c r="D12" s="350"/>
      <c r="E12" s="382">
        <f>F12/F34</f>
        <v>6.2276050227113395E-3</v>
      </c>
      <c r="F12" s="500">
        <f>'PO-SEDE'!H32</f>
        <v>17125.740000000002</v>
      </c>
      <c r="G12" s="500">
        <f t="shared" ref="G12:G33" si="0">F12*1.3133</f>
        <v>22491.234342</v>
      </c>
      <c r="H12" s="473">
        <f>G12</f>
        <v>22491.234342</v>
      </c>
      <c r="I12" s="470"/>
      <c r="J12" s="470"/>
      <c r="K12" s="470"/>
      <c r="L12" s="470"/>
      <c r="M12" s="470"/>
    </row>
    <row r="13" spans="1:13" ht="18.75" x14ac:dyDescent="0.25">
      <c r="A13" s="347"/>
      <c r="B13" s="348" t="str">
        <f>'PO-SEDE'!B45</f>
        <v>DEMOLIÇÕES E REMOÇÕES</v>
      </c>
      <c r="C13" s="349"/>
      <c r="D13" s="350"/>
      <c r="E13" s="382">
        <f>F13/F34</f>
        <v>5.4249568765623356E-3</v>
      </c>
      <c r="F13" s="501">
        <f>'PO-SEDE'!H45</f>
        <v>14918.48</v>
      </c>
      <c r="G13" s="500">
        <f t="shared" si="0"/>
        <v>19592.439783999998</v>
      </c>
      <c r="H13" s="490"/>
      <c r="I13" s="491">
        <f>G13</f>
        <v>19592.439783999998</v>
      </c>
      <c r="J13" s="470"/>
      <c r="K13" s="470"/>
      <c r="L13" s="470"/>
      <c r="M13" s="470"/>
    </row>
    <row r="14" spans="1:13" ht="18.75" x14ac:dyDescent="0.25">
      <c r="A14" s="347"/>
      <c r="B14" s="348" t="str">
        <f>'PO-SEDE'!B53</f>
        <v>LIMPEZA DO TERRENO</v>
      </c>
      <c r="C14" s="349"/>
      <c r="D14" s="350"/>
      <c r="E14" s="382">
        <f>F14/F34</f>
        <v>9.3624150200011663E-3</v>
      </c>
      <c r="F14" s="500">
        <f>'PO-SEDE'!H53</f>
        <v>25746.38</v>
      </c>
      <c r="G14" s="500">
        <f t="shared" si="0"/>
        <v>33812.720853999999</v>
      </c>
      <c r="H14" s="473">
        <f>G14</f>
        <v>33812.720853999999</v>
      </c>
      <c r="I14" s="470"/>
      <c r="J14" s="470"/>
      <c r="K14" s="470"/>
      <c r="L14" s="470"/>
      <c r="M14" s="470"/>
    </row>
    <row r="15" spans="1:13" ht="18.75" x14ac:dyDescent="0.25">
      <c r="A15" s="347"/>
      <c r="B15" s="348" t="str">
        <f>'PO-SEDE'!B58</f>
        <v>LOCAÇÃO DE OBRA</v>
      </c>
      <c r="C15" s="349"/>
      <c r="D15" s="350"/>
      <c r="E15" s="382">
        <f>F15/F34</f>
        <v>1.1363024415276884E-3</v>
      </c>
      <c r="F15" s="500">
        <f>'PO-SEDE'!H58</f>
        <v>3124.8</v>
      </c>
      <c r="G15" s="500">
        <f t="shared" si="0"/>
        <v>4103.7998399999997</v>
      </c>
      <c r="H15" s="473">
        <f>G15</f>
        <v>4103.7998399999997</v>
      </c>
      <c r="I15" s="470"/>
      <c r="J15" s="470"/>
      <c r="K15" s="470"/>
      <c r="L15" s="470"/>
      <c r="M15" s="470"/>
    </row>
    <row r="16" spans="1:13" ht="18.75" x14ac:dyDescent="0.25">
      <c r="A16" s="347"/>
      <c r="B16" s="348" t="str">
        <f>'PO-SEDE'!B62</f>
        <v>TERRAPLENAGEM</v>
      </c>
      <c r="C16" s="349"/>
      <c r="D16" s="350"/>
      <c r="E16" s="382">
        <f>F16/F34</f>
        <v>5.6375117610739085E-4</v>
      </c>
      <c r="F16" s="501">
        <f>'PO-SEDE'!H62</f>
        <v>1550.3</v>
      </c>
      <c r="G16" s="500">
        <f t="shared" si="0"/>
        <v>2036.0089899999998</v>
      </c>
      <c r="H16" s="490"/>
      <c r="I16" s="491">
        <f>G16</f>
        <v>2036.0089899999998</v>
      </c>
      <c r="J16" s="470"/>
      <c r="K16" s="470"/>
      <c r="L16" s="470"/>
      <c r="M16" s="470"/>
    </row>
    <row r="17" spans="1:13" ht="18.75" x14ac:dyDescent="0.25">
      <c r="A17" s="347"/>
      <c r="B17" s="348" t="str">
        <f>'PO-SEDE'!B68</f>
        <v>DRENAGEM</v>
      </c>
      <c r="C17" s="349"/>
      <c r="D17" s="350"/>
      <c r="E17" s="382">
        <f>F17/F34</f>
        <v>6.7197954725424129E-3</v>
      </c>
      <c r="F17" s="501">
        <f>'PO-SEDE'!H68</f>
        <v>18479.25</v>
      </c>
      <c r="G17" s="500">
        <f t="shared" si="0"/>
        <v>24268.799024999997</v>
      </c>
      <c r="H17" s="490"/>
      <c r="I17" s="491">
        <f>G17</f>
        <v>24268.799024999997</v>
      </c>
      <c r="J17" s="470"/>
      <c r="K17" s="470"/>
      <c r="L17" s="470"/>
      <c r="M17" s="470"/>
    </row>
    <row r="18" spans="1:13" ht="18.75" x14ac:dyDescent="0.25">
      <c r="A18" s="347"/>
      <c r="B18" s="348" t="str">
        <f>'PO-SEDE'!B80</f>
        <v>PAVIMENTAÇÃO</v>
      </c>
      <c r="C18" s="349"/>
      <c r="D18" s="350"/>
      <c r="E18" s="382">
        <f>F18/F34</f>
        <v>8.7567797824449913E-4</v>
      </c>
      <c r="F18" s="500">
        <f>'PO-SEDE'!H80</f>
        <v>2408.09</v>
      </c>
      <c r="G18" s="500">
        <f t="shared" si="0"/>
        <v>3162.5445970000001</v>
      </c>
      <c r="H18" s="470"/>
      <c r="I18" s="470"/>
      <c r="J18" s="470"/>
      <c r="K18" s="490"/>
      <c r="L18" s="491">
        <f>G18</f>
        <v>3162.5445970000001</v>
      </c>
      <c r="M18" s="470"/>
    </row>
    <row r="19" spans="1:13" ht="18.75" x14ac:dyDescent="0.25">
      <c r="A19" s="347"/>
      <c r="B19" s="348" t="str">
        <f>'PO-SEDE'!B90</f>
        <v>ESTRUTURAS DE CONCRETO</v>
      </c>
      <c r="C19" s="349"/>
      <c r="D19" s="350"/>
      <c r="E19" s="382">
        <f>F19/F34</f>
        <v>2.786435552515007E-2</v>
      </c>
      <c r="F19" s="500">
        <f>'PO-SEDE'!H90</f>
        <v>76626.2</v>
      </c>
      <c r="G19" s="500">
        <f t="shared" si="0"/>
        <v>100633.18845999999</v>
      </c>
      <c r="H19" s="470"/>
      <c r="I19" s="470"/>
      <c r="J19" s="490"/>
      <c r="K19" s="492"/>
      <c r="L19" s="491">
        <f>G19</f>
        <v>100633.18845999999</v>
      </c>
      <c r="M19" s="470"/>
    </row>
    <row r="20" spans="1:13" ht="18.75" x14ac:dyDescent="0.25">
      <c r="A20" s="347"/>
      <c r="B20" s="348" t="str">
        <f>'PO-SEDE'!B112</f>
        <v>ESTRUTURAS DE MADEIRA</v>
      </c>
      <c r="C20" s="349"/>
      <c r="D20" s="350"/>
      <c r="E20" s="382">
        <f>F20/F34</f>
        <v>0.31656435829499635</v>
      </c>
      <c r="F20" s="500">
        <f>'PO-SEDE'!H112</f>
        <v>870543.15</v>
      </c>
      <c r="G20" s="500">
        <f t="shared" si="0"/>
        <v>1143284.318895</v>
      </c>
      <c r="H20" s="470"/>
      <c r="I20" s="470"/>
      <c r="J20" s="490"/>
      <c r="K20" s="492"/>
      <c r="L20" s="491">
        <f>G20</f>
        <v>1143284.318895</v>
      </c>
      <c r="M20" s="470"/>
    </row>
    <row r="21" spans="1:13" ht="18.75" x14ac:dyDescent="0.25">
      <c r="A21" s="347"/>
      <c r="B21" s="348" t="str">
        <f>'PO-SEDE'!B135</f>
        <v>COBERTURA</v>
      </c>
      <c r="C21" s="349"/>
      <c r="D21" s="350"/>
      <c r="E21" s="382">
        <f>F21/F34</f>
        <v>3.0340104288112978E-2</v>
      </c>
      <c r="F21" s="500">
        <f>'PO-SEDE'!H135</f>
        <v>83434.440000000017</v>
      </c>
      <c r="G21" s="500">
        <f t="shared" si="0"/>
        <v>109574.45005200001</v>
      </c>
      <c r="H21" s="470"/>
      <c r="I21" s="470"/>
      <c r="J21" s="470"/>
      <c r="K21" s="490"/>
      <c r="L21" s="491">
        <f>G21</f>
        <v>109574.45005200001</v>
      </c>
      <c r="M21" s="470"/>
    </row>
    <row r="22" spans="1:13" ht="18.75" x14ac:dyDescent="0.25">
      <c r="A22" s="347"/>
      <c r="B22" s="348" t="str">
        <f>'PO-SEDE'!B119</f>
        <v>CAIXILHOS E ESQUADRIAS</v>
      </c>
      <c r="C22" s="349"/>
      <c r="D22" s="350"/>
      <c r="E22" s="382">
        <f>F22/F34</f>
        <v>0.14187229805666862</v>
      </c>
      <c r="F22" s="500">
        <f>'PO-SEDE'!H119</f>
        <v>390144.86</v>
      </c>
      <c r="G22" s="500">
        <f t="shared" si="0"/>
        <v>512377.24463799997</v>
      </c>
      <c r="H22" s="470"/>
      <c r="I22" s="470"/>
      <c r="J22" s="470"/>
      <c r="K22" s="490"/>
      <c r="L22" s="492"/>
      <c r="M22" s="491">
        <f>G22</f>
        <v>512377.24463799997</v>
      </c>
    </row>
    <row r="23" spans="1:13" ht="18.75" x14ac:dyDescent="0.25">
      <c r="A23" s="347"/>
      <c r="B23" s="348" t="s">
        <v>5547</v>
      </c>
      <c r="C23" s="349"/>
      <c r="D23" s="350"/>
      <c r="E23" s="382">
        <f>F23/F34</f>
        <v>6.2598362589199943E-2</v>
      </c>
      <c r="F23" s="500">
        <f>'PO-SEDE'!H146+'PO-SEDE'!H153+'PO-SEDE'!H158</f>
        <v>172143.75</v>
      </c>
      <c r="G23" s="500">
        <f t="shared" si="0"/>
        <v>226076.386875</v>
      </c>
      <c r="H23" s="470"/>
      <c r="I23" s="470"/>
      <c r="J23" s="470"/>
      <c r="K23" s="470"/>
      <c r="L23" s="487"/>
      <c r="M23" s="491">
        <f>G23</f>
        <v>226076.386875</v>
      </c>
    </row>
    <row r="24" spans="1:13" ht="18.75" x14ac:dyDescent="0.25">
      <c r="A24" s="347"/>
      <c r="B24" s="348" t="str">
        <f>'PO-SEDE'!B162</f>
        <v>GRADIS E CORRIMÃOS</v>
      </c>
      <c r="C24" s="349"/>
      <c r="D24" s="350"/>
      <c r="E24" s="382">
        <f>F24/F34</f>
        <v>1.6008562472355853E-2</v>
      </c>
      <c r="F24" s="500">
        <f>'PO-SEDE'!H162</f>
        <v>44023.1</v>
      </c>
      <c r="G24" s="500">
        <f t="shared" si="0"/>
        <v>57815.537229999994</v>
      </c>
      <c r="H24" s="470"/>
      <c r="I24" s="470"/>
      <c r="J24" s="470"/>
      <c r="K24" s="470"/>
      <c r="L24" s="490"/>
      <c r="M24" s="491">
        <f>G24</f>
        <v>57815.537229999994</v>
      </c>
    </row>
    <row r="25" spans="1:13" ht="18.75" x14ac:dyDescent="0.25">
      <c r="A25" s="347"/>
      <c r="B25" s="348" t="str">
        <f>'PO-SEDE'!B167</f>
        <v>COMUNICAÇÃO VISUAL</v>
      </c>
      <c r="C25" s="349"/>
      <c r="D25" s="350"/>
      <c r="E25" s="382">
        <f>F25/F34</f>
        <v>3.8510536301479335E-3</v>
      </c>
      <c r="F25" s="500">
        <f>'PO-SEDE'!H167</f>
        <v>10590.29</v>
      </c>
      <c r="G25" s="500">
        <f t="shared" si="0"/>
        <v>13908.227857</v>
      </c>
      <c r="H25" s="470"/>
      <c r="I25" s="470"/>
      <c r="J25" s="470"/>
      <c r="K25" s="470"/>
      <c r="L25" s="470"/>
      <c r="M25" s="473">
        <f>G25</f>
        <v>13908.227857</v>
      </c>
    </row>
    <row r="26" spans="1:13" ht="18.75" x14ac:dyDescent="0.25">
      <c r="A26" s="347"/>
      <c r="B26" s="348" t="str">
        <f>'PO-SEDE'!B172</f>
        <v>EQUIPAMENTOS E ACESSÓRIOS SANITÁRIOS</v>
      </c>
      <c r="C26" s="349"/>
      <c r="D26" s="350"/>
      <c r="E26" s="382">
        <f>F26/F34</f>
        <v>1.7019914554841895E-2</v>
      </c>
      <c r="F26" s="500">
        <f>'PO-SEDE'!H172</f>
        <v>46804.289999999994</v>
      </c>
      <c r="G26" s="500">
        <f t="shared" si="0"/>
        <v>61468.074056999991</v>
      </c>
      <c r="H26" s="470"/>
      <c r="I26" s="470"/>
      <c r="J26" s="470"/>
      <c r="K26" s="470"/>
      <c r="L26" s="473">
        <f>G26</f>
        <v>61468.074056999991</v>
      </c>
      <c r="M26" s="470"/>
    </row>
    <row r="27" spans="1:13" ht="18.75" x14ac:dyDescent="0.25">
      <c r="A27" s="347"/>
      <c r="B27" s="348" t="str">
        <f>'PO-SEDE'!B204</f>
        <v>PAISAGISMO</v>
      </c>
      <c r="C27" s="349"/>
      <c r="D27" s="350"/>
      <c r="E27" s="382">
        <f>F27/F34</f>
        <v>1.0376636222515261E-2</v>
      </c>
      <c r="F27" s="500">
        <f>'PO-SEDE'!H204</f>
        <v>28535.46</v>
      </c>
      <c r="G27" s="500">
        <f t="shared" si="0"/>
        <v>37475.619617999997</v>
      </c>
      <c r="H27" s="470"/>
      <c r="I27" s="470"/>
      <c r="J27" s="470"/>
      <c r="K27" s="470"/>
      <c r="L27" s="490"/>
      <c r="M27" s="491">
        <f>G27</f>
        <v>37475.619617999997</v>
      </c>
    </row>
    <row r="28" spans="1:13" ht="18.75" x14ac:dyDescent="0.25">
      <c r="A28" s="347"/>
      <c r="B28" s="348" t="str">
        <f>'PO-SEDE'!B213</f>
        <v>INSTALAÇÕES ELÉTRICAS</v>
      </c>
      <c r="C28" s="349"/>
      <c r="D28" s="350"/>
      <c r="E28" s="382">
        <f>F28/F34</f>
        <v>6.1885238988007317E-2</v>
      </c>
      <c r="F28" s="500">
        <f>'PO-SEDE'!H213</f>
        <v>170182.68</v>
      </c>
      <c r="G28" s="500">
        <f t="shared" si="0"/>
        <v>223500.91364399999</v>
      </c>
      <c r="H28" s="470"/>
      <c r="I28" s="470"/>
      <c r="J28" s="490"/>
      <c r="K28" s="492"/>
      <c r="L28" s="491">
        <f>G28</f>
        <v>223500.91364399999</v>
      </c>
      <c r="M28" s="470"/>
    </row>
    <row r="29" spans="1:13" ht="18.75" x14ac:dyDescent="0.25">
      <c r="A29" s="347"/>
      <c r="B29" s="348" t="str">
        <f>'PO-SEDE'!B272</f>
        <v>INSTALAÇÕES DE SISTEMA FOTOVOLTAICO</v>
      </c>
      <c r="C29" s="349"/>
      <c r="D29" s="350"/>
      <c r="E29" s="382">
        <f>F29/F34</f>
        <v>4.4396534220825484E-2</v>
      </c>
      <c r="F29" s="500">
        <f>'PO-SEDE'!H272</f>
        <v>122089.23</v>
      </c>
      <c r="G29" s="500">
        <f t="shared" si="0"/>
        <v>160339.78575899999</v>
      </c>
      <c r="H29" s="470"/>
      <c r="I29" s="470"/>
      <c r="J29" s="470"/>
      <c r="K29" s="490"/>
      <c r="L29" s="491">
        <f>G29</f>
        <v>160339.78575899999</v>
      </c>
      <c r="M29" s="470"/>
    </row>
    <row r="30" spans="1:13" ht="18.75" x14ac:dyDescent="0.25">
      <c r="A30" s="347"/>
      <c r="B30" s="348" t="str">
        <f>'PO-SEDE'!B276</f>
        <v>INSTALAÇÕES HIDRÁULICAS</v>
      </c>
      <c r="C30" s="349"/>
      <c r="D30" s="350"/>
      <c r="E30" s="382">
        <f>F30/F34</f>
        <v>4.0205615323172246E-2</v>
      </c>
      <c r="F30" s="500">
        <f>'PO-SEDE'!H276</f>
        <v>110564.32000000002</v>
      </c>
      <c r="G30" s="500">
        <f t="shared" si="0"/>
        <v>145204.12145600002</v>
      </c>
      <c r="H30" s="470"/>
      <c r="I30" s="470"/>
      <c r="J30" s="490"/>
      <c r="K30" s="492"/>
      <c r="L30" s="491">
        <f>G30</f>
        <v>145204.12145600002</v>
      </c>
      <c r="M30" s="470"/>
    </row>
    <row r="31" spans="1:13" ht="18.75" x14ac:dyDescent="0.25">
      <c r="A31" s="347"/>
      <c r="B31" s="348" t="str">
        <f>'PO-SEDE'!B371</f>
        <v>EQUIPAMENTOS ELETROMECÂNICOS</v>
      </c>
      <c r="C31" s="349"/>
      <c r="D31" s="350"/>
      <c r="E31" s="382">
        <f>F31/F34</f>
        <v>2.1795752116160569E-2</v>
      </c>
      <c r="F31" s="500">
        <f>'PO-SEDE'!H371</f>
        <v>59937.710000000006</v>
      </c>
      <c r="G31" s="500">
        <f t="shared" si="0"/>
        <v>78716.194543000005</v>
      </c>
      <c r="H31" s="470"/>
      <c r="I31" s="470"/>
      <c r="J31" s="470"/>
      <c r="K31" s="470"/>
      <c r="L31" s="490"/>
      <c r="M31" s="491">
        <f>G31</f>
        <v>78716.194543000005</v>
      </c>
    </row>
    <row r="32" spans="1:13" ht="18.75" x14ac:dyDescent="0.25">
      <c r="A32" s="347"/>
      <c r="B32" s="348" t="str">
        <f>'PO-SEDE'!B383</f>
        <v>SERVIÇOS COMPLEMENTARES</v>
      </c>
      <c r="C32" s="349"/>
      <c r="D32" s="350"/>
      <c r="E32" s="383">
        <f>F32/F34</f>
        <v>2.104254083538717E-3</v>
      </c>
      <c r="F32" s="502">
        <f>'PO-SEDE'!H383</f>
        <v>5786.64</v>
      </c>
      <c r="G32" s="502">
        <f t="shared" si="0"/>
        <v>7599.5943120000002</v>
      </c>
      <c r="H32" s="470"/>
      <c r="I32" s="470"/>
      <c r="J32" s="470"/>
      <c r="K32" s="470"/>
      <c r="L32" s="493"/>
      <c r="M32" s="494">
        <f>G32</f>
        <v>7599.5943120000002</v>
      </c>
    </row>
    <row r="33" spans="1:13" ht="18.75" x14ac:dyDescent="0.25">
      <c r="A33" s="370"/>
      <c r="B33" s="371" t="s">
        <v>30</v>
      </c>
      <c r="C33" s="372"/>
      <c r="D33" s="373"/>
      <c r="E33" s="495">
        <f>F33/F34</f>
        <v>9.2170644539159657E-2</v>
      </c>
      <c r="F33" s="503">
        <f>'PO-SEDE'!H393</f>
        <v>253466.7</v>
      </c>
      <c r="G33" s="503">
        <f t="shared" si="0"/>
        <v>332877.81711</v>
      </c>
      <c r="H33" s="488">
        <f>G33/6</f>
        <v>55479.636185000003</v>
      </c>
      <c r="I33" s="489">
        <f>G33/6</f>
        <v>55479.636185000003</v>
      </c>
      <c r="J33" s="489">
        <f>G33/6</f>
        <v>55479.636185000003</v>
      </c>
      <c r="K33" s="489">
        <f>G33/6</f>
        <v>55479.636185000003</v>
      </c>
      <c r="L33" s="489">
        <f>G33/6</f>
        <v>55479.636185000003</v>
      </c>
      <c r="M33" s="489">
        <f>G33/6</f>
        <v>55479.636185000003</v>
      </c>
    </row>
    <row r="34" spans="1:13" ht="23.25" x14ac:dyDescent="0.25">
      <c r="A34" s="496"/>
      <c r="B34" s="497" t="s">
        <v>5555</v>
      </c>
      <c r="C34" s="498"/>
      <c r="D34" s="499"/>
      <c r="E34" s="495"/>
      <c r="F34" s="503">
        <f t="shared" ref="F34:M34" si="1">SUM(F10:F33)</f>
        <v>2749972.0900000003</v>
      </c>
      <c r="G34" s="503">
        <f t="shared" si="1"/>
        <v>3549143.1814200003</v>
      </c>
      <c r="H34" s="505">
        <f t="shared" si="1"/>
        <v>163914.57429533335</v>
      </c>
      <c r="I34" s="506">
        <f t="shared" si="1"/>
        <v>134569.33231733335</v>
      </c>
      <c r="J34" s="506">
        <f t="shared" si="1"/>
        <v>88672.084518333344</v>
      </c>
      <c r="K34" s="506">
        <f t="shared" si="1"/>
        <v>88672.084518333344</v>
      </c>
      <c r="L34" s="506">
        <f t="shared" si="1"/>
        <v>2035839.4814383334</v>
      </c>
      <c r="M34" s="506">
        <f t="shared" si="1"/>
        <v>1037475.6243323331</v>
      </c>
    </row>
    <row r="35" spans="1:13" ht="21" x14ac:dyDescent="0.25">
      <c r="A35" s="480"/>
      <c r="B35" s="481" t="s">
        <v>5476</v>
      </c>
      <c r="C35" s="482"/>
      <c r="D35" s="483"/>
      <c r="E35" s="484">
        <v>1</v>
      </c>
      <c r="F35" s="484"/>
      <c r="G35" s="484"/>
      <c r="H35" s="485">
        <v>4.6199999999999998E-2</v>
      </c>
      <c r="I35" s="485">
        <v>3.7900000000000003E-2</v>
      </c>
      <c r="J35" s="485">
        <v>2.5000000000000001E-2</v>
      </c>
      <c r="K35" s="485">
        <v>2.5000000000000001E-2</v>
      </c>
      <c r="L35" s="485">
        <v>0.5736</v>
      </c>
      <c r="M35" s="485">
        <v>0.2923</v>
      </c>
    </row>
    <row r="36" spans="1:13" ht="18.75" x14ac:dyDescent="0.25">
      <c r="A36" s="251"/>
      <c r="B36" s="252"/>
      <c r="C36" s="252"/>
      <c r="D36" s="391"/>
      <c r="E36" s="477"/>
      <c r="F36" s="477"/>
      <c r="G36" s="477"/>
      <c r="H36" s="391"/>
      <c r="I36" s="391"/>
      <c r="J36" s="391"/>
      <c r="K36" s="391"/>
      <c r="L36" s="391"/>
      <c r="M36" s="486"/>
    </row>
    <row r="37" spans="1:13" x14ac:dyDescent="0.25">
      <c r="A37" s="416"/>
      <c r="B37" s="417"/>
      <c r="C37" s="417"/>
      <c r="D37" s="417"/>
      <c r="E37" s="441"/>
      <c r="F37" s="441"/>
      <c r="G37" s="441"/>
      <c r="H37" s="417"/>
      <c r="I37" s="417"/>
      <c r="J37" s="417"/>
      <c r="K37" s="417"/>
      <c r="L37" s="417"/>
      <c r="M37" s="417"/>
    </row>
  </sheetData>
  <mergeCells count="4">
    <mergeCell ref="E8:E9"/>
    <mergeCell ref="F8:F9"/>
    <mergeCell ref="G8:G9"/>
    <mergeCell ref="D2:H2"/>
  </mergeCells>
  <pageMargins left="0.511811024" right="0.511811024" top="0.78740157499999996" bottom="0.78740157499999996" header="0.31496062000000002" footer="0.31496062000000002"/>
  <pageSetup paperSize="9" scale="4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69"/>
  <sheetViews>
    <sheetView view="pageBreakPreview" topLeftCell="A24" zoomScale="115" zoomScaleNormal="80" zoomScaleSheetLayoutView="115" workbookViewId="0">
      <selection activeCell="F5" sqref="F4:F5"/>
    </sheetView>
  </sheetViews>
  <sheetFormatPr defaultRowHeight="15" x14ac:dyDescent="0.25"/>
  <cols>
    <col min="2" max="2" width="26.7109375" bestFit="1" customWidth="1"/>
    <col min="3" max="3" width="12.140625" customWidth="1"/>
    <col min="4" max="4" width="51.85546875" customWidth="1"/>
  </cols>
  <sheetData>
    <row r="1" spans="1:8" s="151" customFormat="1" x14ac:dyDescent="0.25">
      <c r="A1" s="155"/>
      <c r="B1" s="153"/>
      <c r="C1" s="153"/>
      <c r="D1" s="154"/>
      <c r="E1" s="153"/>
      <c r="F1" s="153"/>
      <c r="G1" s="153"/>
      <c r="H1" s="153"/>
    </row>
    <row r="2" spans="1:8" s="151" customFormat="1" x14ac:dyDescent="0.25">
      <c r="A2" s="155"/>
      <c r="B2" s="153"/>
      <c r="C2" s="153"/>
      <c r="D2" s="601"/>
      <c r="E2" s="601"/>
      <c r="F2" s="601"/>
      <c r="G2" s="601"/>
      <c r="H2" s="153"/>
    </row>
    <row r="3" spans="1:8" s="151" customFormat="1" x14ac:dyDescent="0.25">
      <c r="A3" s="155"/>
      <c r="B3" s="153"/>
      <c r="C3" s="153"/>
      <c r="D3" s="154"/>
      <c r="E3" s="153"/>
      <c r="F3" s="153"/>
      <c r="G3" s="153"/>
      <c r="H3" s="153"/>
    </row>
    <row r="4" spans="1:8" s="151" customFormat="1" x14ac:dyDescent="0.25">
      <c r="A4" s="155"/>
      <c r="B4" s="153"/>
      <c r="C4" s="153"/>
      <c r="D4" s="154"/>
      <c r="E4" s="153"/>
      <c r="F4" s="153"/>
      <c r="G4" s="153"/>
      <c r="H4" s="153"/>
    </row>
    <row r="5" spans="1:8" s="151" customFormat="1" x14ac:dyDescent="0.25">
      <c r="A5" s="155"/>
      <c r="B5" s="153"/>
      <c r="C5" s="153"/>
      <c r="D5" s="154"/>
      <c r="E5" s="153"/>
      <c r="F5" s="153"/>
      <c r="G5" s="153"/>
      <c r="H5" s="153"/>
    </row>
    <row r="6" spans="1:8" s="151" customFormat="1" x14ac:dyDescent="0.25">
      <c r="A6" s="155"/>
      <c r="B6" s="153"/>
      <c r="C6" s="153"/>
      <c r="D6" s="154"/>
      <c r="E6" s="153"/>
      <c r="F6" s="153"/>
      <c r="G6" s="153"/>
      <c r="H6" s="153"/>
    </row>
    <row r="7" spans="1:8" s="151" customFormat="1" x14ac:dyDescent="0.25">
      <c r="A7" s="155"/>
      <c r="B7" s="153"/>
      <c r="C7" s="153"/>
      <c r="D7" s="154"/>
      <c r="E7" s="153"/>
      <c r="F7" s="153"/>
      <c r="G7" s="153"/>
      <c r="H7" s="153"/>
    </row>
    <row r="8" spans="1:8" s="151" customFormat="1" ht="41.25" customHeight="1" x14ac:dyDescent="0.25">
      <c r="A8" s="155"/>
      <c r="B8" s="510" t="s">
        <v>35</v>
      </c>
      <c r="C8" s="510"/>
      <c r="D8" s="510"/>
      <c r="E8" s="510"/>
      <c r="F8" s="510"/>
      <c r="G8" s="510"/>
      <c r="H8" s="153"/>
    </row>
    <row r="9" spans="1:8" s="151" customFormat="1" ht="18.75" x14ac:dyDescent="0.25">
      <c r="A9" s="155"/>
      <c r="B9" s="546" t="s">
        <v>36</v>
      </c>
      <c r="C9" s="546"/>
      <c r="D9" s="546"/>
      <c r="E9" s="546"/>
      <c r="F9" s="546"/>
      <c r="G9" s="546"/>
      <c r="H9" s="153"/>
    </row>
    <row r="10" spans="1:8" s="151" customFormat="1" ht="18.75" x14ac:dyDescent="0.25">
      <c r="A10" s="155"/>
      <c r="B10" s="546" t="s">
        <v>4</v>
      </c>
      <c r="C10" s="546"/>
      <c r="D10" s="546"/>
      <c r="E10" s="546"/>
      <c r="F10" s="546"/>
      <c r="G10" s="546"/>
      <c r="H10" s="153"/>
    </row>
    <row r="11" spans="1:8" s="151" customFormat="1" x14ac:dyDescent="0.25">
      <c r="A11" s="155"/>
      <c r="B11" s="153"/>
      <c r="C11" s="153"/>
      <c r="D11" s="154"/>
      <c r="E11" s="153"/>
      <c r="F11" s="153"/>
      <c r="G11" s="153"/>
      <c r="H11" s="153"/>
    </row>
    <row r="12" spans="1:8" ht="38.25" customHeight="1" x14ac:dyDescent="0.25">
      <c r="A12" s="607" t="s">
        <v>4682</v>
      </c>
      <c r="B12" s="608"/>
      <c r="C12" s="608"/>
      <c r="D12" s="608"/>
      <c r="E12" s="608"/>
      <c r="F12" s="608"/>
      <c r="G12" s="608"/>
      <c r="H12" s="608"/>
    </row>
    <row r="13" spans="1:8" x14ac:dyDescent="0.25">
      <c r="A13" s="186"/>
      <c r="B13" s="187"/>
      <c r="C13" s="187"/>
      <c r="D13" s="187"/>
      <c r="E13" s="187"/>
      <c r="F13" s="187"/>
      <c r="G13" s="187"/>
      <c r="H13" s="187"/>
    </row>
    <row r="14" spans="1:8" x14ac:dyDescent="0.25">
      <c r="A14" s="186"/>
      <c r="B14" s="179" t="s">
        <v>4661</v>
      </c>
      <c r="C14" s="180">
        <v>0</v>
      </c>
      <c r="D14" s="187"/>
      <c r="E14" s="186" t="s">
        <v>4456</v>
      </c>
      <c r="F14" s="186"/>
      <c r="G14" s="186"/>
      <c r="H14" s="193"/>
    </row>
    <row r="15" spans="1:8" x14ac:dyDescent="0.25">
      <c r="A15" s="187"/>
      <c r="B15" s="187"/>
      <c r="C15" s="187"/>
      <c r="D15" s="187"/>
      <c r="E15" s="187"/>
      <c r="F15" s="187"/>
      <c r="G15" s="187"/>
      <c r="H15" s="187"/>
    </row>
    <row r="16" spans="1:8" x14ac:dyDescent="0.25">
      <c r="A16" s="186"/>
      <c r="B16" s="179" t="s">
        <v>4664</v>
      </c>
      <c r="C16" s="180">
        <v>0.1</v>
      </c>
      <c r="D16" s="187"/>
      <c r="E16" s="187" t="s">
        <v>4457</v>
      </c>
      <c r="F16" s="187"/>
      <c r="G16" s="187"/>
      <c r="H16" s="190">
        <v>100</v>
      </c>
    </row>
    <row r="17" spans="1:8" x14ac:dyDescent="0.25">
      <c r="A17" s="186"/>
      <c r="B17" s="187"/>
      <c r="C17" s="186"/>
      <c r="D17" s="187"/>
      <c r="E17" s="187" t="s">
        <v>4460</v>
      </c>
      <c r="F17" s="187"/>
      <c r="G17" s="187"/>
      <c r="H17" s="190">
        <v>0</v>
      </c>
    </row>
    <row r="18" spans="1:8" x14ac:dyDescent="0.25">
      <c r="A18" s="187"/>
      <c r="B18" s="179" t="s">
        <v>4464</v>
      </c>
      <c r="C18" s="180">
        <v>0.15</v>
      </c>
      <c r="D18" s="187"/>
      <c r="E18" s="187" t="s">
        <v>4660</v>
      </c>
      <c r="F18" s="187"/>
      <c r="G18" s="187"/>
      <c r="H18" s="190">
        <f>H17+H16</f>
        <v>100</v>
      </c>
    </row>
    <row r="19" spans="1:8" x14ac:dyDescent="0.25">
      <c r="A19" s="187"/>
      <c r="B19" s="187"/>
      <c r="C19" s="187"/>
      <c r="D19" s="187"/>
      <c r="E19" s="187" t="s">
        <v>4464</v>
      </c>
      <c r="F19" s="187"/>
      <c r="G19" s="187"/>
      <c r="H19" s="190">
        <f>+H18*C18</f>
        <v>15</v>
      </c>
    </row>
    <row r="20" spans="1:8" x14ac:dyDescent="0.25">
      <c r="A20" s="187"/>
      <c r="B20" s="186" t="s">
        <v>4667</v>
      </c>
      <c r="C20" s="188"/>
      <c r="D20" s="187"/>
      <c r="E20" s="187" t="s">
        <v>4662</v>
      </c>
      <c r="F20" s="187"/>
      <c r="G20" s="187"/>
      <c r="H20" s="190">
        <f>+H16+H17+H19</f>
        <v>115</v>
      </c>
    </row>
    <row r="21" spans="1:8" x14ac:dyDescent="0.25">
      <c r="A21" s="187"/>
      <c r="B21" s="187" t="s">
        <v>4416</v>
      </c>
      <c r="C21" s="188">
        <v>0.02</v>
      </c>
      <c r="D21" s="187"/>
      <c r="E21" s="187" t="s">
        <v>4663</v>
      </c>
      <c r="F21" s="187"/>
      <c r="G21" s="187"/>
      <c r="H21" s="190">
        <f>+H20</f>
        <v>115</v>
      </c>
    </row>
    <row r="22" spans="1:8" x14ac:dyDescent="0.25">
      <c r="A22" s="187"/>
      <c r="B22" s="187" t="s">
        <v>4440</v>
      </c>
      <c r="C22" s="188">
        <v>1.6500000000000001E-2</v>
      </c>
      <c r="D22" s="187"/>
      <c r="E22" s="187" t="s">
        <v>4469</v>
      </c>
      <c r="F22" s="187"/>
      <c r="G22" s="187"/>
      <c r="H22" s="190">
        <f>+H21*C16</f>
        <v>11.5</v>
      </c>
    </row>
    <row r="23" spans="1:8" x14ac:dyDescent="0.25">
      <c r="A23" s="187"/>
      <c r="B23" s="187" t="s">
        <v>4415</v>
      </c>
      <c r="C23" s="188">
        <v>7.5999999999999998E-2</v>
      </c>
      <c r="D23" s="187"/>
      <c r="E23" s="187" t="s">
        <v>4665</v>
      </c>
      <c r="F23" s="187"/>
      <c r="G23" s="187"/>
      <c r="H23" s="190">
        <f>+H16+H17+H19+H22</f>
        <v>126.5</v>
      </c>
    </row>
    <row r="24" spans="1:8" x14ac:dyDescent="0.25">
      <c r="A24" s="187"/>
      <c r="B24" s="187"/>
      <c r="C24" s="187"/>
      <c r="D24" s="187"/>
      <c r="E24" s="187" t="s">
        <v>4448</v>
      </c>
      <c r="F24" s="187"/>
      <c r="G24" s="187"/>
      <c r="H24" s="190">
        <f>+H23*C29</f>
        <v>16.035211267605639</v>
      </c>
    </row>
    <row r="25" spans="1:8" x14ac:dyDescent="0.25">
      <c r="A25" s="187"/>
      <c r="B25" s="186" t="s">
        <v>4668</v>
      </c>
      <c r="C25" s="188">
        <f>SUM(C21:C23)</f>
        <v>0.1125</v>
      </c>
      <c r="D25" s="187"/>
      <c r="E25" s="187" t="s">
        <v>4666</v>
      </c>
      <c r="F25" s="187"/>
      <c r="G25" s="187"/>
      <c r="H25" s="190">
        <f>+H16+H17+H19+H22+H24</f>
        <v>142.53521126760563</v>
      </c>
    </row>
    <row r="26" spans="1:8" x14ac:dyDescent="0.25">
      <c r="A26" s="187"/>
      <c r="B26" s="187"/>
      <c r="C26" s="187"/>
      <c r="D26" s="187"/>
      <c r="E26" s="187" t="s">
        <v>4474</v>
      </c>
      <c r="F26" s="187"/>
      <c r="G26" s="187"/>
      <c r="H26" s="190">
        <f>+H25</f>
        <v>142.53521126760563</v>
      </c>
    </row>
    <row r="27" spans="1:8" x14ac:dyDescent="0.25">
      <c r="A27" s="187"/>
      <c r="B27" s="186" t="s">
        <v>4669</v>
      </c>
      <c r="C27" s="188"/>
      <c r="D27" s="187"/>
      <c r="E27" s="187" t="s">
        <v>4416</v>
      </c>
      <c r="F27" s="187"/>
      <c r="G27" s="187"/>
      <c r="H27" s="190">
        <f>-H26*C21</f>
        <v>-2.8507042253521129</v>
      </c>
    </row>
    <row r="28" spans="1:8" x14ac:dyDescent="0.25">
      <c r="A28" s="187"/>
      <c r="B28" s="186"/>
      <c r="C28" s="188"/>
      <c r="D28" s="187"/>
      <c r="E28" s="187" t="s">
        <v>4440</v>
      </c>
      <c r="F28" s="187"/>
      <c r="G28" s="187"/>
      <c r="H28" s="190">
        <f>-H26*C22</f>
        <v>-2.3518309859154929</v>
      </c>
    </row>
    <row r="29" spans="1:8" x14ac:dyDescent="0.25">
      <c r="A29" s="187"/>
      <c r="B29" s="179" t="s">
        <v>4670</v>
      </c>
      <c r="C29" s="180">
        <f>((1/(1-C25)-1))</f>
        <v>0.12676056338028174</v>
      </c>
      <c r="D29" s="187"/>
      <c r="E29" s="187" t="s">
        <v>4415</v>
      </c>
      <c r="F29" s="187"/>
      <c r="G29" s="187"/>
      <c r="H29" s="190">
        <f>-H26*C23</f>
        <v>-10.832676056338029</v>
      </c>
    </row>
    <row r="30" spans="1:8" x14ac:dyDescent="0.25">
      <c r="A30" s="187"/>
      <c r="B30" s="186"/>
      <c r="C30" s="188"/>
      <c r="D30" s="187"/>
      <c r="E30" s="187" t="s">
        <v>4479</v>
      </c>
      <c r="F30" s="187"/>
      <c r="G30" s="187"/>
      <c r="H30" s="190">
        <f>SUM(H26:H29)</f>
        <v>126.50000000000001</v>
      </c>
    </row>
    <row r="31" spans="1:8" x14ac:dyDescent="0.25">
      <c r="A31" s="187"/>
      <c r="B31" s="186" t="s">
        <v>4671</v>
      </c>
      <c r="C31" s="188"/>
      <c r="D31" s="187"/>
      <c r="E31" s="187" t="s">
        <v>4663</v>
      </c>
      <c r="F31" s="187"/>
      <c r="G31" s="187"/>
      <c r="H31" s="190">
        <f>+H21</f>
        <v>115</v>
      </c>
    </row>
    <row r="32" spans="1:8" x14ac:dyDescent="0.25">
      <c r="A32" s="187"/>
      <c r="B32" s="186"/>
      <c r="C32" s="188"/>
      <c r="D32" s="187"/>
      <c r="E32" s="187" t="s">
        <v>4481</v>
      </c>
      <c r="F32" s="187"/>
      <c r="G32" s="187"/>
      <c r="H32" s="190">
        <f>+H31*C16</f>
        <v>11.5</v>
      </c>
    </row>
    <row r="33" spans="1:8" x14ac:dyDescent="0.25">
      <c r="A33" s="187"/>
      <c r="B33" s="186" t="s">
        <v>4683</v>
      </c>
      <c r="C33" s="206">
        <f>+(1+C14)*(1+C16)*(1+C18)*(1+C29)</f>
        <v>1.4253521126760562</v>
      </c>
      <c r="D33" s="187"/>
      <c r="E33" s="187" t="s">
        <v>4482</v>
      </c>
      <c r="F33" s="187"/>
      <c r="G33" s="187"/>
      <c r="H33" s="192">
        <f>C16</f>
        <v>0.1</v>
      </c>
    </row>
    <row r="34" spans="1:8" x14ac:dyDescent="0.25">
      <c r="A34" s="187"/>
      <c r="B34" s="187"/>
      <c r="C34" s="187"/>
      <c r="D34" s="187"/>
      <c r="E34" s="187" t="s">
        <v>4485</v>
      </c>
      <c r="F34" s="187"/>
      <c r="G34" s="187"/>
      <c r="H34" s="192">
        <v>0.15</v>
      </c>
    </row>
    <row r="35" spans="1:8" x14ac:dyDescent="0.25">
      <c r="A35" s="187"/>
      <c r="B35" s="187"/>
      <c r="C35" s="187"/>
      <c r="D35" s="187"/>
      <c r="E35" s="187" t="s">
        <v>4487</v>
      </c>
      <c r="F35" s="187"/>
      <c r="G35" s="187"/>
      <c r="H35" s="192">
        <v>0.09</v>
      </c>
    </row>
    <row r="36" spans="1:8" x14ac:dyDescent="0.25">
      <c r="A36" s="187"/>
      <c r="B36" s="187"/>
      <c r="C36" s="187"/>
      <c r="D36" s="187"/>
      <c r="E36" s="187" t="s">
        <v>4489</v>
      </c>
      <c r="F36" s="187"/>
      <c r="G36" s="187"/>
      <c r="H36" s="190">
        <f>-H34*H32</f>
        <v>-1.7249999999999999</v>
      </c>
    </row>
    <row r="37" spans="1:8" x14ac:dyDescent="0.25">
      <c r="A37" s="187"/>
      <c r="B37" s="187"/>
      <c r="C37" s="187"/>
      <c r="D37" s="187"/>
      <c r="E37" s="187" t="s">
        <v>4491</v>
      </c>
      <c r="F37" s="187"/>
      <c r="G37" s="187"/>
      <c r="H37" s="190">
        <f>-H35*H32</f>
        <v>-1.0349999999999999</v>
      </c>
    </row>
    <row r="38" spans="1:8" x14ac:dyDescent="0.25">
      <c r="A38" s="187"/>
      <c r="B38" s="187"/>
      <c r="C38" s="187"/>
      <c r="D38" s="187"/>
      <c r="E38" s="187" t="s">
        <v>4493</v>
      </c>
      <c r="F38" s="187"/>
      <c r="G38" s="187"/>
      <c r="H38" s="190">
        <f>H32+H37+H36</f>
        <v>8.74</v>
      </c>
    </row>
    <row r="39" spans="1:8" x14ac:dyDescent="0.25">
      <c r="A39" s="187"/>
      <c r="B39" s="187"/>
      <c r="C39" s="187"/>
      <c r="D39" s="187"/>
      <c r="E39" s="187" t="s">
        <v>4673</v>
      </c>
      <c r="F39" s="187"/>
      <c r="G39" s="187"/>
      <c r="H39" s="188">
        <f>+H38/H22*C16</f>
        <v>7.6000000000000012E-2</v>
      </c>
    </row>
    <row r="40" spans="1:8" x14ac:dyDescent="0.25">
      <c r="A40" s="187"/>
      <c r="B40" s="186"/>
      <c r="C40" s="188"/>
      <c r="D40" s="187"/>
      <c r="E40" s="187"/>
      <c r="F40" s="187"/>
      <c r="G40" s="187"/>
      <c r="H40" s="190"/>
    </row>
    <row r="41" spans="1:8" s="151" customFormat="1" x14ac:dyDescent="0.25">
      <c r="A41" s="155"/>
      <c r="B41" s="153"/>
      <c r="C41" s="153"/>
      <c r="D41" s="154"/>
      <c r="E41" s="153"/>
      <c r="F41" s="153"/>
      <c r="G41" s="153"/>
      <c r="H41" s="153"/>
    </row>
    <row r="42" spans="1:8" s="151" customFormat="1" x14ac:dyDescent="0.25">
      <c r="A42" s="155"/>
      <c r="B42" s="153"/>
      <c r="C42" s="153"/>
      <c r="D42" s="154"/>
      <c r="E42" s="153"/>
      <c r="F42" s="153"/>
      <c r="G42" s="153"/>
      <c r="H42" s="153"/>
    </row>
    <row r="43" spans="1:8" s="151" customFormat="1" x14ac:dyDescent="0.25">
      <c r="A43" s="155"/>
      <c r="B43" s="153"/>
      <c r="C43" s="153"/>
      <c r="D43" s="154"/>
      <c r="E43" s="153"/>
      <c r="F43" s="153"/>
      <c r="G43" s="153"/>
      <c r="H43" s="153"/>
    </row>
    <row r="44" spans="1:8" s="151" customFormat="1" x14ac:dyDescent="0.25">
      <c r="A44" s="155"/>
      <c r="B44" s="153"/>
      <c r="C44" s="153"/>
      <c r="D44" s="154"/>
      <c r="E44" s="153"/>
      <c r="F44" s="153"/>
      <c r="G44" s="153"/>
      <c r="H44" s="153"/>
    </row>
    <row r="45" spans="1:8" s="151" customFormat="1" x14ac:dyDescent="0.25">
      <c r="A45" s="155"/>
      <c r="B45" s="153"/>
      <c r="C45" s="153"/>
      <c r="D45" s="154"/>
      <c r="E45" s="153"/>
      <c r="F45" s="153"/>
      <c r="G45" s="153"/>
      <c r="H45" s="153"/>
    </row>
    <row r="46" spans="1:8" s="151" customFormat="1" x14ac:dyDescent="0.25">
      <c r="A46" s="155"/>
      <c r="B46" s="153"/>
      <c r="C46" s="153"/>
      <c r="D46" s="154"/>
      <c r="E46" s="153"/>
      <c r="F46" s="153"/>
      <c r="G46" s="153"/>
      <c r="H46" s="153"/>
    </row>
    <row r="47" spans="1:8" s="151" customFormat="1" x14ac:dyDescent="0.25">
      <c r="A47" s="155"/>
      <c r="B47" s="153"/>
      <c r="C47" s="153"/>
      <c r="D47" s="154"/>
      <c r="E47" s="153"/>
      <c r="F47" s="153"/>
      <c r="G47" s="153"/>
      <c r="H47" s="153"/>
    </row>
    <row r="48" spans="1:8" s="151" customFormat="1" ht="41.25" customHeight="1" x14ac:dyDescent="0.25">
      <c r="A48" s="155"/>
      <c r="B48" s="510" t="s">
        <v>35</v>
      </c>
      <c r="C48" s="510"/>
      <c r="D48" s="510"/>
      <c r="E48" s="510"/>
      <c r="F48" s="510"/>
      <c r="G48" s="510"/>
      <c r="H48" s="153"/>
    </row>
    <row r="49" spans="1:8" s="151" customFormat="1" ht="18.75" x14ac:dyDescent="0.25">
      <c r="A49" s="155"/>
      <c r="B49" s="546" t="s">
        <v>36</v>
      </c>
      <c r="C49" s="546"/>
      <c r="D49" s="546"/>
      <c r="E49" s="546"/>
      <c r="F49" s="546"/>
      <c r="G49" s="546"/>
      <c r="H49" s="153"/>
    </row>
    <row r="50" spans="1:8" s="151" customFormat="1" ht="18.75" x14ac:dyDescent="0.25">
      <c r="A50" s="155"/>
      <c r="B50" s="546" t="s">
        <v>4</v>
      </c>
      <c r="C50" s="546"/>
      <c r="D50" s="546"/>
      <c r="E50" s="546"/>
      <c r="F50" s="546"/>
      <c r="G50" s="546"/>
      <c r="H50" s="153"/>
    </row>
    <row r="51" spans="1:8" s="151" customFormat="1" x14ac:dyDescent="0.25">
      <c r="A51" s="155"/>
      <c r="B51" s="153"/>
      <c r="C51" s="153"/>
      <c r="D51" s="154"/>
      <c r="E51" s="153"/>
      <c r="F51" s="153"/>
      <c r="G51" s="153"/>
      <c r="H51" s="153"/>
    </row>
    <row r="52" spans="1:8" x14ac:dyDescent="0.25">
      <c r="A52" s="609" t="s">
        <v>4674</v>
      </c>
      <c r="B52" s="609"/>
      <c r="C52" s="609"/>
      <c r="D52" s="609"/>
      <c r="E52" s="609"/>
      <c r="F52" s="609"/>
      <c r="G52" s="609"/>
      <c r="H52" s="609"/>
    </row>
    <row r="53" spans="1:8" x14ac:dyDescent="0.25">
      <c r="A53" s="194"/>
      <c r="B53" s="194"/>
      <c r="C53" s="194"/>
      <c r="D53" s="194"/>
      <c r="E53" s="194"/>
      <c r="F53" s="194"/>
      <c r="G53" s="194"/>
      <c r="H53" s="194"/>
    </row>
    <row r="54" spans="1:8" x14ac:dyDescent="0.25">
      <c r="A54" s="194">
        <v>1</v>
      </c>
      <c r="B54" s="195" t="s">
        <v>4627</v>
      </c>
      <c r="C54" s="185"/>
      <c r="D54" s="185"/>
      <c r="E54" s="185"/>
      <c r="F54" s="185"/>
      <c r="G54" s="185"/>
      <c r="H54" s="185"/>
    </row>
    <row r="55" spans="1:8" x14ac:dyDescent="0.25">
      <c r="A55" s="196"/>
      <c r="B55" s="602" t="s">
        <v>4678</v>
      </c>
      <c r="C55" s="602"/>
      <c r="D55" s="602"/>
      <c r="E55" s="602"/>
      <c r="F55" s="602"/>
      <c r="G55" s="602"/>
      <c r="H55" s="200">
        <v>0.15</v>
      </c>
    </row>
    <row r="56" spans="1:8" x14ac:dyDescent="0.25">
      <c r="A56" s="196"/>
      <c r="B56" s="605" t="s">
        <v>4677</v>
      </c>
      <c r="C56" s="605"/>
      <c r="D56" s="605"/>
      <c r="E56" s="605"/>
      <c r="F56" s="605"/>
      <c r="G56" s="605"/>
      <c r="H56" s="202">
        <f>H55</f>
        <v>0.15</v>
      </c>
    </row>
    <row r="57" spans="1:8" x14ac:dyDescent="0.25">
      <c r="A57" s="185"/>
      <c r="B57" s="185"/>
      <c r="C57" s="185"/>
      <c r="D57" s="185"/>
      <c r="E57" s="185"/>
      <c r="F57" s="185"/>
      <c r="G57" s="185"/>
      <c r="H57" s="197"/>
    </row>
    <row r="58" spans="1:8" x14ac:dyDescent="0.25">
      <c r="A58" s="194">
        <v>2</v>
      </c>
      <c r="B58" s="195" t="s">
        <v>4651</v>
      </c>
      <c r="C58" s="185"/>
      <c r="D58" s="185"/>
      <c r="E58" s="185"/>
      <c r="F58" s="185"/>
      <c r="G58" s="185"/>
      <c r="H58" s="185"/>
    </row>
    <row r="59" spans="1:8" x14ac:dyDescent="0.25">
      <c r="A59" s="196"/>
      <c r="B59" s="602" t="s">
        <v>4416</v>
      </c>
      <c r="C59" s="602"/>
      <c r="D59" s="602"/>
      <c r="E59" s="602"/>
      <c r="F59" s="602"/>
      <c r="G59" s="602"/>
      <c r="H59" s="200">
        <v>0.02</v>
      </c>
    </row>
    <row r="60" spans="1:8" x14ac:dyDescent="0.25">
      <c r="A60" s="196"/>
      <c r="B60" s="602" t="s">
        <v>4679</v>
      </c>
      <c r="C60" s="602"/>
      <c r="D60" s="602"/>
      <c r="E60" s="602"/>
      <c r="F60" s="602"/>
      <c r="G60" s="602"/>
      <c r="H60" s="200">
        <v>7.5999999999999998E-2</v>
      </c>
    </row>
    <row r="61" spans="1:8" x14ac:dyDescent="0.25">
      <c r="A61" s="196"/>
      <c r="B61" s="602" t="s">
        <v>4680</v>
      </c>
      <c r="C61" s="602"/>
      <c r="D61" s="602"/>
      <c r="E61" s="602"/>
      <c r="F61" s="602"/>
      <c r="G61" s="602"/>
      <c r="H61" s="200">
        <v>1.6500000000000001E-2</v>
      </c>
    </row>
    <row r="62" spans="1:8" x14ac:dyDescent="0.25">
      <c r="A62" s="196"/>
      <c r="B62" s="605" t="s">
        <v>4681</v>
      </c>
      <c r="C62" s="605"/>
      <c r="D62" s="605"/>
      <c r="E62" s="605"/>
      <c r="F62" s="605"/>
      <c r="G62" s="605"/>
      <c r="H62" s="202">
        <f>SUM(H59:H61)</f>
        <v>0.1125</v>
      </c>
    </row>
    <row r="63" spans="1:8" x14ac:dyDescent="0.25">
      <c r="A63" s="196"/>
      <c r="B63" s="205"/>
      <c r="C63" s="205"/>
      <c r="D63" s="205"/>
      <c r="E63" s="205"/>
      <c r="F63" s="205"/>
      <c r="G63" s="205"/>
      <c r="H63" s="202"/>
    </row>
    <row r="64" spans="1:8" x14ac:dyDescent="0.25">
      <c r="A64" s="196"/>
      <c r="B64" s="205"/>
      <c r="C64" s="205"/>
      <c r="D64" s="205"/>
      <c r="E64" s="205"/>
      <c r="F64" s="205"/>
      <c r="G64" s="205"/>
      <c r="H64" s="202"/>
    </row>
    <row r="65" spans="1:8" x14ac:dyDescent="0.25">
      <c r="A65" s="196"/>
      <c r="B65" s="205"/>
      <c r="C65" s="205"/>
      <c r="D65" s="205"/>
      <c r="E65" s="205"/>
      <c r="F65" s="205"/>
      <c r="G65" s="205"/>
      <c r="H65" s="202"/>
    </row>
    <row r="66" spans="1:8" x14ac:dyDescent="0.25">
      <c r="A66" s="185"/>
      <c r="B66" s="512" t="s">
        <v>34</v>
      </c>
      <c r="C66" s="512"/>
      <c r="D66" s="512"/>
      <c r="E66" s="512"/>
      <c r="F66" s="512"/>
      <c r="G66" s="512"/>
      <c r="H66" s="197"/>
    </row>
    <row r="67" spans="1:8" x14ac:dyDescent="0.25">
      <c r="A67" s="185"/>
      <c r="B67" s="513" t="s">
        <v>4656</v>
      </c>
      <c r="C67" s="513"/>
      <c r="D67" s="513"/>
      <c r="E67" s="513"/>
      <c r="F67" s="513"/>
      <c r="G67" s="513"/>
      <c r="H67" s="197"/>
    </row>
    <row r="68" spans="1:8" x14ac:dyDescent="0.25">
      <c r="A68" s="185"/>
      <c r="B68" s="513" t="str">
        <f>'PO-SEDE'!F6&amp;'PO-SEDE'!G6</f>
        <v>RRT Nº4774233</v>
      </c>
      <c r="C68" s="513"/>
      <c r="D68" s="513"/>
      <c r="E68" s="513"/>
      <c r="F68" s="513"/>
      <c r="G68" s="513"/>
      <c r="H68" s="197"/>
    </row>
    <row r="69" spans="1:8" x14ac:dyDescent="0.25">
      <c r="A69" s="185"/>
      <c r="B69" s="602"/>
      <c r="C69" s="602"/>
      <c r="D69" s="602"/>
      <c r="E69" s="602"/>
      <c r="F69" s="602"/>
      <c r="G69" s="602"/>
      <c r="H69" s="197"/>
    </row>
  </sheetData>
  <mergeCells count="19">
    <mergeCell ref="B10:G10"/>
    <mergeCell ref="B48:G48"/>
    <mergeCell ref="B49:G49"/>
    <mergeCell ref="D2:G2"/>
    <mergeCell ref="B68:G68"/>
    <mergeCell ref="B69:G69"/>
    <mergeCell ref="A12:H12"/>
    <mergeCell ref="A52:H52"/>
    <mergeCell ref="B55:G55"/>
    <mergeCell ref="B56:G56"/>
    <mergeCell ref="B59:G59"/>
    <mergeCell ref="B60:G60"/>
    <mergeCell ref="B50:G50"/>
    <mergeCell ref="B61:G61"/>
    <mergeCell ref="B62:G62"/>
    <mergeCell ref="B66:G66"/>
    <mergeCell ref="B67:G67"/>
    <mergeCell ref="B8:G8"/>
    <mergeCell ref="B9:G9"/>
  </mergeCells>
  <pageMargins left="0.51181102362204722" right="0.51181102362204722" top="0.78740157480314965" bottom="0.78740157480314965" header="0.31496062992125984" footer="0.31496062992125984"/>
  <pageSetup paperSize="9" scale="55" orientation="portrait" r:id="rId1"/>
  <rowBreaks count="1" manualBreakCount="1">
    <brk id="4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69"/>
  <sheetViews>
    <sheetView view="pageBreakPreview" topLeftCell="A12" zoomScale="115" zoomScaleNormal="80" zoomScaleSheetLayoutView="115" workbookViewId="0">
      <selection activeCell="F5" sqref="F4:F5"/>
    </sheetView>
  </sheetViews>
  <sheetFormatPr defaultRowHeight="15" x14ac:dyDescent="0.25"/>
  <cols>
    <col min="2" max="2" width="26.7109375" bestFit="1" customWidth="1"/>
    <col min="3" max="3" width="12.7109375" customWidth="1"/>
    <col min="4" max="4" width="51.85546875" customWidth="1"/>
  </cols>
  <sheetData>
    <row r="1" spans="1:8" s="151" customFormat="1" x14ac:dyDescent="0.25">
      <c r="A1" s="155"/>
      <c r="B1" s="153"/>
      <c r="C1" s="153"/>
      <c r="D1" s="154"/>
      <c r="E1" s="153"/>
      <c r="F1" s="153"/>
      <c r="G1" s="153"/>
      <c r="H1" s="153"/>
    </row>
    <row r="2" spans="1:8" s="151" customFormat="1" x14ac:dyDescent="0.25">
      <c r="A2" s="155"/>
      <c r="B2" s="153"/>
      <c r="C2" s="153"/>
      <c r="D2" s="601"/>
      <c r="E2" s="601"/>
      <c r="F2" s="601"/>
      <c r="G2" s="601"/>
      <c r="H2" s="153"/>
    </row>
    <row r="3" spans="1:8" s="151" customFormat="1" x14ac:dyDescent="0.25">
      <c r="A3" s="155"/>
      <c r="B3" s="153"/>
      <c r="C3" s="153"/>
      <c r="D3" s="154"/>
      <c r="E3" s="153"/>
      <c r="F3" s="153"/>
      <c r="G3" s="153"/>
      <c r="H3" s="153"/>
    </row>
    <row r="4" spans="1:8" s="151" customFormat="1" x14ac:dyDescent="0.25">
      <c r="A4" s="155"/>
      <c r="B4" s="153"/>
      <c r="C4" s="153"/>
      <c r="D4" s="154"/>
      <c r="E4" s="153"/>
      <c r="F4" s="153"/>
      <c r="G4" s="153"/>
      <c r="H4" s="153"/>
    </row>
    <row r="5" spans="1:8" s="151" customFormat="1" x14ac:dyDescent="0.25">
      <c r="A5" s="155"/>
      <c r="B5" s="153"/>
      <c r="C5" s="153"/>
      <c r="D5" s="154"/>
      <c r="E5" s="153"/>
      <c r="F5" s="153"/>
      <c r="G5" s="153"/>
      <c r="H5" s="153"/>
    </row>
    <row r="6" spans="1:8" s="151" customFormat="1" x14ac:dyDescent="0.25">
      <c r="A6" s="155"/>
      <c r="B6" s="153"/>
      <c r="C6" s="153"/>
      <c r="D6" s="154"/>
      <c r="E6" s="153"/>
      <c r="F6" s="153"/>
      <c r="G6" s="153"/>
      <c r="H6" s="153"/>
    </row>
    <row r="7" spans="1:8" s="151" customFormat="1" x14ac:dyDescent="0.25">
      <c r="A7" s="155"/>
      <c r="B7" s="153"/>
      <c r="C7" s="153"/>
      <c r="D7" s="154"/>
      <c r="E7" s="153"/>
      <c r="F7" s="153"/>
      <c r="G7" s="153"/>
      <c r="H7" s="153"/>
    </row>
    <row r="8" spans="1:8" s="151" customFormat="1" ht="41.25" customHeight="1" x14ac:dyDescent="0.25">
      <c r="A8" s="155"/>
      <c r="B8" s="510" t="s">
        <v>35</v>
      </c>
      <c r="C8" s="510"/>
      <c r="D8" s="510"/>
      <c r="E8" s="510"/>
      <c r="F8" s="510"/>
      <c r="G8" s="510"/>
      <c r="H8" s="153"/>
    </row>
    <row r="9" spans="1:8" s="151" customFormat="1" ht="18.75" x14ac:dyDescent="0.25">
      <c r="A9" s="155"/>
      <c r="B9" s="546" t="s">
        <v>36</v>
      </c>
      <c r="C9" s="546"/>
      <c r="D9" s="546"/>
      <c r="E9" s="546"/>
      <c r="F9" s="546"/>
      <c r="G9" s="546"/>
      <c r="H9" s="153"/>
    </row>
    <row r="10" spans="1:8" s="151" customFormat="1" ht="18.75" x14ac:dyDescent="0.25">
      <c r="A10" s="155"/>
      <c r="B10" s="546" t="s">
        <v>4</v>
      </c>
      <c r="C10" s="546"/>
      <c r="D10" s="546"/>
      <c r="E10" s="546"/>
      <c r="F10" s="546"/>
      <c r="G10" s="546"/>
      <c r="H10" s="153"/>
    </row>
    <row r="11" spans="1:8" s="151" customFormat="1" x14ac:dyDescent="0.25">
      <c r="A11" s="155"/>
      <c r="B11" s="153"/>
      <c r="C11" s="153"/>
      <c r="D11" s="154"/>
      <c r="E11" s="153"/>
      <c r="F11" s="153"/>
      <c r="G11" s="153"/>
      <c r="H11" s="153"/>
    </row>
    <row r="12" spans="1:8" x14ac:dyDescent="0.25">
      <c r="A12" s="610" t="s">
        <v>4684</v>
      </c>
      <c r="B12" s="610"/>
      <c r="C12" s="610"/>
      <c r="D12" s="610"/>
      <c r="E12" s="610"/>
      <c r="F12" s="610"/>
      <c r="G12" s="610"/>
      <c r="H12" s="610"/>
    </row>
    <row r="13" spans="1:8" x14ac:dyDescent="0.25">
      <c r="A13" s="186"/>
      <c r="B13" s="187"/>
      <c r="C13" s="187"/>
      <c r="D13" s="187"/>
      <c r="E13" s="187"/>
      <c r="F13" s="187"/>
      <c r="G13" s="187"/>
      <c r="H13" s="187"/>
    </row>
    <row r="14" spans="1:8" x14ac:dyDescent="0.25">
      <c r="A14" s="186"/>
      <c r="B14" s="179" t="s">
        <v>4661</v>
      </c>
      <c r="C14" s="180">
        <v>0</v>
      </c>
      <c r="D14" s="187"/>
      <c r="E14" s="186" t="s">
        <v>4456</v>
      </c>
      <c r="F14" s="186"/>
      <c r="G14" s="186"/>
      <c r="H14" s="193"/>
    </row>
    <row r="15" spans="1:8" x14ac:dyDescent="0.25">
      <c r="A15" s="187"/>
      <c r="B15" s="187"/>
      <c r="C15" s="187"/>
      <c r="D15" s="187"/>
      <c r="E15" s="187"/>
      <c r="F15" s="187"/>
      <c r="G15" s="187"/>
      <c r="H15" s="187"/>
    </row>
    <row r="16" spans="1:8" x14ac:dyDescent="0.25">
      <c r="A16" s="186"/>
      <c r="B16" s="179" t="s">
        <v>4664</v>
      </c>
      <c r="C16" s="180">
        <v>0.1</v>
      </c>
      <c r="D16" s="187"/>
      <c r="E16" s="187" t="s">
        <v>4457</v>
      </c>
      <c r="F16" s="187"/>
      <c r="G16" s="187"/>
      <c r="H16" s="190">
        <v>100</v>
      </c>
    </row>
    <row r="17" spans="1:8" x14ac:dyDescent="0.25">
      <c r="A17" s="186"/>
      <c r="B17" s="187"/>
      <c r="C17" s="186"/>
      <c r="D17" s="187"/>
      <c r="E17" s="187" t="s">
        <v>4460</v>
      </c>
      <c r="F17" s="187"/>
      <c r="G17" s="187"/>
      <c r="H17" s="190">
        <v>0</v>
      </c>
    </row>
    <row r="18" spans="1:8" x14ac:dyDescent="0.25">
      <c r="A18" s="187"/>
      <c r="B18" s="179" t="s">
        <v>4464</v>
      </c>
      <c r="C18" s="180">
        <v>0.1</v>
      </c>
      <c r="D18" s="187"/>
      <c r="E18" s="187" t="s">
        <v>4660</v>
      </c>
      <c r="F18" s="187"/>
      <c r="G18" s="187"/>
      <c r="H18" s="190">
        <f>H17+H16</f>
        <v>100</v>
      </c>
    </row>
    <row r="19" spans="1:8" x14ac:dyDescent="0.25">
      <c r="A19" s="187"/>
      <c r="B19" s="187"/>
      <c r="C19" s="187"/>
      <c r="D19" s="187"/>
      <c r="E19" s="187" t="s">
        <v>4464</v>
      </c>
      <c r="F19" s="187"/>
      <c r="G19" s="187"/>
      <c r="H19" s="190">
        <f>+H18*C18</f>
        <v>10</v>
      </c>
    </row>
    <row r="20" spans="1:8" x14ac:dyDescent="0.25">
      <c r="A20" s="187"/>
      <c r="B20" s="186" t="s">
        <v>4667</v>
      </c>
      <c r="C20" s="188"/>
      <c r="D20" s="187"/>
      <c r="E20" s="187" t="s">
        <v>4662</v>
      </c>
      <c r="F20" s="187"/>
      <c r="G20" s="187"/>
      <c r="H20" s="190">
        <f>+H16+H17+H19</f>
        <v>110</v>
      </c>
    </row>
    <row r="21" spans="1:8" x14ac:dyDescent="0.25">
      <c r="A21" s="187"/>
      <c r="B21" s="187" t="s">
        <v>4416</v>
      </c>
      <c r="C21" s="188">
        <v>0.02</v>
      </c>
      <c r="D21" s="187"/>
      <c r="E21" s="187" t="s">
        <v>4663</v>
      </c>
      <c r="F21" s="187"/>
      <c r="G21" s="187"/>
      <c r="H21" s="190">
        <f>+H20</f>
        <v>110</v>
      </c>
    </row>
    <row r="22" spans="1:8" x14ac:dyDescent="0.25">
      <c r="A22" s="187"/>
      <c r="B22" s="187" t="s">
        <v>4440</v>
      </c>
      <c r="C22" s="188">
        <v>1.6500000000000001E-2</v>
      </c>
      <c r="D22" s="187"/>
      <c r="E22" s="187" t="s">
        <v>4469</v>
      </c>
      <c r="F22" s="187"/>
      <c r="G22" s="187"/>
      <c r="H22" s="190">
        <f>+H21*C16</f>
        <v>11</v>
      </c>
    </row>
    <row r="23" spans="1:8" x14ac:dyDescent="0.25">
      <c r="A23" s="187"/>
      <c r="B23" s="187" t="s">
        <v>4415</v>
      </c>
      <c r="C23" s="188">
        <v>7.5999999999999998E-2</v>
      </c>
      <c r="D23" s="187"/>
      <c r="E23" s="187" t="s">
        <v>4665</v>
      </c>
      <c r="F23" s="187"/>
      <c r="G23" s="187"/>
      <c r="H23" s="190">
        <f>+H16+H17+H19+H22</f>
        <v>121</v>
      </c>
    </row>
    <row r="24" spans="1:8" x14ac:dyDescent="0.25">
      <c r="A24" s="187"/>
      <c r="B24" s="187"/>
      <c r="C24" s="187"/>
      <c r="D24" s="187"/>
      <c r="E24" s="187" t="s">
        <v>4448</v>
      </c>
      <c r="F24" s="187"/>
      <c r="G24" s="187"/>
      <c r="H24" s="190">
        <f>+H23*C29</f>
        <v>15.338028169014091</v>
      </c>
    </row>
    <row r="25" spans="1:8" x14ac:dyDescent="0.25">
      <c r="A25" s="187"/>
      <c r="B25" s="186" t="s">
        <v>4668</v>
      </c>
      <c r="C25" s="188">
        <f>SUM(C21:C23)</f>
        <v>0.1125</v>
      </c>
      <c r="D25" s="187"/>
      <c r="E25" s="187" t="s">
        <v>4666</v>
      </c>
      <c r="F25" s="187"/>
      <c r="G25" s="187"/>
      <c r="H25" s="190">
        <f>+H16+H17+H19+H22+H24</f>
        <v>136.33802816901408</v>
      </c>
    </row>
    <row r="26" spans="1:8" x14ac:dyDescent="0.25">
      <c r="A26" s="187"/>
      <c r="B26" s="187"/>
      <c r="C26" s="187"/>
      <c r="D26" s="187"/>
      <c r="E26" s="187" t="s">
        <v>4474</v>
      </c>
      <c r="F26" s="187"/>
      <c r="G26" s="187"/>
      <c r="H26" s="190">
        <f>+H25</f>
        <v>136.33802816901408</v>
      </c>
    </row>
    <row r="27" spans="1:8" x14ac:dyDescent="0.25">
      <c r="A27" s="187"/>
      <c r="B27" s="186" t="s">
        <v>4669</v>
      </c>
      <c r="C27" s="188"/>
      <c r="D27" s="187"/>
      <c r="E27" s="187" t="s">
        <v>4416</v>
      </c>
      <c r="F27" s="187"/>
      <c r="G27" s="187"/>
      <c r="H27" s="190">
        <f>-H26*C21</f>
        <v>-2.7267605633802816</v>
      </c>
    </row>
    <row r="28" spans="1:8" x14ac:dyDescent="0.25">
      <c r="A28" s="187"/>
      <c r="B28" s="186"/>
      <c r="C28" s="188"/>
      <c r="D28" s="187"/>
      <c r="E28" s="187" t="s">
        <v>4440</v>
      </c>
      <c r="F28" s="187"/>
      <c r="G28" s="187"/>
      <c r="H28" s="190">
        <f>-H26*C22</f>
        <v>-2.2495774647887323</v>
      </c>
    </row>
    <row r="29" spans="1:8" x14ac:dyDescent="0.25">
      <c r="A29" s="187"/>
      <c r="B29" s="179" t="s">
        <v>4670</v>
      </c>
      <c r="C29" s="180">
        <f>((1/(1-C25)-1))</f>
        <v>0.12676056338028174</v>
      </c>
      <c r="D29" s="187"/>
      <c r="E29" s="187" t="s">
        <v>4415</v>
      </c>
      <c r="F29" s="187"/>
      <c r="G29" s="187"/>
      <c r="H29" s="190">
        <f>-H26*C23</f>
        <v>-10.36169014084507</v>
      </c>
    </row>
    <row r="30" spans="1:8" x14ac:dyDescent="0.25">
      <c r="A30" s="187"/>
      <c r="B30" s="186"/>
      <c r="C30" s="188"/>
      <c r="D30" s="187"/>
      <c r="E30" s="187" t="s">
        <v>4479</v>
      </c>
      <c r="F30" s="187"/>
      <c r="G30" s="187"/>
      <c r="H30" s="190">
        <f>SUM(H26:H29)</f>
        <v>121</v>
      </c>
    </row>
    <row r="31" spans="1:8" x14ac:dyDescent="0.25">
      <c r="A31" s="187"/>
      <c r="B31" s="186" t="s">
        <v>4671</v>
      </c>
      <c r="C31" s="188"/>
      <c r="D31" s="187"/>
      <c r="E31" s="187" t="s">
        <v>4663</v>
      </c>
      <c r="F31" s="187"/>
      <c r="G31" s="187"/>
      <c r="H31" s="190">
        <f>+H21</f>
        <v>110</v>
      </c>
    </row>
    <row r="32" spans="1:8" x14ac:dyDescent="0.25">
      <c r="A32" s="187"/>
      <c r="B32" s="186"/>
      <c r="C32" s="188"/>
      <c r="D32" s="187"/>
      <c r="E32" s="187" t="s">
        <v>4481</v>
      </c>
      <c r="F32" s="187"/>
      <c r="G32" s="187"/>
      <c r="H32" s="190">
        <f>+H31*C16</f>
        <v>11</v>
      </c>
    </row>
    <row r="33" spans="1:8" x14ac:dyDescent="0.25">
      <c r="A33" s="187"/>
      <c r="B33" s="186" t="s">
        <v>4685</v>
      </c>
      <c r="C33" s="206">
        <f>+(1+C14)*(1+C16)*(1+C18)*(1+C29)</f>
        <v>1.363380281690141</v>
      </c>
      <c r="D33" s="187"/>
      <c r="E33" s="187" t="s">
        <v>4482</v>
      </c>
      <c r="F33" s="187"/>
      <c r="G33" s="187"/>
      <c r="H33" s="192">
        <f>C16</f>
        <v>0.1</v>
      </c>
    </row>
    <row r="34" spans="1:8" x14ac:dyDescent="0.25">
      <c r="A34" s="187"/>
      <c r="B34" s="187"/>
      <c r="C34" s="187"/>
      <c r="D34" s="187"/>
      <c r="E34" s="187" t="s">
        <v>4485</v>
      </c>
      <c r="F34" s="187"/>
      <c r="G34" s="187"/>
      <c r="H34" s="192">
        <v>0.15</v>
      </c>
    </row>
    <row r="35" spans="1:8" x14ac:dyDescent="0.25">
      <c r="A35" s="187"/>
      <c r="B35" s="187"/>
      <c r="C35" s="187"/>
      <c r="D35" s="187"/>
      <c r="E35" s="187" t="s">
        <v>4487</v>
      </c>
      <c r="F35" s="187"/>
      <c r="G35" s="187"/>
      <c r="H35" s="192">
        <v>0.09</v>
      </c>
    </row>
    <row r="36" spans="1:8" x14ac:dyDescent="0.25">
      <c r="A36" s="187"/>
      <c r="B36" s="187"/>
      <c r="C36" s="187"/>
      <c r="D36" s="187"/>
      <c r="E36" s="187" t="s">
        <v>4489</v>
      </c>
      <c r="F36" s="187"/>
      <c r="G36" s="187"/>
      <c r="H36" s="190">
        <f>-H34*H32</f>
        <v>-1.65</v>
      </c>
    </row>
    <row r="37" spans="1:8" x14ac:dyDescent="0.25">
      <c r="A37" s="187"/>
      <c r="B37" s="187"/>
      <c r="C37" s="187"/>
      <c r="D37" s="187"/>
      <c r="E37" s="187" t="s">
        <v>4491</v>
      </c>
      <c r="F37" s="187"/>
      <c r="G37" s="187"/>
      <c r="H37" s="190">
        <f>-H35*H32</f>
        <v>-0.99</v>
      </c>
    </row>
    <row r="38" spans="1:8" x14ac:dyDescent="0.25">
      <c r="A38" s="187"/>
      <c r="B38" s="187"/>
      <c r="C38" s="187"/>
      <c r="D38" s="187"/>
      <c r="E38" s="187" t="s">
        <v>4493</v>
      </c>
      <c r="F38" s="187"/>
      <c r="G38" s="187"/>
      <c r="H38" s="190">
        <f>H32+H37+H36</f>
        <v>8.36</v>
      </c>
    </row>
    <row r="39" spans="1:8" x14ac:dyDescent="0.25">
      <c r="A39" s="187"/>
      <c r="B39" s="187"/>
      <c r="C39" s="187"/>
      <c r="D39" s="187"/>
      <c r="E39" s="187" t="s">
        <v>4673</v>
      </c>
      <c r="F39" s="187"/>
      <c r="G39" s="187"/>
      <c r="H39" s="188">
        <f>+H38/H22*C16</f>
        <v>7.5999999999999998E-2</v>
      </c>
    </row>
    <row r="40" spans="1:8" x14ac:dyDescent="0.25">
      <c r="A40" s="187"/>
      <c r="B40" s="186"/>
      <c r="C40" s="188"/>
      <c r="D40" s="187"/>
      <c r="E40" s="187"/>
      <c r="F40" s="187"/>
      <c r="G40" s="187"/>
      <c r="H40" s="190"/>
    </row>
    <row r="41" spans="1:8" s="151" customFormat="1" x14ac:dyDescent="0.25">
      <c r="A41" s="155"/>
      <c r="B41" s="153"/>
      <c r="C41" s="153"/>
      <c r="D41" s="154"/>
      <c r="E41" s="153"/>
      <c r="F41" s="153"/>
      <c r="G41" s="153"/>
      <c r="H41" s="153"/>
    </row>
    <row r="42" spans="1:8" s="151" customFormat="1" x14ac:dyDescent="0.25">
      <c r="A42" s="155"/>
      <c r="B42" s="153"/>
      <c r="C42" s="153"/>
      <c r="D42" s="154"/>
      <c r="E42" s="153"/>
      <c r="F42" s="153"/>
      <c r="G42" s="153"/>
      <c r="H42" s="153"/>
    </row>
    <row r="43" spans="1:8" s="151" customFormat="1" x14ac:dyDescent="0.25">
      <c r="A43" s="155"/>
      <c r="B43" s="153"/>
      <c r="C43" s="153"/>
      <c r="D43" s="154"/>
      <c r="E43" s="153"/>
      <c r="F43" s="153"/>
      <c r="G43" s="153"/>
      <c r="H43" s="153"/>
    </row>
    <row r="44" spans="1:8" s="151" customFormat="1" x14ac:dyDescent="0.25">
      <c r="A44" s="155"/>
      <c r="B44" s="153"/>
      <c r="C44" s="153"/>
      <c r="D44" s="154"/>
      <c r="E44" s="153"/>
      <c r="F44" s="153"/>
      <c r="G44" s="153"/>
      <c r="H44" s="153"/>
    </row>
    <row r="45" spans="1:8" s="151" customFormat="1" x14ac:dyDescent="0.25">
      <c r="A45" s="155"/>
      <c r="B45" s="153"/>
      <c r="C45" s="153"/>
      <c r="D45" s="154"/>
      <c r="E45" s="153"/>
      <c r="F45" s="153"/>
      <c r="G45" s="153"/>
      <c r="H45" s="153"/>
    </row>
    <row r="46" spans="1:8" s="151" customFormat="1" x14ac:dyDescent="0.25">
      <c r="A46" s="155"/>
      <c r="B46" s="153"/>
      <c r="C46" s="153"/>
      <c r="D46" s="154"/>
      <c r="E46" s="153"/>
      <c r="F46" s="153"/>
      <c r="G46" s="153"/>
      <c r="H46" s="153"/>
    </row>
    <row r="47" spans="1:8" s="151" customFormat="1" x14ac:dyDescent="0.25">
      <c r="A47" s="155"/>
      <c r="B47" s="153"/>
      <c r="C47" s="153"/>
      <c r="D47" s="154"/>
      <c r="E47" s="153"/>
      <c r="F47" s="153"/>
      <c r="G47" s="153"/>
      <c r="H47" s="153"/>
    </row>
    <row r="48" spans="1:8" s="151" customFormat="1" ht="41.25" customHeight="1" x14ac:dyDescent="0.25">
      <c r="A48" s="155"/>
      <c r="B48" s="510" t="s">
        <v>35</v>
      </c>
      <c r="C48" s="510"/>
      <c r="D48" s="510"/>
      <c r="E48" s="510"/>
      <c r="F48" s="510"/>
      <c r="G48" s="510"/>
      <c r="H48" s="153"/>
    </row>
    <row r="49" spans="1:8" s="151" customFormat="1" ht="18.75" x14ac:dyDescent="0.25">
      <c r="A49" s="155"/>
      <c r="B49" s="546" t="s">
        <v>36</v>
      </c>
      <c r="C49" s="546"/>
      <c r="D49" s="546"/>
      <c r="E49" s="546"/>
      <c r="F49" s="546"/>
      <c r="G49" s="546"/>
      <c r="H49" s="153"/>
    </row>
    <row r="50" spans="1:8" s="151" customFormat="1" ht="18.75" x14ac:dyDescent="0.25">
      <c r="A50" s="155"/>
      <c r="B50" s="546" t="s">
        <v>4</v>
      </c>
      <c r="C50" s="546"/>
      <c r="D50" s="546"/>
      <c r="E50" s="546"/>
      <c r="F50" s="546"/>
      <c r="G50" s="546"/>
      <c r="H50" s="153"/>
    </row>
    <row r="51" spans="1:8" s="151" customFormat="1" ht="18.75" x14ac:dyDescent="0.25">
      <c r="A51" s="155"/>
      <c r="B51" s="166"/>
      <c r="C51" s="166"/>
      <c r="D51" s="166"/>
      <c r="E51" s="166"/>
      <c r="F51" s="166"/>
      <c r="G51" s="166"/>
      <c r="H51" s="153"/>
    </row>
    <row r="52" spans="1:8" x14ac:dyDescent="0.25">
      <c r="A52" s="609" t="s">
        <v>4674</v>
      </c>
      <c r="B52" s="609"/>
      <c r="C52" s="609"/>
      <c r="D52" s="609"/>
      <c r="E52" s="609"/>
      <c r="F52" s="609"/>
      <c r="G52" s="609"/>
      <c r="H52" s="609"/>
    </row>
    <row r="53" spans="1:8" x14ac:dyDescent="0.25">
      <c r="A53" s="194"/>
      <c r="B53" s="194"/>
      <c r="C53" s="194"/>
      <c r="D53" s="194"/>
      <c r="E53" s="194"/>
      <c r="F53" s="194"/>
      <c r="G53" s="194"/>
      <c r="H53" s="194"/>
    </row>
    <row r="54" spans="1:8" x14ac:dyDescent="0.25">
      <c r="A54" s="194">
        <v>1</v>
      </c>
      <c r="B54" s="195" t="s">
        <v>4627</v>
      </c>
      <c r="C54" s="185"/>
      <c r="D54" s="185"/>
      <c r="E54" s="185"/>
      <c r="F54" s="185"/>
      <c r="G54" s="185"/>
      <c r="H54" s="185"/>
    </row>
    <row r="55" spans="1:8" x14ac:dyDescent="0.25">
      <c r="A55" s="196"/>
      <c r="B55" s="602" t="s">
        <v>4678</v>
      </c>
      <c r="C55" s="602"/>
      <c r="D55" s="602"/>
      <c r="E55" s="602"/>
      <c r="F55" s="602"/>
      <c r="G55" s="602"/>
      <c r="H55" s="200">
        <v>0.1</v>
      </c>
    </row>
    <row r="56" spans="1:8" x14ac:dyDescent="0.25">
      <c r="A56" s="196"/>
      <c r="B56" s="605" t="s">
        <v>4677</v>
      </c>
      <c r="C56" s="605"/>
      <c r="D56" s="605"/>
      <c r="E56" s="605"/>
      <c r="F56" s="605"/>
      <c r="G56" s="605"/>
      <c r="H56" s="202">
        <f>H55</f>
        <v>0.1</v>
      </c>
    </row>
    <row r="57" spans="1:8" x14ac:dyDescent="0.25">
      <c r="A57" s="185"/>
      <c r="B57" s="185"/>
      <c r="C57" s="185"/>
      <c r="D57" s="185"/>
      <c r="E57" s="185"/>
      <c r="F57" s="185"/>
      <c r="G57" s="185"/>
      <c r="H57" s="197"/>
    </row>
    <row r="58" spans="1:8" x14ac:dyDescent="0.25">
      <c r="A58" s="194">
        <v>2</v>
      </c>
      <c r="B58" s="195" t="s">
        <v>4651</v>
      </c>
      <c r="C58" s="185"/>
      <c r="D58" s="185"/>
      <c r="E58" s="185"/>
      <c r="F58" s="185"/>
      <c r="G58" s="185"/>
      <c r="H58" s="185"/>
    </row>
    <row r="59" spans="1:8" x14ac:dyDescent="0.25">
      <c r="A59" s="196"/>
      <c r="B59" s="602" t="s">
        <v>4416</v>
      </c>
      <c r="C59" s="602"/>
      <c r="D59" s="602"/>
      <c r="E59" s="602"/>
      <c r="F59" s="602"/>
      <c r="G59" s="602"/>
      <c r="H59" s="200">
        <v>0.02</v>
      </c>
    </row>
    <row r="60" spans="1:8" x14ac:dyDescent="0.25">
      <c r="A60" s="196"/>
      <c r="B60" s="602" t="s">
        <v>4679</v>
      </c>
      <c r="C60" s="602"/>
      <c r="D60" s="602"/>
      <c r="E60" s="602"/>
      <c r="F60" s="602"/>
      <c r="G60" s="602"/>
      <c r="H60" s="200">
        <v>7.5999999999999998E-2</v>
      </c>
    </row>
    <row r="61" spans="1:8" x14ac:dyDescent="0.25">
      <c r="A61" s="196"/>
      <c r="B61" s="602" t="s">
        <v>4680</v>
      </c>
      <c r="C61" s="602"/>
      <c r="D61" s="602"/>
      <c r="E61" s="602"/>
      <c r="F61" s="602"/>
      <c r="G61" s="602"/>
      <c r="H61" s="200">
        <v>1.6500000000000001E-2</v>
      </c>
    </row>
    <row r="62" spans="1:8" x14ac:dyDescent="0.25">
      <c r="A62" s="196"/>
      <c r="B62" s="605" t="s">
        <v>4681</v>
      </c>
      <c r="C62" s="605"/>
      <c r="D62" s="605"/>
      <c r="E62" s="605"/>
      <c r="F62" s="605"/>
      <c r="G62" s="605"/>
      <c r="H62" s="202">
        <f>SUM(H59:H61)</f>
        <v>0.1125</v>
      </c>
    </row>
    <row r="63" spans="1:8" x14ac:dyDescent="0.25">
      <c r="A63" s="196"/>
      <c r="B63" s="205"/>
      <c r="C63" s="205"/>
      <c r="D63" s="205"/>
      <c r="E63" s="205"/>
      <c r="F63" s="205"/>
      <c r="G63" s="205"/>
      <c r="H63" s="202"/>
    </row>
    <row r="64" spans="1:8" x14ac:dyDescent="0.25">
      <c r="A64" s="196"/>
      <c r="B64" s="205"/>
      <c r="C64" s="205"/>
      <c r="D64" s="205"/>
      <c r="E64" s="205"/>
      <c r="F64" s="205"/>
      <c r="G64" s="205"/>
      <c r="H64" s="202"/>
    </row>
    <row r="65" spans="1:8" x14ac:dyDescent="0.25">
      <c r="A65" s="196"/>
      <c r="B65" s="205"/>
      <c r="C65" s="205"/>
      <c r="D65" s="205"/>
      <c r="E65" s="205"/>
      <c r="F65" s="205"/>
      <c r="G65" s="205"/>
      <c r="H65" s="202"/>
    </row>
    <row r="66" spans="1:8" x14ac:dyDescent="0.25">
      <c r="A66" s="185"/>
      <c r="B66" s="512" t="s">
        <v>34</v>
      </c>
      <c r="C66" s="512"/>
      <c r="D66" s="512"/>
      <c r="E66" s="512"/>
      <c r="F66" s="512"/>
      <c r="G66" s="512"/>
      <c r="H66" s="197"/>
    </row>
    <row r="67" spans="1:8" x14ac:dyDescent="0.25">
      <c r="A67" s="185"/>
      <c r="B67" s="513" t="s">
        <v>4656</v>
      </c>
      <c r="C67" s="513"/>
      <c r="D67" s="513"/>
      <c r="E67" s="513"/>
      <c r="F67" s="513"/>
      <c r="G67" s="513"/>
      <c r="H67" s="197"/>
    </row>
    <row r="68" spans="1:8" x14ac:dyDescent="0.25">
      <c r="A68" s="185"/>
      <c r="B68" s="513" t="str">
        <f>'PO-SEDE'!F6&amp;'PO-SEDE'!G6</f>
        <v>RRT Nº4774233</v>
      </c>
      <c r="C68" s="513"/>
      <c r="D68" s="513"/>
      <c r="E68" s="513"/>
      <c r="F68" s="513"/>
      <c r="G68" s="513"/>
      <c r="H68" s="197"/>
    </row>
    <row r="69" spans="1:8" x14ac:dyDescent="0.25">
      <c r="A69" s="185"/>
      <c r="B69" s="602"/>
      <c r="C69" s="602"/>
      <c r="D69" s="602"/>
      <c r="E69" s="602"/>
      <c r="F69" s="602"/>
      <c r="G69" s="602"/>
      <c r="H69" s="197"/>
    </row>
  </sheetData>
  <mergeCells count="19">
    <mergeCell ref="B10:G10"/>
    <mergeCell ref="B48:G48"/>
    <mergeCell ref="B49:G49"/>
    <mergeCell ref="D2:G2"/>
    <mergeCell ref="B68:G68"/>
    <mergeCell ref="B69:G69"/>
    <mergeCell ref="A12:H12"/>
    <mergeCell ref="A52:H52"/>
    <mergeCell ref="B55:G55"/>
    <mergeCell ref="B56:G56"/>
    <mergeCell ref="B59:G59"/>
    <mergeCell ref="B60:G60"/>
    <mergeCell ref="B50:G50"/>
    <mergeCell ref="B61:G61"/>
    <mergeCell ref="B62:G62"/>
    <mergeCell ref="B66:G66"/>
    <mergeCell ref="B67:G67"/>
    <mergeCell ref="B8:G8"/>
    <mergeCell ref="B9:G9"/>
  </mergeCells>
  <pageMargins left="0.51181102362204722" right="0.51181102362204722" top="0.78740157480314965" bottom="0.78740157480314965" header="0.31496062992125984" footer="0.31496062992125984"/>
  <pageSetup paperSize="9" scale="55" orientation="portrait" r:id="rId1"/>
  <rowBreaks count="1" manualBreakCount="1">
    <brk id="4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08"/>
  <sheetViews>
    <sheetView topLeftCell="A4494" zoomScale="80" zoomScaleNormal="80" workbookViewId="0">
      <selection activeCell="B4502" sqref="A4502:B4502"/>
    </sheetView>
  </sheetViews>
  <sheetFormatPr defaultColWidth="9.140625" defaultRowHeight="15" x14ac:dyDescent="0.25"/>
  <cols>
    <col min="1" max="1" width="9.140625" style="62"/>
    <col min="2" max="2" width="11.28515625" style="96" customWidth="1"/>
    <col min="3" max="3" width="25.7109375" style="96" bestFit="1" customWidth="1"/>
    <col min="4" max="4" width="76.5703125" style="95" customWidth="1"/>
    <col min="5" max="5" width="9.140625" style="63"/>
    <col min="6" max="6" width="13.85546875" style="64" bestFit="1" customWidth="1"/>
    <col min="7" max="16384" width="9.140625" style="62"/>
  </cols>
  <sheetData>
    <row r="1" spans="1:6" x14ac:dyDescent="0.25">
      <c r="D1" s="94" t="s">
        <v>56</v>
      </c>
      <c r="E1" s="63">
        <v>0</v>
      </c>
      <c r="F1" s="64">
        <v>0</v>
      </c>
    </row>
    <row r="2" spans="1:6" ht="30" x14ac:dyDescent="0.25">
      <c r="A2" s="62" t="s">
        <v>4398</v>
      </c>
      <c r="B2" s="96">
        <v>10207</v>
      </c>
      <c r="C2" s="96" t="str">
        <f t="shared" ref="C2:C6" si="0">A2&amp;B2</f>
        <v>CPOS10207</v>
      </c>
      <c r="D2" s="95" t="s">
        <v>57</v>
      </c>
      <c r="E2" s="63" t="s">
        <v>58</v>
      </c>
      <c r="F2" s="64">
        <v>5585.68</v>
      </c>
    </row>
    <row r="3" spans="1:6" ht="30" x14ac:dyDescent="0.25">
      <c r="A3" s="62" t="s">
        <v>4398</v>
      </c>
      <c r="B3" s="96">
        <v>10208</v>
      </c>
      <c r="C3" s="96" t="str">
        <f t="shared" si="0"/>
        <v>CPOS10208</v>
      </c>
      <c r="D3" s="95" t="s">
        <v>59</v>
      </c>
      <c r="E3" s="63" t="s">
        <v>58</v>
      </c>
      <c r="F3" s="64">
        <v>7680.31</v>
      </c>
    </row>
    <row r="4" spans="1:6" ht="30" x14ac:dyDescent="0.25">
      <c r="A4" s="62" t="s">
        <v>4398</v>
      </c>
      <c r="B4" s="96">
        <v>10209</v>
      </c>
      <c r="C4" s="96" t="str">
        <f t="shared" si="0"/>
        <v>CPOS10209</v>
      </c>
      <c r="D4" s="95" t="s">
        <v>60</v>
      </c>
      <c r="E4" s="63" t="s">
        <v>58</v>
      </c>
      <c r="F4" s="64">
        <v>9774.94</v>
      </c>
    </row>
    <row r="5" spans="1:6" ht="30" x14ac:dyDescent="0.25">
      <c r="A5" s="62" t="s">
        <v>4398</v>
      </c>
      <c r="B5" s="96">
        <v>10210</v>
      </c>
      <c r="C5" s="96" t="str">
        <f t="shared" si="0"/>
        <v>CPOS10210</v>
      </c>
      <c r="D5" s="95" t="s">
        <v>61</v>
      </c>
      <c r="E5" s="63" t="s">
        <v>58</v>
      </c>
      <c r="F5" s="64">
        <v>13265.99</v>
      </c>
    </row>
    <row r="6" spans="1:6" ht="30" x14ac:dyDescent="0.25">
      <c r="A6" s="62" t="s">
        <v>4398</v>
      </c>
      <c r="B6" s="96">
        <v>10211</v>
      </c>
      <c r="C6" s="96" t="str">
        <f t="shared" si="0"/>
        <v>CPOS10211</v>
      </c>
      <c r="D6" s="95" t="s">
        <v>62</v>
      </c>
      <c r="E6" s="63" t="s">
        <v>58</v>
      </c>
      <c r="F6" s="64">
        <v>16058.83</v>
      </c>
    </row>
    <row r="7" spans="1:6" x14ac:dyDescent="0.25">
      <c r="D7" s="94" t="s">
        <v>63</v>
      </c>
    </row>
    <row r="8" spans="1:6" ht="30" x14ac:dyDescent="0.25">
      <c r="A8" s="62" t="s">
        <v>4398</v>
      </c>
      <c r="B8" s="96">
        <v>10602</v>
      </c>
      <c r="C8" s="96" t="str">
        <f t="shared" ref="C8:C10" si="1">A8&amp;B8</f>
        <v>CPOS10602</v>
      </c>
      <c r="D8" s="95" t="s">
        <v>64</v>
      </c>
      <c r="E8" s="63" t="s">
        <v>65</v>
      </c>
      <c r="F8" s="64">
        <v>16697.580000000002</v>
      </c>
    </row>
    <row r="9" spans="1:6" ht="30" x14ac:dyDescent="0.25">
      <c r="A9" s="62" t="s">
        <v>4398</v>
      </c>
      <c r="B9" s="96">
        <v>10603</v>
      </c>
      <c r="C9" s="96" t="str">
        <f t="shared" si="1"/>
        <v>CPOS10603</v>
      </c>
      <c r="D9" s="95" t="s">
        <v>66</v>
      </c>
      <c r="E9" s="63" t="s">
        <v>65</v>
      </c>
      <c r="F9" s="64">
        <v>29220.77</v>
      </c>
    </row>
    <row r="10" spans="1:6" ht="30" x14ac:dyDescent="0.25">
      <c r="A10" s="62" t="s">
        <v>4398</v>
      </c>
      <c r="B10" s="96">
        <v>10604</v>
      </c>
      <c r="C10" s="96" t="str">
        <f t="shared" si="1"/>
        <v>CPOS10604</v>
      </c>
      <c r="D10" s="95" t="s">
        <v>67</v>
      </c>
      <c r="E10" s="63" t="s">
        <v>65</v>
      </c>
      <c r="F10" s="64">
        <v>41743.949999999997</v>
      </c>
    </row>
    <row r="11" spans="1:6" x14ac:dyDescent="0.25">
      <c r="D11" s="94" t="s">
        <v>68</v>
      </c>
    </row>
    <row r="12" spans="1:6" x14ac:dyDescent="0.25">
      <c r="A12" s="62" t="s">
        <v>4398</v>
      </c>
      <c r="B12" s="96">
        <v>11705</v>
      </c>
      <c r="C12" s="96" t="str">
        <f t="shared" ref="C12:C19" si="2">A12&amp;B12</f>
        <v>CPOS11705</v>
      </c>
      <c r="D12" s="95" t="s">
        <v>69</v>
      </c>
      <c r="E12" s="63" t="s">
        <v>58</v>
      </c>
      <c r="F12" s="64">
        <v>2564.6999999999998</v>
      </c>
    </row>
    <row r="13" spans="1:6" x14ac:dyDescent="0.25">
      <c r="A13" s="62" t="s">
        <v>4398</v>
      </c>
      <c r="B13" s="96">
        <v>11706</v>
      </c>
      <c r="C13" s="96" t="str">
        <f t="shared" si="2"/>
        <v>CPOS11706</v>
      </c>
      <c r="D13" s="95" t="s">
        <v>70</v>
      </c>
      <c r="E13" s="63" t="s">
        <v>58</v>
      </c>
      <c r="F13" s="64">
        <v>3523.51</v>
      </c>
    </row>
    <row r="14" spans="1:6" x14ac:dyDescent="0.25">
      <c r="A14" s="62" t="s">
        <v>4398</v>
      </c>
      <c r="B14" s="96">
        <v>11707</v>
      </c>
      <c r="C14" s="96" t="str">
        <f t="shared" si="2"/>
        <v>CPOS11707</v>
      </c>
      <c r="D14" s="95" t="s">
        <v>71</v>
      </c>
      <c r="E14" s="63" t="s">
        <v>58</v>
      </c>
      <c r="F14" s="64">
        <v>1102.4000000000001</v>
      </c>
    </row>
    <row r="15" spans="1:6" x14ac:dyDescent="0.25">
      <c r="A15" s="62" t="s">
        <v>4398</v>
      </c>
      <c r="B15" s="96">
        <v>11708</v>
      </c>
      <c r="C15" s="96" t="str">
        <f t="shared" si="2"/>
        <v>CPOS11708</v>
      </c>
      <c r="D15" s="95" t="s">
        <v>72</v>
      </c>
      <c r="E15" s="63" t="s">
        <v>58</v>
      </c>
      <c r="F15" s="64">
        <v>1469.66</v>
      </c>
    </row>
    <row r="16" spans="1:6" x14ac:dyDescent="0.25">
      <c r="A16" s="62" t="s">
        <v>4398</v>
      </c>
      <c r="B16" s="96">
        <v>11711</v>
      </c>
      <c r="C16" s="96" t="str">
        <f t="shared" si="2"/>
        <v>CPOS11711</v>
      </c>
      <c r="D16" s="95" t="s">
        <v>73</v>
      </c>
      <c r="E16" s="63" t="s">
        <v>58</v>
      </c>
      <c r="F16" s="64">
        <v>1212.1099999999999</v>
      </c>
    </row>
    <row r="17" spans="1:6" x14ac:dyDescent="0.25">
      <c r="A17" s="62" t="s">
        <v>4398</v>
      </c>
      <c r="B17" s="96">
        <v>11712</v>
      </c>
      <c r="C17" s="96" t="str">
        <f t="shared" si="2"/>
        <v>CPOS11712</v>
      </c>
      <c r="D17" s="95" t="s">
        <v>74</v>
      </c>
      <c r="E17" s="63" t="s">
        <v>58</v>
      </c>
      <c r="F17" s="64">
        <v>1685.88</v>
      </c>
    </row>
    <row r="18" spans="1:6" x14ac:dyDescent="0.25">
      <c r="A18" s="62" t="s">
        <v>4398</v>
      </c>
      <c r="B18" s="96">
        <v>11713</v>
      </c>
      <c r="C18" s="96" t="str">
        <f t="shared" si="2"/>
        <v>CPOS11713</v>
      </c>
      <c r="D18" s="95" t="s">
        <v>75</v>
      </c>
      <c r="E18" s="63" t="s">
        <v>58</v>
      </c>
      <c r="F18" s="64">
        <v>3667.1</v>
      </c>
    </row>
    <row r="19" spans="1:6" x14ac:dyDescent="0.25">
      <c r="A19" s="62" t="s">
        <v>4398</v>
      </c>
      <c r="B19" s="96">
        <v>11714</v>
      </c>
      <c r="C19" s="96" t="str">
        <f t="shared" si="2"/>
        <v>CPOS11714</v>
      </c>
      <c r="D19" s="95" t="s">
        <v>76</v>
      </c>
      <c r="E19" s="63" t="s">
        <v>58</v>
      </c>
      <c r="F19" s="64">
        <v>5015.6099999999997</v>
      </c>
    </row>
    <row r="20" spans="1:6" x14ac:dyDescent="0.25">
      <c r="D20" s="94" t="s">
        <v>77</v>
      </c>
    </row>
    <row r="21" spans="1:6" x14ac:dyDescent="0.25">
      <c r="A21" s="62" t="s">
        <v>4398</v>
      </c>
      <c r="B21" s="96">
        <v>12001</v>
      </c>
      <c r="C21" s="96" t="str">
        <f t="shared" ref="C21:C45" si="3">A21&amp;B21</f>
        <v>CPOS12001</v>
      </c>
      <c r="D21" s="95" t="s">
        <v>78</v>
      </c>
      <c r="E21" s="63" t="s">
        <v>79</v>
      </c>
      <c r="F21" s="64">
        <v>958.24</v>
      </c>
    </row>
    <row r="22" spans="1:6" ht="30" x14ac:dyDescent="0.25">
      <c r="A22" s="62" t="s">
        <v>4398</v>
      </c>
      <c r="B22" s="96">
        <v>12069</v>
      </c>
      <c r="C22" s="96" t="str">
        <f t="shared" si="3"/>
        <v>CPOS12069</v>
      </c>
      <c r="D22" s="95" t="s">
        <v>80</v>
      </c>
      <c r="E22" s="63" t="s">
        <v>81</v>
      </c>
      <c r="F22" s="64">
        <v>2.13</v>
      </c>
    </row>
    <row r="23" spans="1:6" ht="30" x14ac:dyDescent="0.25">
      <c r="A23" s="62" t="s">
        <v>4398</v>
      </c>
      <c r="B23" s="96">
        <v>12070</v>
      </c>
      <c r="C23" s="96" t="str">
        <f t="shared" si="3"/>
        <v>CPOS12070</v>
      </c>
      <c r="D23" s="95" t="s">
        <v>82</v>
      </c>
      <c r="E23" s="63" t="s">
        <v>81</v>
      </c>
      <c r="F23" s="64">
        <v>1.8900000000000001</v>
      </c>
    </row>
    <row r="24" spans="1:6" ht="30" x14ac:dyDescent="0.25">
      <c r="A24" s="62" t="s">
        <v>4398</v>
      </c>
      <c r="B24" s="96">
        <v>12071</v>
      </c>
      <c r="C24" s="96" t="str">
        <f t="shared" si="3"/>
        <v>CPOS12071</v>
      </c>
      <c r="D24" s="95" t="s">
        <v>83</v>
      </c>
      <c r="E24" s="63" t="s">
        <v>81</v>
      </c>
      <c r="F24" s="64">
        <v>1.73</v>
      </c>
    </row>
    <row r="25" spans="1:6" ht="30" x14ac:dyDescent="0.25">
      <c r="A25" s="62" t="s">
        <v>4398</v>
      </c>
      <c r="B25" s="96">
        <v>12072</v>
      </c>
      <c r="C25" s="96" t="str">
        <f t="shared" si="3"/>
        <v>CPOS12072</v>
      </c>
      <c r="D25" s="95" t="s">
        <v>84</v>
      </c>
      <c r="E25" s="63" t="s">
        <v>81</v>
      </c>
      <c r="F25" s="64">
        <v>1.18</v>
      </c>
    </row>
    <row r="26" spans="1:6" ht="30" x14ac:dyDescent="0.25">
      <c r="A26" s="62" t="s">
        <v>4398</v>
      </c>
      <c r="B26" s="96">
        <v>12073</v>
      </c>
      <c r="C26" s="96" t="str">
        <f t="shared" si="3"/>
        <v>CPOS12073</v>
      </c>
      <c r="D26" s="95" t="s">
        <v>85</v>
      </c>
      <c r="E26" s="63" t="s">
        <v>81</v>
      </c>
      <c r="F26" s="64">
        <v>1.03</v>
      </c>
    </row>
    <row r="27" spans="1:6" ht="30" x14ac:dyDescent="0.25">
      <c r="A27" s="62" t="s">
        <v>4398</v>
      </c>
      <c r="B27" s="96">
        <v>12074</v>
      </c>
      <c r="C27" s="96" t="str">
        <f t="shared" si="3"/>
        <v>CPOS12074</v>
      </c>
      <c r="D27" s="95" t="s">
        <v>86</v>
      </c>
      <c r="E27" s="63" t="s">
        <v>81</v>
      </c>
      <c r="F27" s="64">
        <v>0.9</v>
      </c>
    </row>
    <row r="28" spans="1:6" ht="30" x14ac:dyDescent="0.25">
      <c r="A28" s="62" t="s">
        <v>4398</v>
      </c>
      <c r="B28" s="96">
        <v>12075</v>
      </c>
      <c r="C28" s="96" t="str">
        <f t="shared" si="3"/>
        <v>CPOS12075</v>
      </c>
      <c r="D28" s="95" t="s">
        <v>87</v>
      </c>
      <c r="E28" s="63" t="s">
        <v>81</v>
      </c>
      <c r="F28" s="64">
        <v>1.47</v>
      </c>
    </row>
    <row r="29" spans="1:6" ht="30" x14ac:dyDescent="0.25">
      <c r="A29" s="62" t="s">
        <v>4398</v>
      </c>
      <c r="B29" s="96">
        <v>12076</v>
      </c>
      <c r="C29" s="96" t="str">
        <f t="shared" si="3"/>
        <v>CPOS12076</v>
      </c>
      <c r="D29" s="95" t="s">
        <v>88</v>
      </c>
      <c r="E29" s="63" t="s">
        <v>81</v>
      </c>
      <c r="F29" s="64">
        <v>1.37</v>
      </c>
    </row>
    <row r="30" spans="1:6" ht="30" x14ac:dyDescent="0.25">
      <c r="A30" s="62" t="s">
        <v>4398</v>
      </c>
      <c r="B30" s="96">
        <v>12077</v>
      </c>
      <c r="C30" s="96" t="str">
        <f t="shared" si="3"/>
        <v>CPOS12077</v>
      </c>
      <c r="D30" s="95" t="s">
        <v>89</v>
      </c>
      <c r="E30" s="63" t="s">
        <v>81</v>
      </c>
      <c r="F30" s="64">
        <v>1.23</v>
      </c>
    </row>
    <row r="31" spans="1:6" ht="30" x14ac:dyDescent="0.25">
      <c r="A31" s="62" t="s">
        <v>4398</v>
      </c>
      <c r="B31" s="96">
        <v>12078</v>
      </c>
      <c r="C31" s="96" t="str">
        <f t="shared" si="3"/>
        <v>CPOS12078</v>
      </c>
      <c r="D31" s="95" t="s">
        <v>90</v>
      </c>
      <c r="E31" s="63" t="s">
        <v>81</v>
      </c>
      <c r="F31" s="64">
        <v>2.48</v>
      </c>
    </row>
    <row r="32" spans="1:6" ht="30" x14ac:dyDescent="0.25">
      <c r="A32" s="62" t="s">
        <v>4398</v>
      </c>
      <c r="B32" s="96">
        <v>12079</v>
      </c>
      <c r="C32" s="96" t="str">
        <f t="shared" si="3"/>
        <v>CPOS12079</v>
      </c>
      <c r="D32" s="95" t="s">
        <v>91</v>
      </c>
      <c r="E32" s="63" t="s">
        <v>81</v>
      </c>
      <c r="F32" s="64">
        <v>2.2999999999999998</v>
      </c>
    </row>
    <row r="33" spans="1:6" ht="30" x14ac:dyDescent="0.25">
      <c r="A33" s="62" t="s">
        <v>4398</v>
      </c>
      <c r="B33" s="96">
        <v>12080</v>
      </c>
      <c r="C33" s="96" t="str">
        <f t="shared" si="3"/>
        <v>CPOS12080</v>
      </c>
      <c r="D33" s="95" t="s">
        <v>92</v>
      </c>
      <c r="E33" s="63" t="s">
        <v>81</v>
      </c>
      <c r="F33" s="64">
        <v>2.04</v>
      </c>
    </row>
    <row r="34" spans="1:6" ht="30" x14ac:dyDescent="0.25">
      <c r="A34" s="62" t="s">
        <v>4398</v>
      </c>
      <c r="B34" s="96">
        <v>12081</v>
      </c>
      <c r="C34" s="96" t="str">
        <f t="shared" si="3"/>
        <v>CPOS12081</v>
      </c>
      <c r="D34" s="95" t="s">
        <v>93</v>
      </c>
      <c r="E34" s="63" t="s">
        <v>81</v>
      </c>
      <c r="F34" s="64">
        <v>1.3</v>
      </c>
    </row>
    <row r="35" spans="1:6" ht="30" x14ac:dyDescent="0.25">
      <c r="A35" s="62" t="s">
        <v>4398</v>
      </c>
      <c r="B35" s="96">
        <v>12082</v>
      </c>
      <c r="C35" s="96" t="str">
        <f t="shared" si="3"/>
        <v>CPOS12082</v>
      </c>
      <c r="D35" s="95" t="s">
        <v>94</v>
      </c>
      <c r="E35" s="63" t="s">
        <v>81</v>
      </c>
      <c r="F35" s="64">
        <v>1.21</v>
      </c>
    </row>
    <row r="36" spans="1:6" ht="30" x14ac:dyDescent="0.25">
      <c r="A36" s="62" t="s">
        <v>4398</v>
      </c>
      <c r="B36" s="96">
        <v>12083</v>
      </c>
      <c r="C36" s="96" t="str">
        <f t="shared" si="3"/>
        <v>CPOS12083</v>
      </c>
      <c r="D36" s="95" t="s">
        <v>95</v>
      </c>
      <c r="E36" s="63" t="s">
        <v>81</v>
      </c>
      <c r="F36" s="64">
        <v>1.1599999999999999</v>
      </c>
    </row>
    <row r="37" spans="1:6" ht="30" x14ac:dyDescent="0.25">
      <c r="A37" s="62" t="s">
        <v>4398</v>
      </c>
      <c r="B37" s="96">
        <v>12084</v>
      </c>
      <c r="C37" s="96" t="str">
        <f t="shared" si="3"/>
        <v>CPOS12084</v>
      </c>
      <c r="D37" s="95" t="s">
        <v>96</v>
      </c>
      <c r="E37" s="63" t="s">
        <v>81</v>
      </c>
      <c r="F37" s="64">
        <v>1.79</v>
      </c>
    </row>
    <row r="38" spans="1:6" ht="30" x14ac:dyDescent="0.25">
      <c r="A38" s="62" t="s">
        <v>4398</v>
      </c>
      <c r="B38" s="96">
        <v>12085</v>
      </c>
      <c r="C38" s="96" t="str">
        <f t="shared" si="3"/>
        <v>CPOS12085</v>
      </c>
      <c r="D38" s="95" t="s">
        <v>97</v>
      </c>
      <c r="E38" s="63" t="s">
        <v>81</v>
      </c>
      <c r="F38" s="64">
        <v>1.68</v>
      </c>
    </row>
    <row r="39" spans="1:6" ht="30" x14ac:dyDescent="0.25">
      <c r="A39" s="62" t="s">
        <v>4398</v>
      </c>
      <c r="B39" s="96">
        <v>12086</v>
      </c>
      <c r="C39" s="96" t="str">
        <f t="shared" si="3"/>
        <v>CPOS12086</v>
      </c>
      <c r="D39" s="95" t="s">
        <v>98</v>
      </c>
      <c r="E39" s="63" t="s">
        <v>81</v>
      </c>
      <c r="F39" s="64">
        <v>1.47</v>
      </c>
    </row>
    <row r="40" spans="1:6" x14ac:dyDescent="0.25">
      <c r="A40" s="62" t="s">
        <v>4398</v>
      </c>
      <c r="B40" s="96">
        <v>12087</v>
      </c>
      <c r="C40" s="96" t="str">
        <f t="shared" si="3"/>
        <v>CPOS12087</v>
      </c>
      <c r="D40" s="95" t="s">
        <v>99</v>
      </c>
      <c r="E40" s="63" t="s">
        <v>81</v>
      </c>
      <c r="F40" s="64">
        <v>0.77</v>
      </c>
    </row>
    <row r="41" spans="1:6" x14ac:dyDescent="0.25">
      <c r="A41" s="62" t="s">
        <v>4398</v>
      </c>
      <c r="B41" s="96">
        <v>12088</v>
      </c>
      <c r="C41" s="96" t="str">
        <f t="shared" si="3"/>
        <v>CPOS12088</v>
      </c>
      <c r="D41" s="95" t="s">
        <v>100</v>
      </c>
      <c r="E41" s="63" t="s">
        <v>81</v>
      </c>
      <c r="F41" s="64">
        <v>0.53</v>
      </c>
    </row>
    <row r="42" spans="1:6" x14ac:dyDescent="0.25">
      <c r="A42" s="62" t="s">
        <v>4398</v>
      </c>
      <c r="B42" s="96">
        <v>12089</v>
      </c>
      <c r="C42" s="96" t="str">
        <f t="shared" si="3"/>
        <v>CPOS12089</v>
      </c>
      <c r="D42" s="95" t="s">
        <v>101</v>
      </c>
      <c r="E42" s="63" t="s">
        <v>81</v>
      </c>
      <c r="F42" s="64">
        <v>0.33</v>
      </c>
    </row>
    <row r="43" spans="1:6" x14ac:dyDescent="0.25">
      <c r="A43" s="62" t="s">
        <v>4398</v>
      </c>
      <c r="B43" s="96">
        <v>12090</v>
      </c>
      <c r="C43" s="96" t="str">
        <f t="shared" si="3"/>
        <v>CPOS12090</v>
      </c>
      <c r="D43" s="95" t="s">
        <v>102</v>
      </c>
      <c r="E43" s="63" t="s">
        <v>81</v>
      </c>
      <c r="F43" s="64">
        <v>0.3</v>
      </c>
    </row>
    <row r="44" spans="1:6" x14ac:dyDescent="0.25">
      <c r="A44" s="62" t="s">
        <v>4398</v>
      </c>
      <c r="B44" s="96">
        <v>12091</v>
      </c>
      <c r="C44" s="96" t="str">
        <f t="shared" si="3"/>
        <v>CPOS12091</v>
      </c>
      <c r="D44" s="95" t="s">
        <v>103</v>
      </c>
      <c r="E44" s="63" t="s">
        <v>104</v>
      </c>
      <c r="F44" s="64">
        <v>1634.55</v>
      </c>
    </row>
    <row r="45" spans="1:6" x14ac:dyDescent="0.25">
      <c r="A45" s="62" t="s">
        <v>4398</v>
      </c>
      <c r="B45" s="96">
        <v>12092</v>
      </c>
      <c r="C45" s="96" t="str">
        <f t="shared" si="3"/>
        <v>CPOS12092</v>
      </c>
      <c r="D45" s="95" t="s">
        <v>105</v>
      </c>
      <c r="E45" s="63" t="s">
        <v>58</v>
      </c>
      <c r="F45" s="64">
        <v>2169.6</v>
      </c>
    </row>
    <row r="46" spans="1:6" x14ac:dyDescent="0.25">
      <c r="D46" s="94" t="s">
        <v>106</v>
      </c>
    </row>
    <row r="47" spans="1:6" x14ac:dyDescent="0.25">
      <c r="A47" s="62" t="s">
        <v>4398</v>
      </c>
      <c r="B47" s="96">
        <v>12101</v>
      </c>
      <c r="C47" s="96" t="str">
        <f t="shared" ref="C47:C53" si="4">A47&amp;B47</f>
        <v>CPOS12101</v>
      </c>
      <c r="D47" s="95" t="s">
        <v>107</v>
      </c>
      <c r="E47" s="63" t="s">
        <v>79</v>
      </c>
      <c r="F47" s="64">
        <v>692.13</v>
      </c>
    </row>
    <row r="48" spans="1:6" x14ac:dyDescent="0.25">
      <c r="A48" s="62" t="s">
        <v>4398</v>
      </c>
      <c r="B48" s="96">
        <v>12109</v>
      </c>
      <c r="C48" s="96" t="str">
        <f t="shared" si="4"/>
        <v>CPOS12109</v>
      </c>
      <c r="D48" s="95" t="s">
        <v>108</v>
      </c>
      <c r="E48" s="63" t="s">
        <v>79</v>
      </c>
      <c r="F48" s="64">
        <v>5275</v>
      </c>
    </row>
    <row r="49" spans="1:6" x14ac:dyDescent="0.25">
      <c r="A49" s="62" t="s">
        <v>4398</v>
      </c>
      <c r="B49" s="96">
        <v>12110</v>
      </c>
      <c r="C49" s="96" t="str">
        <f t="shared" si="4"/>
        <v>CPOS12110</v>
      </c>
      <c r="D49" s="95" t="s">
        <v>109</v>
      </c>
      <c r="E49" s="63" t="s">
        <v>110</v>
      </c>
      <c r="F49" s="64">
        <v>70.400000000000006</v>
      </c>
    </row>
    <row r="50" spans="1:6" x14ac:dyDescent="0.25">
      <c r="A50" s="62" t="s">
        <v>4398</v>
      </c>
      <c r="B50" s="96">
        <v>12111</v>
      </c>
      <c r="C50" s="96" t="str">
        <f t="shared" si="4"/>
        <v>CPOS12111</v>
      </c>
      <c r="D50" s="95" t="s">
        <v>111</v>
      </c>
      <c r="E50" s="63" t="s">
        <v>110</v>
      </c>
      <c r="F50" s="64">
        <v>84.74</v>
      </c>
    </row>
    <row r="51" spans="1:6" x14ac:dyDescent="0.25">
      <c r="A51" s="62" t="s">
        <v>4398</v>
      </c>
      <c r="B51" s="96">
        <v>12112</v>
      </c>
      <c r="C51" s="96" t="str">
        <f t="shared" si="4"/>
        <v>CPOS12112</v>
      </c>
      <c r="D51" s="95" t="s">
        <v>112</v>
      </c>
      <c r="E51" s="63" t="s">
        <v>110</v>
      </c>
      <c r="F51" s="64">
        <v>278.5</v>
      </c>
    </row>
    <row r="52" spans="1:6" x14ac:dyDescent="0.25">
      <c r="A52" s="62" t="s">
        <v>4398</v>
      </c>
      <c r="B52" s="96">
        <v>12113</v>
      </c>
      <c r="C52" s="96" t="str">
        <f t="shared" si="4"/>
        <v>CPOS12113</v>
      </c>
      <c r="D52" s="95" t="s">
        <v>113</v>
      </c>
      <c r="E52" s="63" t="s">
        <v>110</v>
      </c>
      <c r="F52" s="64">
        <v>864.7</v>
      </c>
    </row>
    <row r="53" spans="1:6" ht="30" x14ac:dyDescent="0.25">
      <c r="A53" s="62" t="s">
        <v>4398</v>
      </c>
      <c r="B53" s="96">
        <v>12114</v>
      </c>
      <c r="C53" s="96" t="str">
        <f t="shared" si="4"/>
        <v>CPOS12114</v>
      </c>
      <c r="D53" s="95" t="s">
        <v>114</v>
      </c>
      <c r="E53" s="63" t="s">
        <v>110</v>
      </c>
      <c r="F53" s="64">
        <v>93.42</v>
      </c>
    </row>
    <row r="54" spans="1:6" x14ac:dyDescent="0.25">
      <c r="D54" s="94" t="s">
        <v>115</v>
      </c>
    </row>
    <row r="55" spans="1:6" x14ac:dyDescent="0.25">
      <c r="A55" s="62" t="s">
        <v>4398</v>
      </c>
      <c r="B55" s="96">
        <v>12209</v>
      </c>
      <c r="C55" s="96" t="str">
        <f t="shared" ref="C55:C108" si="5">A55&amp;B55</f>
        <v>CPOS12209</v>
      </c>
      <c r="D55" s="95" t="s">
        <v>116</v>
      </c>
      <c r="E55" s="63" t="s">
        <v>117</v>
      </c>
      <c r="F55" s="64">
        <v>2539.83</v>
      </c>
    </row>
    <row r="56" spans="1:6" x14ac:dyDescent="0.25">
      <c r="A56" s="62" t="s">
        <v>4398</v>
      </c>
      <c r="B56" s="96">
        <v>12210</v>
      </c>
      <c r="C56" s="96" t="str">
        <f t="shared" si="5"/>
        <v>CPOS12210</v>
      </c>
      <c r="D56" s="95" t="s">
        <v>118</v>
      </c>
      <c r="E56" s="63" t="s">
        <v>119</v>
      </c>
      <c r="F56" s="64">
        <v>1363</v>
      </c>
    </row>
    <row r="57" spans="1:6" x14ac:dyDescent="0.25">
      <c r="A57" s="62" t="s">
        <v>4398</v>
      </c>
      <c r="B57" s="96">
        <v>12212</v>
      </c>
      <c r="C57" s="96" t="str">
        <f t="shared" si="5"/>
        <v>CPOS12212</v>
      </c>
      <c r="D57" s="95" t="s">
        <v>120</v>
      </c>
      <c r="E57" s="63" t="s">
        <v>58</v>
      </c>
      <c r="F57" s="64">
        <v>672.08</v>
      </c>
    </row>
    <row r="58" spans="1:6" ht="30" x14ac:dyDescent="0.25">
      <c r="A58" s="62" t="s">
        <v>4398</v>
      </c>
      <c r="B58" s="96">
        <v>12213</v>
      </c>
      <c r="C58" s="96" t="str">
        <f t="shared" si="5"/>
        <v>CPOS12213</v>
      </c>
      <c r="D58" s="95" t="s">
        <v>121</v>
      </c>
      <c r="E58" s="63" t="s">
        <v>110</v>
      </c>
      <c r="F58" s="64">
        <v>562.47</v>
      </c>
    </row>
    <row r="59" spans="1:6" ht="30" x14ac:dyDescent="0.25">
      <c r="A59" s="62" t="s">
        <v>4398</v>
      </c>
      <c r="B59" s="96">
        <v>12215</v>
      </c>
      <c r="C59" s="96" t="str">
        <f t="shared" si="5"/>
        <v>CPOS12215</v>
      </c>
      <c r="D59" s="95" t="s">
        <v>122</v>
      </c>
      <c r="E59" s="63" t="s">
        <v>110</v>
      </c>
      <c r="F59" s="64">
        <v>1431.33</v>
      </c>
    </row>
    <row r="60" spans="1:6" x14ac:dyDescent="0.25">
      <c r="A60" s="62" t="s">
        <v>4398</v>
      </c>
      <c r="B60" s="96">
        <v>12216</v>
      </c>
      <c r="C60" s="96" t="str">
        <f t="shared" si="5"/>
        <v>CPOS12216</v>
      </c>
      <c r="D60" s="95" t="s">
        <v>123</v>
      </c>
      <c r="E60" s="63" t="s">
        <v>110</v>
      </c>
      <c r="F60" s="64">
        <v>500.67</v>
      </c>
    </row>
    <row r="61" spans="1:6" ht="30" x14ac:dyDescent="0.25">
      <c r="A61" s="62" t="s">
        <v>4398</v>
      </c>
      <c r="B61" s="96">
        <v>12217</v>
      </c>
      <c r="C61" s="96" t="str">
        <f t="shared" si="5"/>
        <v>CPOS12217</v>
      </c>
      <c r="D61" s="95" t="s">
        <v>124</v>
      </c>
      <c r="E61" s="63" t="s">
        <v>110</v>
      </c>
      <c r="F61" s="64">
        <v>270.3</v>
      </c>
    </row>
    <row r="62" spans="1:6" ht="30" x14ac:dyDescent="0.25">
      <c r="A62" s="62" t="s">
        <v>4398</v>
      </c>
      <c r="B62" s="96">
        <v>12219</v>
      </c>
      <c r="C62" s="96" t="str">
        <f t="shared" si="5"/>
        <v>CPOS12219</v>
      </c>
      <c r="D62" s="95" t="s">
        <v>125</v>
      </c>
      <c r="E62" s="63" t="s">
        <v>110</v>
      </c>
      <c r="F62" s="64">
        <v>242.6</v>
      </c>
    </row>
    <row r="63" spans="1:6" x14ac:dyDescent="0.25">
      <c r="A63" s="62" t="s">
        <v>4398</v>
      </c>
      <c r="B63" s="96">
        <v>12220</v>
      </c>
      <c r="C63" s="96" t="str">
        <f t="shared" si="5"/>
        <v>CPOS12220</v>
      </c>
      <c r="D63" s="95" t="s">
        <v>126</v>
      </c>
      <c r="E63" s="63" t="s">
        <v>58</v>
      </c>
      <c r="F63" s="64">
        <v>209.42000000000002</v>
      </c>
    </row>
    <row r="64" spans="1:6" ht="30" x14ac:dyDescent="0.25">
      <c r="A64" s="62" t="s">
        <v>4398</v>
      </c>
      <c r="B64" s="96">
        <v>12221</v>
      </c>
      <c r="C64" s="96" t="str">
        <f t="shared" si="5"/>
        <v>CPOS12221</v>
      </c>
      <c r="D64" s="95" t="s">
        <v>127</v>
      </c>
      <c r="E64" s="63" t="s">
        <v>110</v>
      </c>
      <c r="F64" s="64">
        <v>468.41</v>
      </c>
    </row>
    <row r="65" spans="1:6" x14ac:dyDescent="0.25">
      <c r="A65" s="62" t="s">
        <v>4398</v>
      </c>
      <c r="B65" s="96">
        <v>12222</v>
      </c>
      <c r="C65" s="96" t="str">
        <f t="shared" si="5"/>
        <v>CPOS12222</v>
      </c>
      <c r="D65" s="95" t="s">
        <v>128</v>
      </c>
      <c r="E65" s="63" t="s">
        <v>129</v>
      </c>
      <c r="F65" s="64">
        <v>397.40000000000003</v>
      </c>
    </row>
    <row r="66" spans="1:6" ht="30" x14ac:dyDescent="0.25">
      <c r="A66" s="62" t="s">
        <v>4398</v>
      </c>
      <c r="B66" s="96">
        <v>12224</v>
      </c>
      <c r="C66" s="96" t="str">
        <f t="shared" si="5"/>
        <v>CPOS12224</v>
      </c>
      <c r="D66" s="95" t="s">
        <v>130</v>
      </c>
      <c r="E66" s="63" t="s">
        <v>110</v>
      </c>
      <c r="F66" s="64">
        <v>339.3</v>
      </c>
    </row>
    <row r="67" spans="1:6" ht="30" x14ac:dyDescent="0.25">
      <c r="A67" s="62" t="s">
        <v>4398</v>
      </c>
      <c r="B67" s="96">
        <v>12226</v>
      </c>
      <c r="C67" s="96" t="str">
        <f t="shared" si="5"/>
        <v>CPOS12226</v>
      </c>
      <c r="D67" s="95" t="s">
        <v>131</v>
      </c>
      <c r="E67" s="63" t="s">
        <v>110</v>
      </c>
      <c r="F67" s="64">
        <v>420.45</v>
      </c>
    </row>
    <row r="68" spans="1:6" ht="30" x14ac:dyDescent="0.25">
      <c r="A68" s="62" t="s">
        <v>4398</v>
      </c>
      <c r="B68" s="96">
        <v>12227</v>
      </c>
      <c r="C68" s="96" t="str">
        <f t="shared" si="5"/>
        <v>CPOS12227</v>
      </c>
      <c r="D68" s="95" t="s">
        <v>132</v>
      </c>
      <c r="E68" s="63" t="s">
        <v>110</v>
      </c>
      <c r="F68" s="64">
        <v>2534.5100000000002</v>
      </c>
    </row>
    <row r="69" spans="1:6" ht="30" x14ac:dyDescent="0.25">
      <c r="A69" s="62" t="s">
        <v>4398</v>
      </c>
      <c r="B69" s="96">
        <v>12228</v>
      </c>
      <c r="C69" s="96" t="str">
        <f t="shared" si="5"/>
        <v>CPOS12228</v>
      </c>
      <c r="D69" s="95" t="s">
        <v>133</v>
      </c>
      <c r="E69" s="63" t="s">
        <v>110</v>
      </c>
      <c r="F69" s="64">
        <v>497.81</v>
      </c>
    </row>
    <row r="70" spans="1:6" ht="30" x14ac:dyDescent="0.25">
      <c r="A70" s="62" t="s">
        <v>4398</v>
      </c>
      <c r="B70" s="96">
        <v>12229</v>
      </c>
      <c r="C70" s="96" t="str">
        <f t="shared" si="5"/>
        <v>CPOS12229</v>
      </c>
      <c r="D70" s="95" t="s">
        <v>134</v>
      </c>
      <c r="E70" s="63" t="s">
        <v>110</v>
      </c>
      <c r="F70" s="64">
        <v>1059.52</v>
      </c>
    </row>
    <row r="71" spans="1:6" ht="30" x14ac:dyDescent="0.25">
      <c r="A71" s="62" t="s">
        <v>4398</v>
      </c>
      <c r="B71" s="96">
        <v>12230</v>
      </c>
      <c r="C71" s="96" t="str">
        <f t="shared" si="5"/>
        <v>CPOS12230</v>
      </c>
      <c r="D71" s="95" t="s">
        <v>135</v>
      </c>
      <c r="E71" s="63" t="s">
        <v>110</v>
      </c>
      <c r="F71" s="64">
        <v>560.09</v>
      </c>
    </row>
    <row r="72" spans="1:6" ht="30" x14ac:dyDescent="0.25">
      <c r="A72" s="62" t="s">
        <v>4398</v>
      </c>
      <c r="B72" s="96">
        <v>12231</v>
      </c>
      <c r="C72" s="96" t="str">
        <f t="shared" si="5"/>
        <v>CPOS12231</v>
      </c>
      <c r="D72" s="95" t="s">
        <v>136</v>
      </c>
      <c r="E72" s="63" t="s">
        <v>110</v>
      </c>
      <c r="F72" s="64">
        <v>855.5</v>
      </c>
    </row>
    <row r="73" spans="1:6" ht="30" x14ac:dyDescent="0.25">
      <c r="A73" s="62" t="s">
        <v>4398</v>
      </c>
      <c r="B73" s="96">
        <v>12232</v>
      </c>
      <c r="C73" s="96" t="str">
        <f t="shared" si="5"/>
        <v>CPOS12232</v>
      </c>
      <c r="D73" s="95" t="s">
        <v>137</v>
      </c>
      <c r="E73" s="63" t="s">
        <v>110</v>
      </c>
      <c r="F73" s="64">
        <v>646.04999999999995</v>
      </c>
    </row>
    <row r="74" spans="1:6" ht="30" x14ac:dyDescent="0.25">
      <c r="A74" s="62" t="s">
        <v>4398</v>
      </c>
      <c r="B74" s="96">
        <v>12233</v>
      </c>
      <c r="C74" s="96" t="str">
        <f t="shared" si="5"/>
        <v>CPOS12233</v>
      </c>
      <c r="D74" s="95" t="s">
        <v>138</v>
      </c>
      <c r="E74" s="63" t="s">
        <v>110</v>
      </c>
      <c r="F74" s="64">
        <v>1480.97</v>
      </c>
    </row>
    <row r="75" spans="1:6" ht="30" x14ac:dyDescent="0.25">
      <c r="A75" s="62" t="s">
        <v>4398</v>
      </c>
      <c r="B75" s="96">
        <v>12234</v>
      </c>
      <c r="C75" s="96" t="str">
        <f t="shared" si="5"/>
        <v>CPOS12234</v>
      </c>
      <c r="D75" s="95" t="s">
        <v>139</v>
      </c>
      <c r="E75" s="63" t="s">
        <v>110</v>
      </c>
      <c r="F75" s="64">
        <v>231.1</v>
      </c>
    </row>
    <row r="76" spans="1:6" ht="30" x14ac:dyDescent="0.25">
      <c r="A76" s="62" t="s">
        <v>4398</v>
      </c>
      <c r="B76" s="96">
        <v>12236</v>
      </c>
      <c r="C76" s="96" t="str">
        <f t="shared" si="5"/>
        <v>CPOS12236</v>
      </c>
      <c r="D76" s="95" t="s">
        <v>140</v>
      </c>
      <c r="E76" s="63" t="s">
        <v>110</v>
      </c>
      <c r="F76" s="64">
        <v>327.10000000000002</v>
      </c>
    </row>
    <row r="77" spans="1:6" ht="30" x14ac:dyDescent="0.25">
      <c r="A77" s="62" t="s">
        <v>4398</v>
      </c>
      <c r="B77" s="96">
        <v>12238</v>
      </c>
      <c r="C77" s="96" t="str">
        <f t="shared" si="5"/>
        <v>CPOS12238</v>
      </c>
      <c r="D77" s="95" t="s">
        <v>141</v>
      </c>
      <c r="E77" s="63" t="s">
        <v>110</v>
      </c>
      <c r="F77" s="64">
        <v>465.38</v>
      </c>
    </row>
    <row r="78" spans="1:6" ht="30" x14ac:dyDescent="0.25">
      <c r="A78" s="62" t="s">
        <v>4398</v>
      </c>
      <c r="B78" s="96">
        <v>12240</v>
      </c>
      <c r="C78" s="96" t="str">
        <f t="shared" si="5"/>
        <v>CPOS12240</v>
      </c>
      <c r="D78" s="95" t="s">
        <v>142</v>
      </c>
      <c r="E78" s="63" t="s">
        <v>110</v>
      </c>
      <c r="F78" s="64">
        <v>202.82</v>
      </c>
    </row>
    <row r="79" spans="1:6" ht="30" x14ac:dyDescent="0.25">
      <c r="A79" s="62" t="s">
        <v>4398</v>
      </c>
      <c r="B79" s="96">
        <v>12241</v>
      </c>
      <c r="C79" s="96" t="str">
        <f t="shared" si="5"/>
        <v>CPOS12241</v>
      </c>
      <c r="D79" s="95" t="s">
        <v>143</v>
      </c>
      <c r="E79" s="63" t="s">
        <v>110</v>
      </c>
      <c r="F79" s="64">
        <v>1787.3500000000001</v>
      </c>
    </row>
    <row r="80" spans="1:6" ht="30" x14ac:dyDescent="0.25">
      <c r="A80" s="62" t="s">
        <v>4398</v>
      </c>
      <c r="B80" s="96">
        <v>12242</v>
      </c>
      <c r="C80" s="96" t="str">
        <f t="shared" si="5"/>
        <v>CPOS12242</v>
      </c>
      <c r="D80" s="95" t="s">
        <v>144</v>
      </c>
      <c r="E80" s="63" t="s">
        <v>110</v>
      </c>
      <c r="F80" s="64">
        <v>306.05</v>
      </c>
    </row>
    <row r="81" spans="1:6" ht="30" x14ac:dyDescent="0.25">
      <c r="A81" s="62" t="s">
        <v>4398</v>
      </c>
      <c r="B81" s="96">
        <v>12243</v>
      </c>
      <c r="C81" s="96" t="str">
        <f t="shared" si="5"/>
        <v>CPOS12243</v>
      </c>
      <c r="D81" s="95" t="s">
        <v>145</v>
      </c>
      <c r="E81" s="63" t="s">
        <v>110</v>
      </c>
      <c r="F81" s="64">
        <v>1301.01</v>
      </c>
    </row>
    <row r="82" spans="1:6" ht="30" x14ac:dyDescent="0.25">
      <c r="A82" s="62" t="s">
        <v>4398</v>
      </c>
      <c r="B82" s="96">
        <v>12244</v>
      </c>
      <c r="C82" s="96" t="str">
        <f t="shared" si="5"/>
        <v>CPOS12244</v>
      </c>
      <c r="D82" s="95" t="s">
        <v>146</v>
      </c>
      <c r="E82" s="63" t="s">
        <v>110</v>
      </c>
      <c r="F82" s="64">
        <v>461.35</v>
      </c>
    </row>
    <row r="83" spans="1:6" ht="30" x14ac:dyDescent="0.25">
      <c r="A83" s="62" t="s">
        <v>4398</v>
      </c>
      <c r="B83" s="96">
        <v>12245</v>
      </c>
      <c r="C83" s="96" t="str">
        <f t="shared" si="5"/>
        <v>CPOS12245</v>
      </c>
      <c r="D83" s="95" t="s">
        <v>147</v>
      </c>
      <c r="E83" s="63" t="s">
        <v>110</v>
      </c>
      <c r="F83" s="64">
        <v>2816.29</v>
      </c>
    </row>
    <row r="84" spans="1:6" x14ac:dyDescent="0.25">
      <c r="A84" s="62" t="s">
        <v>4398</v>
      </c>
      <c r="B84" s="96">
        <v>12247</v>
      </c>
      <c r="C84" s="96" t="str">
        <f t="shared" si="5"/>
        <v>CPOS12247</v>
      </c>
      <c r="D84" s="95" t="s">
        <v>148</v>
      </c>
      <c r="E84" s="63" t="s">
        <v>119</v>
      </c>
      <c r="F84" s="64">
        <v>1465.56</v>
      </c>
    </row>
    <row r="85" spans="1:6" x14ac:dyDescent="0.25">
      <c r="A85" s="62" t="s">
        <v>4398</v>
      </c>
      <c r="B85" s="96">
        <v>12248</v>
      </c>
      <c r="C85" s="96" t="str">
        <f t="shared" si="5"/>
        <v>CPOS12248</v>
      </c>
      <c r="D85" s="95" t="s">
        <v>149</v>
      </c>
      <c r="E85" s="63" t="s">
        <v>110</v>
      </c>
      <c r="F85" s="64">
        <v>600</v>
      </c>
    </row>
    <row r="86" spans="1:6" x14ac:dyDescent="0.25">
      <c r="A86" s="62" t="s">
        <v>4398</v>
      </c>
      <c r="B86" s="96">
        <v>12249</v>
      </c>
      <c r="C86" s="96" t="str">
        <f t="shared" si="5"/>
        <v>CPOS12249</v>
      </c>
      <c r="D86" s="95" t="s">
        <v>150</v>
      </c>
      <c r="E86" s="63" t="s">
        <v>119</v>
      </c>
      <c r="F86" s="64">
        <v>1152.47</v>
      </c>
    </row>
    <row r="87" spans="1:6" x14ac:dyDescent="0.25">
      <c r="A87" s="62" t="s">
        <v>4398</v>
      </c>
      <c r="B87" s="96">
        <v>12250</v>
      </c>
      <c r="C87" s="96" t="str">
        <f t="shared" si="5"/>
        <v>CPOS12250</v>
      </c>
      <c r="D87" s="95" t="s">
        <v>151</v>
      </c>
      <c r="E87" s="63" t="s">
        <v>110</v>
      </c>
      <c r="F87" s="64">
        <v>651.25</v>
      </c>
    </row>
    <row r="88" spans="1:6" x14ac:dyDescent="0.25">
      <c r="A88" s="62" t="s">
        <v>4398</v>
      </c>
      <c r="B88" s="96">
        <v>12252</v>
      </c>
      <c r="C88" s="96" t="str">
        <f t="shared" si="5"/>
        <v>CPOS12252</v>
      </c>
      <c r="D88" s="95" t="s">
        <v>152</v>
      </c>
      <c r="E88" s="63" t="s">
        <v>110</v>
      </c>
      <c r="F88" s="64">
        <v>796.25</v>
      </c>
    </row>
    <row r="89" spans="1:6" ht="30" x14ac:dyDescent="0.25">
      <c r="A89" s="62" t="s">
        <v>4398</v>
      </c>
      <c r="B89" s="96">
        <v>12253</v>
      </c>
      <c r="C89" s="96" t="str">
        <f t="shared" si="5"/>
        <v>CPOS12253</v>
      </c>
      <c r="D89" s="95" t="s">
        <v>153</v>
      </c>
      <c r="E89" s="63" t="s">
        <v>110</v>
      </c>
      <c r="F89" s="64">
        <v>1494.77</v>
      </c>
    </row>
    <row r="90" spans="1:6" ht="30" x14ac:dyDescent="0.25">
      <c r="A90" s="62" t="s">
        <v>4398</v>
      </c>
      <c r="B90" s="96">
        <v>12254</v>
      </c>
      <c r="C90" s="96" t="str">
        <f t="shared" si="5"/>
        <v>CPOS12254</v>
      </c>
      <c r="D90" s="95" t="s">
        <v>154</v>
      </c>
      <c r="E90" s="63" t="s">
        <v>110</v>
      </c>
      <c r="F90" s="64">
        <v>332.92</v>
      </c>
    </row>
    <row r="91" spans="1:6" ht="30" x14ac:dyDescent="0.25">
      <c r="A91" s="62" t="s">
        <v>4398</v>
      </c>
      <c r="B91" s="96">
        <v>12255</v>
      </c>
      <c r="C91" s="96" t="str">
        <f t="shared" si="5"/>
        <v>CPOS12255</v>
      </c>
      <c r="D91" s="95" t="s">
        <v>155</v>
      </c>
      <c r="E91" s="63" t="s">
        <v>110</v>
      </c>
      <c r="F91" s="64">
        <v>561.58000000000004</v>
      </c>
    </row>
    <row r="92" spans="1:6" ht="30" x14ac:dyDescent="0.25">
      <c r="A92" s="62" t="s">
        <v>4398</v>
      </c>
      <c r="B92" s="96">
        <v>12256</v>
      </c>
      <c r="C92" s="96" t="str">
        <f t="shared" si="5"/>
        <v>CPOS12256</v>
      </c>
      <c r="D92" s="95" t="s">
        <v>156</v>
      </c>
      <c r="E92" s="63" t="s">
        <v>110</v>
      </c>
      <c r="F92" s="64">
        <v>475.58</v>
      </c>
    </row>
    <row r="93" spans="1:6" ht="30" x14ac:dyDescent="0.25">
      <c r="A93" s="62" t="s">
        <v>4398</v>
      </c>
      <c r="B93" s="96">
        <v>12257</v>
      </c>
      <c r="C93" s="96" t="str">
        <f t="shared" si="5"/>
        <v>CPOS12257</v>
      </c>
      <c r="D93" s="95" t="s">
        <v>157</v>
      </c>
      <c r="E93" s="63" t="s">
        <v>79</v>
      </c>
      <c r="F93" s="64">
        <v>6663.67</v>
      </c>
    </row>
    <row r="94" spans="1:6" ht="30" x14ac:dyDescent="0.25">
      <c r="A94" s="62" t="s">
        <v>4398</v>
      </c>
      <c r="B94" s="96">
        <v>12261</v>
      </c>
      <c r="C94" s="96" t="str">
        <f t="shared" si="5"/>
        <v>CPOS12261</v>
      </c>
      <c r="D94" s="95" t="s">
        <v>158</v>
      </c>
      <c r="E94" s="63" t="s">
        <v>79</v>
      </c>
      <c r="F94" s="64">
        <v>2417.89</v>
      </c>
    </row>
    <row r="95" spans="1:6" x14ac:dyDescent="0.25">
      <c r="A95" s="62" t="s">
        <v>4398</v>
      </c>
      <c r="B95" s="96">
        <v>12266</v>
      </c>
      <c r="C95" s="96" t="str">
        <f t="shared" si="5"/>
        <v>CPOS12266</v>
      </c>
      <c r="D95" s="95" t="s">
        <v>159</v>
      </c>
      <c r="E95" s="63" t="s">
        <v>129</v>
      </c>
      <c r="F95" s="64">
        <v>208.84</v>
      </c>
    </row>
    <row r="96" spans="1:6" x14ac:dyDescent="0.25">
      <c r="A96" s="62" t="s">
        <v>4398</v>
      </c>
      <c r="B96" s="96">
        <v>12268</v>
      </c>
      <c r="C96" s="96" t="str">
        <f t="shared" si="5"/>
        <v>CPOS12268</v>
      </c>
      <c r="D96" s="95" t="s">
        <v>160</v>
      </c>
      <c r="E96" s="63" t="s">
        <v>129</v>
      </c>
      <c r="F96" s="64">
        <v>223.72</v>
      </c>
    </row>
    <row r="97" spans="1:6" x14ac:dyDescent="0.25">
      <c r="A97" s="62" t="s">
        <v>4398</v>
      </c>
      <c r="B97" s="96">
        <v>12269</v>
      </c>
      <c r="C97" s="96" t="str">
        <f t="shared" si="5"/>
        <v>CPOS12269</v>
      </c>
      <c r="D97" s="95" t="s">
        <v>161</v>
      </c>
      <c r="E97" s="63" t="s">
        <v>110</v>
      </c>
      <c r="F97" s="64">
        <v>55.120000000000005</v>
      </c>
    </row>
    <row r="98" spans="1:6" x14ac:dyDescent="0.25">
      <c r="A98" s="62" t="s">
        <v>4398</v>
      </c>
      <c r="B98" s="96">
        <v>12270</v>
      </c>
      <c r="C98" s="96" t="str">
        <f t="shared" si="5"/>
        <v>CPOS12270</v>
      </c>
      <c r="D98" s="95" t="s">
        <v>162</v>
      </c>
      <c r="E98" s="63" t="s">
        <v>110</v>
      </c>
      <c r="F98" s="64">
        <v>108.83</v>
      </c>
    </row>
    <row r="99" spans="1:6" ht="30" x14ac:dyDescent="0.25">
      <c r="A99" s="62" t="s">
        <v>4398</v>
      </c>
      <c r="B99" s="96">
        <v>12271</v>
      </c>
      <c r="C99" s="96" t="str">
        <f t="shared" si="5"/>
        <v>CPOS12271</v>
      </c>
      <c r="D99" s="95" t="s">
        <v>163</v>
      </c>
      <c r="E99" s="63" t="s">
        <v>110</v>
      </c>
      <c r="F99" s="64">
        <v>627.70000000000005</v>
      </c>
    </row>
    <row r="100" spans="1:6" ht="30" x14ac:dyDescent="0.25">
      <c r="A100" s="62" t="s">
        <v>4398</v>
      </c>
      <c r="B100" s="96">
        <v>12272</v>
      </c>
      <c r="C100" s="96" t="str">
        <f t="shared" si="5"/>
        <v>CPOS12272</v>
      </c>
      <c r="D100" s="95" t="s">
        <v>164</v>
      </c>
      <c r="E100" s="63" t="s">
        <v>110</v>
      </c>
      <c r="F100" s="64">
        <v>950</v>
      </c>
    </row>
    <row r="101" spans="1:6" ht="30" x14ac:dyDescent="0.25">
      <c r="A101" s="62" t="s">
        <v>4398</v>
      </c>
      <c r="B101" s="96">
        <v>12273</v>
      </c>
      <c r="C101" s="96" t="str">
        <f t="shared" si="5"/>
        <v>CPOS12273</v>
      </c>
      <c r="D101" s="95" t="s">
        <v>165</v>
      </c>
      <c r="E101" s="63" t="s">
        <v>110</v>
      </c>
      <c r="F101" s="64">
        <v>903.33</v>
      </c>
    </row>
    <row r="102" spans="1:6" ht="30" x14ac:dyDescent="0.25">
      <c r="A102" s="62" t="s">
        <v>4398</v>
      </c>
      <c r="B102" s="96">
        <v>12274</v>
      </c>
      <c r="C102" s="96" t="str">
        <f t="shared" si="5"/>
        <v>CPOS12274</v>
      </c>
      <c r="D102" s="95" t="s">
        <v>166</v>
      </c>
      <c r="E102" s="63" t="s">
        <v>110</v>
      </c>
      <c r="F102" s="64">
        <v>843.33</v>
      </c>
    </row>
    <row r="103" spans="1:6" ht="30" x14ac:dyDescent="0.25">
      <c r="A103" s="62" t="s">
        <v>4398</v>
      </c>
      <c r="B103" s="96">
        <v>12275</v>
      </c>
      <c r="C103" s="96" t="str">
        <f t="shared" si="5"/>
        <v>CPOS12275</v>
      </c>
      <c r="D103" s="95" t="s">
        <v>167</v>
      </c>
      <c r="E103" s="63" t="s">
        <v>79</v>
      </c>
      <c r="F103" s="64">
        <v>10247.33</v>
      </c>
    </row>
    <row r="104" spans="1:6" ht="30" x14ac:dyDescent="0.25">
      <c r="A104" s="62" t="s">
        <v>4398</v>
      </c>
      <c r="B104" s="96">
        <v>12276</v>
      </c>
      <c r="C104" s="96" t="str">
        <f t="shared" si="5"/>
        <v>CPOS12276</v>
      </c>
      <c r="D104" s="95" t="s">
        <v>168</v>
      </c>
      <c r="E104" s="63" t="s">
        <v>79</v>
      </c>
      <c r="F104" s="64">
        <v>13930.550000000001</v>
      </c>
    </row>
    <row r="105" spans="1:6" x14ac:dyDescent="0.25">
      <c r="A105" s="62" t="s">
        <v>4398</v>
      </c>
      <c r="B105" s="96">
        <v>12280</v>
      </c>
      <c r="C105" s="96" t="str">
        <f t="shared" si="5"/>
        <v>CPOS12280</v>
      </c>
      <c r="D105" s="95" t="s">
        <v>169</v>
      </c>
      <c r="E105" s="63" t="s">
        <v>110</v>
      </c>
      <c r="F105" s="64">
        <v>890</v>
      </c>
    </row>
    <row r="106" spans="1:6" ht="30" x14ac:dyDescent="0.25">
      <c r="A106" s="62" t="s">
        <v>4398</v>
      </c>
      <c r="B106" s="96">
        <v>12296</v>
      </c>
      <c r="C106" s="96" t="str">
        <f t="shared" si="5"/>
        <v>CPOS12296</v>
      </c>
      <c r="D106" s="95" t="s">
        <v>170</v>
      </c>
      <c r="E106" s="63" t="s">
        <v>110</v>
      </c>
      <c r="F106" s="64">
        <v>809</v>
      </c>
    </row>
    <row r="107" spans="1:6" ht="30" x14ac:dyDescent="0.25">
      <c r="A107" s="62" t="s">
        <v>4398</v>
      </c>
      <c r="B107" s="96">
        <v>12297</v>
      </c>
      <c r="C107" s="96" t="str">
        <f t="shared" si="5"/>
        <v>CPOS12297</v>
      </c>
      <c r="D107" s="95" t="s">
        <v>171</v>
      </c>
      <c r="E107" s="63" t="s">
        <v>110</v>
      </c>
      <c r="F107" s="64">
        <v>553.33000000000004</v>
      </c>
    </row>
    <row r="108" spans="1:6" ht="30" x14ac:dyDescent="0.25">
      <c r="A108" s="62" t="s">
        <v>4398</v>
      </c>
      <c r="B108" s="96">
        <v>12298</v>
      </c>
      <c r="C108" s="96" t="str">
        <f t="shared" si="5"/>
        <v>CPOS12298</v>
      </c>
      <c r="D108" s="95" t="s">
        <v>172</v>
      </c>
      <c r="E108" s="63" t="s">
        <v>58</v>
      </c>
      <c r="F108" s="64">
        <v>5474.85</v>
      </c>
    </row>
    <row r="109" spans="1:6" x14ac:dyDescent="0.25">
      <c r="D109" s="94" t="s">
        <v>173</v>
      </c>
    </row>
    <row r="110" spans="1:6" x14ac:dyDescent="0.25">
      <c r="A110" s="62" t="s">
        <v>4398</v>
      </c>
      <c r="B110" s="96">
        <v>12301</v>
      </c>
      <c r="C110" s="96" t="str">
        <f t="shared" ref="C110:C134" si="6">A110&amp;B110</f>
        <v>CPOS12301</v>
      </c>
      <c r="D110" s="95" t="s">
        <v>174</v>
      </c>
      <c r="E110" s="63" t="s">
        <v>79</v>
      </c>
      <c r="F110" s="64">
        <v>175</v>
      </c>
    </row>
    <row r="111" spans="1:6" x14ac:dyDescent="0.25">
      <c r="A111" s="62" t="s">
        <v>4398</v>
      </c>
      <c r="B111" s="96">
        <v>12302</v>
      </c>
      <c r="C111" s="96" t="str">
        <f t="shared" si="6"/>
        <v>CPOS12302</v>
      </c>
      <c r="D111" s="95" t="s">
        <v>175</v>
      </c>
      <c r="E111" s="63" t="s">
        <v>81</v>
      </c>
      <c r="F111" s="64">
        <v>4.57</v>
      </c>
    </row>
    <row r="112" spans="1:6" x14ac:dyDescent="0.25">
      <c r="A112" s="62" t="s">
        <v>4398</v>
      </c>
      <c r="B112" s="96">
        <v>12303</v>
      </c>
      <c r="C112" s="96" t="str">
        <f t="shared" si="6"/>
        <v>CPOS12303</v>
      </c>
      <c r="D112" s="95" t="s">
        <v>176</v>
      </c>
      <c r="E112" s="63" t="s">
        <v>81</v>
      </c>
      <c r="F112" s="64">
        <v>92.15</v>
      </c>
    </row>
    <row r="113" spans="1:6" x14ac:dyDescent="0.25">
      <c r="A113" s="62" t="s">
        <v>4398</v>
      </c>
      <c r="B113" s="96">
        <v>12304</v>
      </c>
      <c r="C113" s="96" t="str">
        <f t="shared" si="6"/>
        <v>CPOS12304</v>
      </c>
      <c r="D113" s="95" t="s">
        <v>177</v>
      </c>
      <c r="E113" s="63" t="s">
        <v>81</v>
      </c>
      <c r="F113" s="64">
        <v>32.5</v>
      </c>
    </row>
    <row r="114" spans="1:6" x14ac:dyDescent="0.25">
      <c r="A114" s="62" t="s">
        <v>4398</v>
      </c>
      <c r="B114" s="96">
        <v>12306</v>
      </c>
      <c r="C114" s="96" t="str">
        <f t="shared" si="6"/>
        <v>CPOS12306</v>
      </c>
      <c r="D114" s="95" t="s">
        <v>178</v>
      </c>
      <c r="E114" s="63" t="s">
        <v>81</v>
      </c>
      <c r="F114" s="64">
        <v>17.010000000000002</v>
      </c>
    </row>
    <row r="115" spans="1:6" x14ac:dyDescent="0.25">
      <c r="A115" s="62" t="s">
        <v>4398</v>
      </c>
      <c r="B115" s="96">
        <v>12307</v>
      </c>
      <c r="C115" s="96" t="str">
        <f t="shared" si="6"/>
        <v>CPOS12307</v>
      </c>
      <c r="D115" s="95" t="s">
        <v>179</v>
      </c>
      <c r="E115" s="63" t="s">
        <v>110</v>
      </c>
      <c r="F115" s="64">
        <v>3.08</v>
      </c>
    </row>
    <row r="116" spans="1:6" x14ac:dyDescent="0.25">
      <c r="A116" s="62" t="s">
        <v>4398</v>
      </c>
      <c r="B116" s="96">
        <v>12312</v>
      </c>
      <c r="C116" s="96" t="str">
        <f t="shared" si="6"/>
        <v>CPOS12312</v>
      </c>
      <c r="D116" s="95" t="s">
        <v>180</v>
      </c>
      <c r="E116" s="63" t="s">
        <v>110</v>
      </c>
      <c r="F116" s="64">
        <v>160.08000000000001</v>
      </c>
    </row>
    <row r="117" spans="1:6" x14ac:dyDescent="0.25">
      <c r="A117" s="62" t="s">
        <v>4398</v>
      </c>
      <c r="B117" s="96">
        <v>12313</v>
      </c>
      <c r="C117" s="96" t="str">
        <f t="shared" si="6"/>
        <v>CPOS12313</v>
      </c>
      <c r="D117" s="95" t="s">
        <v>181</v>
      </c>
      <c r="E117" s="63" t="s">
        <v>110</v>
      </c>
      <c r="F117" s="64">
        <v>276.42</v>
      </c>
    </row>
    <row r="118" spans="1:6" x14ac:dyDescent="0.25">
      <c r="A118" s="62" t="s">
        <v>4398</v>
      </c>
      <c r="B118" s="96">
        <v>12314</v>
      </c>
      <c r="C118" s="96" t="str">
        <f t="shared" si="6"/>
        <v>CPOS12314</v>
      </c>
      <c r="D118" s="95" t="s">
        <v>182</v>
      </c>
      <c r="E118" s="63" t="s">
        <v>110</v>
      </c>
      <c r="F118" s="64">
        <v>128.08000000000001</v>
      </c>
    </row>
    <row r="119" spans="1:6" x14ac:dyDescent="0.25">
      <c r="A119" s="62" t="s">
        <v>4398</v>
      </c>
      <c r="B119" s="96">
        <v>12315</v>
      </c>
      <c r="C119" s="96" t="str">
        <f t="shared" si="6"/>
        <v>CPOS12315</v>
      </c>
      <c r="D119" s="95" t="s">
        <v>183</v>
      </c>
      <c r="E119" s="63" t="s">
        <v>110</v>
      </c>
      <c r="F119" s="64">
        <v>130.33000000000001</v>
      </c>
    </row>
    <row r="120" spans="1:6" x14ac:dyDescent="0.25">
      <c r="A120" s="62" t="s">
        <v>4398</v>
      </c>
      <c r="B120" s="96">
        <v>12316</v>
      </c>
      <c r="C120" s="96" t="str">
        <f t="shared" si="6"/>
        <v>CPOS12316</v>
      </c>
      <c r="D120" s="95" t="s">
        <v>184</v>
      </c>
      <c r="E120" s="63" t="s">
        <v>110</v>
      </c>
      <c r="F120" s="64">
        <v>147.91999999999999</v>
      </c>
    </row>
    <row r="121" spans="1:6" x14ac:dyDescent="0.25">
      <c r="A121" s="62" t="s">
        <v>4398</v>
      </c>
      <c r="B121" s="96">
        <v>12319</v>
      </c>
      <c r="C121" s="96" t="str">
        <f t="shared" si="6"/>
        <v>CPOS12319</v>
      </c>
      <c r="D121" s="95" t="s">
        <v>185</v>
      </c>
      <c r="E121" s="63" t="s">
        <v>110</v>
      </c>
      <c r="F121" s="64">
        <v>148.16999999999999</v>
      </c>
    </row>
    <row r="122" spans="1:6" x14ac:dyDescent="0.25">
      <c r="A122" s="62" t="s">
        <v>4398</v>
      </c>
      <c r="B122" s="96">
        <v>12320</v>
      </c>
      <c r="C122" s="96" t="str">
        <f t="shared" si="6"/>
        <v>CPOS12320</v>
      </c>
      <c r="D122" s="95" t="s">
        <v>186</v>
      </c>
      <c r="E122" s="63" t="s">
        <v>79</v>
      </c>
      <c r="F122" s="64">
        <v>125</v>
      </c>
    </row>
    <row r="123" spans="1:6" x14ac:dyDescent="0.25">
      <c r="A123" s="62" t="s">
        <v>4398</v>
      </c>
      <c r="B123" s="96">
        <v>12321</v>
      </c>
      <c r="C123" s="96" t="str">
        <f t="shared" si="6"/>
        <v>CPOS12321</v>
      </c>
      <c r="D123" s="95" t="s">
        <v>187</v>
      </c>
      <c r="E123" s="63" t="s">
        <v>58</v>
      </c>
      <c r="F123" s="64">
        <v>10.47</v>
      </c>
    </row>
    <row r="124" spans="1:6" x14ac:dyDescent="0.25">
      <c r="A124" s="62" t="s">
        <v>4398</v>
      </c>
      <c r="B124" s="96">
        <v>12322</v>
      </c>
      <c r="C124" s="96" t="str">
        <f t="shared" si="6"/>
        <v>CPOS12322</v>
      </c>
      <c r="D124" s="95" t="s">
        <v>188</v>
      </c>
      <c r="E124" s="63" t="s">
        <v>58</v>
      </c>
      <c r="F124" s="64">
        <v>13.18</v>
      </c>
    </row>
    <row r="125" spans="1:6" x14ac:dyDescent="0.25">
      <c r="A125" s="62" t="s">
        <v>4398</v>
      </c>
      <c r="B125" s="96">
        <v>12324</v>
      </c>
      <c r="C125" s="96" t="str">
        <f t="shared" si="6"/>
        <v>CPOS12324</v>
      </c>
      <c r="D125" s="95" t="s">
        <v>189</v>
      </c>
      <c r="E125" s="63" t="s">
        <v>58</v>
      </c>
      <c r="F125" s="64">
        <v>17.84</v>
      </c>
    </row>
    <row r="126" spans="1:6" x14ac:dyDescent="0.25">
      <c r="A126" s="62" t="s">
        <v>4398</v>
      </c>
      <c r="B126" s="96">
        <v>12326</v>
      </c>
      <c r="C126" s="96" t="str">
        <f t="shared" si="6"/>
        <v>CPOS12326</v>
      </c>
      <c r="D126" s="95" t="s">
        <v>190</v>
      </c>
      <c r="E126" s="63" t="s">
        <v>110</v>
      </c>
      <c r="F126" s="64">
        <v>161.25</v>
      </c>
    </row>
    <row r="127" spans="1:6" x14ac:dyDescent="0.25">
      <c r="A127" s="62" t="s">
        <v>4398</v>
      </c>
      <c r="B127" s="96">
        <v>12327</v>
      </c>
      <c r="C127" s="96" t="str">
        <f t="shared" si="6"/>
        <v>CPOS12327</v>
      </c>
      <c r="D127" s="95" t="s">
        <v>191</v>
      </c>
      <c r="E127" s="63" t="s">
        <v>110</v>
      </c>
      <c r="F127" s="64">
        <v>218</v>
      </c>
    </row>
    <row r="128" spans="1:6" x14ac:dyDescent="0.25">
      <c r="A128" s="62" t="s">
        <v>4398</v>
      </c>
      <c r="B128" s="96">
        <v>12328</v>
      </c>
      <c r="C128" s="96" t="str">
        <f t="shared" si="6"/>
        <v>CPOS12328</v>
      </c>
      <c r="D128" s="95" t="s">
        <v>192</v>
      </c>
      <c r="E128" s="63" t="s">
        <v>110</v>
      </c>
      <c r="F128" s="64">
        <v>299.75</v>
      </c>
    </row>
    <row r="129" spans="1:6" x14ac:dyDescent="0.25">
      <c r="A129" s="62" t="s">
        <v>4398</v>
      </c>
      <c r="B129" s="96">
        <v>12329</v>
      </c>
      <c r="C129" s="96" t="str">
        <f t="shared" si="6"/>
        <v>CPOS12329</v>
      </c>
      <c r="D129" s="95" t="s">
        <v>193</v>
      </c>
      <c r="E129" s="63" t="s">
        <v>110</v>
      </c>
      <c r="F129" s="64">
        <v>402.58</v>
      </c>
    </row>
    <row r="130" spans="1:6" x14ac:dyDescent="0.25">
      <c r="A130" s="62" t="s">
        <v>4398</v>
      </c>
      <c r="B130" s="96">
        <v>12346</v>
      </c>
      <c r="C130" s="96" t="str">
        <f t="shared" si="6"/>
        <v>CPOS12346</v>
      </c>
      <c r="D130" s="95" t="s">
        <v>194</v>
      </c>
      <c r="E130" s="63" t="s">
        <v>110</v>
      </c>
      <c r="F130" s="64">
        <v>133.5</v>
      </c>
    </row>
    <row r="131" spans="1:6" x14ac:dyDescent="0.25">
      <c r="A131" s="62" t="s">
        <v>4398</v>
      </c>
      <c r="B131" s="96">
        <v>12347</v>
      </c>
      <c r="C131" s="96" t="str">
        <f t="shared" si="6"/>
        <v>CPOS12347</v>
      </c>
      <c r="D131" s="95" t="s">
        <v>195</v>
      </c>
      <c r="E131" s="63" t="s">
        <v>110</v>
      </c>
      <c r="F131" s="64">
        <v>180.17000000000002</v>
      </c>
    </row>
    <row r="132" spans="1:6" x14ac:dyDescent="0.25">
      <c r="A132" s="62" t="s">
        <v>4398</v>
      </c>
      <c r="B132" s="96">
        <v>12348</v>
      </c>
      <c r="C132" s="96" t="str">
        <f t="shared" si="6"/>
        <v>CPOS12348</v>
      </c>
      <c r="D132" s="95" t="s">
        <v>196</v>
      </c>
      <c r="E132" s="63" t="s">
        <v>110</v>
      </c>
      <c r="F132" s="64">
        <v>242</v>
      </c>
    </row>
    <row r="133" spans="1:6" x14ac:dyDescent="0.25">
      <c r="A133" s="62" t="s">
        <v>4398</v>
      </c>
      <c r="B133" s="96">
        <v>12349</v>
      </c>
      <c r="C133" s="96" t="str">
        <f t="shared" si="6"/>
        <v>CPOS12349</v>
      </c>
      <c r="D133" s="95" t="s">
        <v>197</v>
      </c>
      <c r="E133" s="63" t="s">
        <v>110</v>
      </c>
      <c r="F133" s="64">
        <v>334.5</v>
      </c>
    </row>
    <row r="134" spans="1:6" x14ac:dyDescent="0.25">
      <c r="A134" s="62" t="s">
        <v>4398</v>
      </c>
      <c r="B134" s="96">
        <v>12351</v>
      </c>
      <c r="C134" s="96" t="str">
        <f t="shared" si="6"/>
        <v>CPOS12351</v>
      </c>
      <c r="D134" s="95" t="s">
        <v>198</v>
      </c>
      <c r="E134" s="63" t="s">
        <v>110</v>
      </c>
      <c r="F134" s="64">
        <v>177.64000000000001</v>
      </c>
    </row>
    <row r="135" spans="1:6" x14ac:dyDescent="0.25">
      <c r="D135" s="94" t="s">
        <v>199</v>
      </c>
    </row>
    <row r="136" spans="1:6" ht="30" x14ac:dyDescent="0.25">
      <c r="A136" s="62" t="s">
        <v>4398</v>
      </c>
      <c r="B136" s="96">
        <v>12701</v>
      </c>
      <c r="C136" s="96" t="str">
        <f t="shared" ref="C136:C142" si="7">A136&amp;B136</f>
        <v>CPOS12701</v>
      </c>
      <c r="D136" s="95" t="s">
        <v>200</v>
      </c>
      <c r="E136" s="63" t="s">
        <v>58</v>
      </c>
      <c r="F136" s="64">
        <v>8535.5499999999993</v>
      </c>
    </row>
    <row r="137" spans="1:6" x14ac:dyDescent="0.25">
      <c r="A137" s="62" t="s">
        <v>4398</v>
      </c>
      <c r="B137" s="96">
        <v>12702</v>
      </c>
      <c r="C137" s="96" t="str">
        <f t="shared" si="7"/>
        <v>CPOS12702</v>
      </c>
      <c r="D137" s="95" t="s">
        <v>201</v>
      </c>
      <c r="E137" s="63" t="s">
        <v>58</v>
      </c>
      <c r="F137" s="64">
        <v>12217.66</v>
      </c>
    </row>
    <row r="138" spans="1:6" x14ac:dyDescent="0.25">
      <c r="A138" s="62" t="s">
        <v>4398</v>
      </c>
      <c r="B138" s="96">
        <v>12703</v>
      </c>
      <c r="C138" s="96" t="str">
        <f t="shared" si="7"/>
        <v>CPOS12703</v>
      </c>
      <c r="D138" s="95" t="s">
        <v>202</v>
      </c>
      <c r="E138" s="63" t="s">
        <v>58</v>
      </c>
      <c r="F138" s="64">
        <v>11999.65</v>
      </c>
    </row>
    <row r="139" spans="1:6" x14ac:dyDescent="0.25">
      <c r="A139" s="62" t="s">
        <v>4398</v>
      </c>
      <c r="B139" s="96">
        <v>12704</v>
      </c>
      <c r="C139" s="96" t="str">
        <f t="shared" si="7"/>
        <v>CPOS12704</v>
      </c>
      <c r="D139" s="95" t="s">
        <v>203</v>
      </c>
      <c r="E139" s="63" t="s">
        <v>58</v>
      </c>
      <c r="F139" s="64">
        <v>23213.200000000001</v>
      </c>
    </row>
    <row r="140" spans="1:6" x14ac:dyDescent="0.25">
      <c r="A140" s="62" t="s">
        <v>4398</v>
      </c>
      <c r="B140" s="96">
        <v>12705</v>
      </c>
      <c r="C140" s="96" t="str">
        <f t="shared" si="7"/>
        <v>CPOS12705</v>
      </c>
      <c r="D140" s="95" t="s">
        <v>204</v>
      </c>
      <c r="E140" s="63" t="s">
        <v>58</v>
      </c>
      <c r="F140" s="64">
        <v>35739.19</v>
      </c>
    </row>
    <row r="141" spans="1:6" x14ac:dyDescent="0.25">
      <c r="A141" s="62" t="s">
        <v>4398</v>
      </c>
      <c r="B141" s="96">
        <v>12706</v>
      </c>
      <c r="C141" s="96" t="str">
        <f t="shared" si="7"/>
        <v>CPOS12706</v>
      </c>
      <c r="D141" s="95" t="s">
        <v>205</v>
      </c>
      <c r="E141" s="63" t="s">
        <v>58</v>
      </c>
      <c r="F141" s="64">
        <v>14506.15</v>
      </c>
    </row>
    <row r="142" spans="1:6" x14ac:dyDescent="0.25">
      <c r="A142" s="62" t="s">
        <v>4398</v>
      </c>
      <c r="B142" s="96">
        <v>12707</v>
      </c>
      <c r="C142" s="96" t="str">
        <f t="shared" si="7"/>
        <v>CPOS12707</v>
      </c>
      <c r="D142" s="95" t="s">
        <v>206</v>
      </c>
      <c r="E142" s="63" t="s">
        <v>58</v>
      </c>
      <c r="F142" s="64">
        <v>17331.75</v>
      </c>
    </row>
    <row r="143" spans="1:6" x14ac:dyDescent="0.25">
      <c r="D143" s="94" t="s">
        <v>207</v>
      </c>
    </row>
    <row r="144" spans="1:6" x14ac:dyDescent="0.25">
      <c r="D144" s="94" t="s">
        <v>208</v>
      </c>
    </row>
    <row r="145" spans="1:6" x14ac:dyDescent="0.25">
      <c r="A145" s="62" t="s">
        <v>4398</v>
      </c>
      <c r="B145" s="96">
        <v>20102</v>
      </c>
      <c r="C145" s="96" t="str">
        <f t="shared" ref="C145:C148" si="8">A145&amp;B145</f>
        <v>CPOS20102</v>
      </c>
      <c r="D145" s="95" t="s">
        <v>209</v>
      </c>
      <c r="E145" s="63" t="s">
        <v>81</v>
      </c>
      <c r="F145" s="64">
        <v>244.84</v>
      </c>
    </row>
    <row r="146" spans="1:6" x14ac:dyDescent="0.25">
      <c r="A146" s="62" t="s">
        <v>4398</v>
      </c>
      <c r="B146" s="96">
        <v>20117</v>
      </c>
      <c r="C146" s="96" t="str">
        <f t="shared" si="8"/>
        <v>CPOS20117</v>
      </c>
      <c r="D146" s="95" t="s">
        <v>210</v>
      </c>
      <c r="E146" s="63" t="s">
        <v>81</v>
      </c>
      <c r="F146" s="64">
        <v>492.14</v>
      </c>
    </row>
    <row r="147" spans="1:6" ht="30" x14ac:dyDescent="0.25">
      <c r="A147" s="62" t="s">
        <v>4398</v>
      </c>
      <c r="B147" s="96">
        <v>20118</v>
      </c>
      <c r="C147" s="96" t="str">
        <f t="shared" si="8"/>
        <v>CPOS20118</v>
      </c>
      <c r="D147" s="95" t="s">
        <v>211</v>
      </c>
      <c r="E147" s="63" t="s">
        <v>212</v>
      </c>
      <c r="F147" s="64">
        <v>458.33</v>
      </c>
    </row>
    <row r="148" spans="1:6" x14ac:dyDescent="0.25">
      <c r="A148" s="62" t="s">
        <v>4398</v>
      </c>
      <c r="B148" s="96">
        <v>20120</v>
      </c>
      <c r="C148" s="96" t="str">
        <f t="shared" si="8"/>
        <v>CPOS20120</v>
      </c>
      <c r="D148" s="95" t="s">
        <v>213</v>
      </c>
      <c r="E148" s="63" t="s">
        <v>81</v>
      </c>
      <c r="F148" s="64">
        <v>11.540000000000001</v>
      </c>
    </row>
    <row r="149" spans="1:6" x14ac:dyDescent="0.25">
      <c r="D149" s="94" t="s">
        <v>214</v>
      </c>
    </row>
    <row r="150" spans="1:6" x14ac:dyDescent="0.25">
      <c r="A150" s="62" t="s">
        <v>4398</v>
      </c>
      <c r="B150" s="96">
        <v>20202</v>
      </c>
      <c r="C150" s="96" t="str">
        <f t="shared" ref="C150:C154" si="9">A150&amp;B150</f>
        <v>CPOS20202</v>
      </c>
      <c r="D150" s="95" t="s">
        <v>215</v>
      </c>
      <c r="E150" s="63" t="s">
        <v>212</v>
      </c>
      <c r="F150" s="64">
        <v>237.42000000000002</v>
      </c>
    </row>
    <row r="151" spans="1:6" x14ac:dyDescent="0.25">
      <c r="A151" s="62" t="s">
        <v>4398</v>
      </c>
      <c r="B151" s="96">
        <v>20204</v>
      </c>
      <c r="C151" s="96" t="str">
        <f t="shared" si="9"/>
        <v>CPOS20204</v>
      </c>
      <c r="D151" s="95" t="s">
        <v>216</v>
      </c>
      <c r="E151" s="63" t="s">
        <v>212</v>
      </c>
      <c r="F151" s="64">
        <v>390.6</v>
      </c>
    </row>
    <row r="152" spans="1:6" x14ac:dyDescent="0.25">
      <c r="A152" s="62" t="s">
        <v>4398</v>
      </c>
      <c r="B152" s="96">
        <v>20206</v>
      </c>
      <c r="C152" s="96" t="str">
        <f t="shared" si="9"/>
        <v>CPOS20206</v>
      </c>
      <c r="D152" s="95" t="s">
        <v>217</v>
      </c>
      <c r="E152" s="63" t="s">
        <v>212</v>
      </c>
      <c r="F152" s="64">
        <v>227.27</v>
      </c>
    </row>
    <row r="153" spans="1:6" x14ac:dyDescent="0.25">
      <c r="A153" s="62" t="s">
        <v>4398</v>
      </c>
      <c r="B153" s="96">
        <v>20208</v>
      </c>
      <c r="C153" s="96" t="str">
        <f t="shared" si="9"/>
        <v>CPOS20208</v>
      </c>
      <c r="D153" s="95" t="s">
        <v>218</v>
      </c>
      <c r="E153" s="63" t="s">
        <v>212</v>
      </c>
      <c r="F153" s="64">
        <v>299.77</v>
      </c>
    </row>
    <row r="154" spans="1:6" x14ac:dyDescent="0.25">
      <c r="A154" s="62" t="s">
        <v>4398</v>
      </c>
      <c r="B154" s="96">
        <v>20210</v>
      </c>
      <c r="C154" s="96" t="str">
        <f t="shared" si="9"/>
        <v>CPOS20210</v>
      </c>
      <c r="D154" s="95" t="s">
        <v>219</v>
      </c>
      <c r="E154" s="63" t="s">
        <v>212</v>
      </c>
      <c r="F154" s="64">
        <v>186.54</v>
      </c>
    </row>
    <row r="155" spans="1:6" x14ac:dyDescent="0.25">
      <c r="D155" s="94" t="s">
        <v>220</v>
      </c>
    </row>
    <row r="156" spans="1:6" x14ac:dyDescent="0.25">
      <c r="A156" s="62" t="s">
        <v>4398</v>
      </c>
      <c r="B156" s="96">
        <v>20303</v>
      </c>
      <c r="C156" s="96" t="str">
        <f t="shared" ref="C156:C167" si="10">A156&amp;B156</f>
        <v>CPOS20303</v>
      </c>
      <c r="D156" s="95" t="s">
        <v>221</v>
      </c>
      <c r="E156" s="63" t="s">
        <v>81</v>
      </c>
      <c r="F156" s="64">
        <v>1.53</v>
      </c>
    </row>
    <row r="157" spans="1:6" x14ac:dyDescent="0.25">
      <c r="A157" s="62" t="s">
        <v>4398</v>
      </c>
      <c r="B157" s="96">
        <v>20306</v>
      </c>
      <c r="C157" s="96" t="str">
        <f t="shared" si="10"/>
        <v>CPOS20306</v>
      </c>
      <c r="D157" s="95" t="s">
        <v>222</v>
      </c>
      <c r="E157" s="63" t="s">
        <v>81</v>
      </c>
      <c r="F157" s="64">
        <v>13.67</v>
      </c>
    </row>
    <row r="158" spans="1:6" x14ac:dyDescent="0.25">
      <c r="A158" s="62" t="s">
        <v>4398</v>
      </c>
      <c r="B158" s="96">
        <v>20308</v>
      </c>
      <c r="C158" s="96" t="str">
        <f t="shared" si="10"/>
        <v>CPOS20308</v>
      </c>
      <c r="D158" s="95" t="s">
        <v>223</v>
      </c>
      <c r="E158" s="63" t="s">
        <v>81</v>
      </c>
      <c r="F158" s="64">
        <v>23.16</v>
      </c>
    </row>
    <row r="159" spans="1:6" x14ac:dyDescent="0.25">
      <c r="A159" s="62" t="s">
        <v>4398</v>
      </c>
      <c r="B159" s="96">
        <v>20309</v>
      </c>
      <c r="C159" s="96" t="str">
        <f t="shared" si="10"/>
        <v>CPOS20309</v>
      </c>
      <c r="D159" s="95" t="s">
        <v>224</v>
      </c>
      <c r="E159" s="63" t="s">
        <v>81</v>
      </c>
      <c r="F159" s="64">
        <v>31.82</v>
      </c>
    </row>
    <row r="160" spans="1:6" x14ac:dyDescent="0.25">
      <c r="A160" s="62" t="s">
        <v>4398</v>
      </c>
      <c r="B160" s="96">
        <v>20311</v>
      </c>
      <c r="C160" s="96" t="str">
        <f t="shared" si="10"/>
        <v>CPOS20311</v>
      </c>
      <c r="D160" s="95" t="s">
        <v>225</v>
      </c>
      <c r="E160" s="63" t="s">
        <v>81</v>
      </c>
      <c r="F160" s="64">
        <v>50.04</v>
      </c>
    </row>
    <row r="161" spans="1:6" x14ac:dyDescent="0.25">
      <c r="A161" s="62" t="s">
        <v>4398</v>
      </c>
      <c r="B161" s="96">
        <v>20312</v>
      </c>
      <c r="C161" s="96" t="str">
        <f t="shared" si="10"/>
        <v>CPOS20312</v>
      </c>
      <c r="D161" s="95" t="s">
        <v>226</v>
      </c>
      <c r="E161" s="63" t="s">
        <v>81</v>
      </c>
      <c r="F161" s="64">
        <v>49.68</v>
      </c>
    </row>
    <row r="162" spans="1:6" ht="30" x14ac:dyDescent="0.25">
      <c r="A162" s="62" t="s">
        <v>4398</v>
      </c>
      <c r="B162" s="96">
        <v>20320</v>
      </c>
      <c r="C162" s="96" t="str">
        <f t="shared" si="10"/>
        <v>CPOS20320</v>
      </c>
      <c r="D162" s="95" t="s">
        <v>227</v>
      </c>
      <c r="E162" s="63" t="s">
        <v>228</v>
      </c>
      <c r="F162" s="64">
        <v>18.559999999999999</v>
      </c>
    </row>
    <row r="163" spans="1:6" x14ac:dyDescent="0.25">
      <c r="A163" s="62" t="s">
        <v>4398</v>
      </c>
      <c r="B163" s="96">
        <v>20324</v>
      </c>
      <c r="C163" s="96" t="str">
        <f t="shared" si="10"/>
        <v>CPOS20324</v>
      </c>
      <c r="D163" s="95" t="s">
        <v>229</v>
      </c>
      <c r="E163" s="63" t="s">
        <v>81</v>
      </c>
      <c r="F163" s="64">
        <v>8.51</v>
      </c>
    </row>
    <row r="164" spans="1:6" x14ac:dyDescent="0.25">
      <c r="A164" s="62" t="s">
        <v>4398</v>
      </c>
      <c r="B164" s="96">
        <v>20325</v>
      </c>
      <c r="C164" s="96" t="str">
        <f t="shared" si="10"/>
        <v>CPOS20325</v>
      </c>
      <c r="D164" s="95" t="s">
        <v>230</v>
      </c>
      <c r="E164" s="63" t="s">
        <v>81</v>
      </c>
      <c r="F164" s="64">
        <v>49.46</v>
      </c>
    </row>
    <row r="165" spans="1:6" x14ac:dyDescent="0.25">
      <c r="A165" s="62" t="s">
        <v>4398</v>
      </c>
      <c r="B165" s="96">
        <v>20326</v>
      </c>
      <c r="C165" s="96" t="str">
        <f t="shared" si="10"/>
        <v>CPOS20326</v>
      </c>
      <c r="D165" s="95" t="s">
        <v>231</v>
      </c>
      <c r="E165" s="63" t="s">
        <v>81</v>
      </c>
      <c r="F165" s="64">
        <v>51.730000000000004</v>
      </c>
    </row>
    <row r="166" spans="1:6" x14ac:dyDescent="0.25">
      <c r="A166" s="62" t="s">
        <v>4398</v>
      </c>
      <c r="B166" s="96">
        <v>20327</v>
      </c>
      <c r="C166" s="96" t="str">
        <f t="shared" si="10"/>
        <v>CPOS20327</v>
      </c>
      <c r="D166" s="95" t="s">
        <v>232</v>
      </c>
      <c r="E166" s="63" t="s">
        <v>81</v>
      </c>
      <c r="F166" s="64">
        <v>54.300000000000004</v>
      </c>
    </row>
    <row r="167" spans="1:6" ht="30" x14ac:dyDescent="0.25">
      <c r="A167" s="62" t="s">
        <v>4398</v>
      </c>
      <c r="B167" s="96">
        <v>20350</v>
      </c>
      <c r="C167" s="96" t="str">
        <f t="shared" si="10"/>
        <v>CPOS20350</v>
      </c>
      <c r="D167" s="95" t="s">
        <v>233</v>
      </c>
      <c r="E167" s="63" t="s">
        <v>119</v>
      </c>
      <c r="F167" s="64">
        <v>47.47</v>
      </c>
    </row>
    <row r="168" spans="1:6" x14ac:dyDescent="0.25">
      <c r="D168" s="94" t="s">
        <v>234</v>
      </c>
    </row>
    <row r="169" spans="1:6" x14ac:dyDescent="0.25">
      <c r="A169" s="62" t="s">
        <v>4398</v>
      </c>
      <c r="B169" s="96">
        <v>20506</v>
      </c>
      <c r="C169" s="96" t="str">
        <f t="shared" ref="C169:C175" si="11">A169&amp;B169</f>
        <v>CPOS20506</v>
      </c>
      <c r="D169" s="95" t="s">
        <v>235</v>
      </c>
      <c r="E169" s="63" t="s">
        <v>110</v>
      </c>
      <c r="F169" s="64">
        <v>6.92</v>
      </c>
    </row>
    <row r="170" spans="1:6" x14ac:dyDescent="0.25">
      <c r="A170" s="62" t="s">
        <v>4398</v>
      </c>
      <c r="B170" s="96">
        <v>20508</v>
      </c>
      <c r="C170" s="96" t="str">
        <f t="shared" si="11"/>
        <v>CPOS20508</v>
      </c>
      <c r="D170" s="95" t="s">
        <v>236</v>
      </c>
      <c r="E170" s="63" t="s">
        <v>110</v>
      </c>
      <c r="F170" s="64">
        <v>17.48</v>
      </c>
    </row>
    <row r="171" spans="1:6" x14ac:dyDescent="0.25">
      <c r="A171" s="62" t="s">
        <v>4398</v>
      </c>
      <c r="B171" s="96">
        <v>20509</v>
      </c>
      <c r="C171" s="96" t="str">
        <f t="shared" si="11"/>
        <v>CPOS20509</v>
      </c>
      <c r="D171" s="95" t="s">
        <v>237</v>
      </c>
      <c r="E171" s="63" t="s">
        <v>81</v>
      </c>
      <c r="F171" s="64">
        <v>6.92</v>
      </c>
    </row>
    <row r="172" spans="1:6" ht="30" x14ac:dyDescent="0.25">
      <c r="A172" s="62" t="s">
        <v>4398</v>
      </c>
      <c r="B172" s="96">
        <v>20510</v>
      </c>
      <c r="C172" s="96" t="str">
        <f t="shared" si="11"/>
        <v>CPOS20510</v>
      </c>
      <c r="D172" s="95" t="s">
        <v>238</v>
      </c>
      <c r="E172" s="63" t="s">
        <v>81</v>
      </c>
      <c r="F172" s="64">
        <v>17.48</v>
      </c>
    </row>
    <row r="173" spans="1:6" x14ac:dyDescent="0.25">
      <c r="A173" s="62" t="s">
        <v>4398</v>
      </c>
      <c r="B173" s="96">
        <v>20519</v>
      </c>
      <c r="C173" s="96" t="str">
        <f t="shared" si="11"/>
        <v>CPOS20519</v>
      </c>
      <c r="D173" s="95" t="s">
        <v>239</v>
      </c>
      <c r="E173" s="63" t="s">
        <v>240</v>
      </c>
      <c r="F173" s="64">
        <v>27.44</v>
      </c>
    </row>
    <row r="174" spans="1:6" x14ac:dyDescent="0.25">
      <c r="A174" s="62" t="s">
        <v>4398</v>
      </c>
      <c r="B174" s="96">
        <v>20520</v>
      </c>
      <c r="C174" s="96" t="str">
        <f t="shared" si="11"/>
        <v>CPOS20520</v>
      </c>
      <c r="D174" s="95" t="s">
        <v>241</v>
      </c>
      <c r="E174" s="63" t="s">
        <v>240</v>
      </c>
      <c r="F174" s="64">
        <v>40.770000000000003</v>
      </c>
    </row>
    <row r="175" spans="1:6" x14ac:dyDescent="0.25">
      <c r="A175" s="62" t="s">
        <v>4398</v>
      </c>
      <c r="B175" s="96">
        <v>20521</v>
      </c>
      <c r="C175" s="96" t="str">
        <f t="shared" si="11"/>
        <v>CPOS20521</v>
      </c>
      <c r="D175" s="95" t="s">
        <v>242</v>
      </c>
      <c r="E175" s="63" t="s">
        <v>228</v>
      </c>
      <c r="F175" s="64">
        <v>12.25</v>
      </c>
    </row>
    <row r="176" spans="1:6" x14ac:dyDescent="0.25">
      <c r="D176" s="94" t="s">
        <v>243</v>
      </c>
    </row>
    <row r="177" spans="1:6" ht="30" x14ac:dyDescent="0.25">
      <c r="A177" s="62" t="s">
        <v>4398</v>
      </c>
      <c r="B177" s="96">
        <v>20603</v>
      </c>
      <c r="C177" s="96" t="str">
        <f t="shared" ref="C177:C178" si="12">A177&amp;B177</f>
        <v>CPOS20603</v>
      </c>
      <c r="D177" s="95" t="s">
        <v>244</v>
      </c>
      <c r="E177" s="63" t="s">
        <v>212</v>
      </c>
      <c r="F177" s="64">
        <v>8080.88</v>
      </c>
    </row>
    <row r="178" spans="1:6" ht="30" x14ac:dyDescent="0.25">
      <c r="A178" s="62" t="s">
        <v>4398</v>
      </c>
      <c r="B178" s="96">
        <v>20604</v>
      </c>
      <c r="C178" s="96" t="str">
        <f t="shared" si="12"/>
        <v>CPOS20604</v>
      </c>
      <c r="D178" s="95" t="s">
        <v>245</v>
      </c>
      <c r="E178" s="63" t="s">
        <v>212</v>
      </c>
      <c r="F178" s="64">
        <v>14540.4</v>
      </c>
    </row>
    <row r="179" spans="1:6" x14ac:dyDescent="0.25">
      <c r="D179" s="94" t="s">
        <v>246</v>
      </c>
    </row>
    <row r="180" spans="1:6" x14ac:dyDescent="0.25">
      <c r="A180" s="62" t="s">
        <v>4398</v>
      </c>
      <c r="B180" s="96">
        <v>20802</v>
      </c>
      <c r="C180" s="96" t="str">
        <f t="shared" ref="C180:C183" si="13">A180&amp;B180</f>
        <v>CPOS20802</v>
      </c>
      <c r="D180" s="95" t="s">
        <v>247</v>
      </c>
      <c r="E180" s="63" t="s">
        <v>81</v>
      </c>
      <c r="F180" s="64">
        <v>364.99</v>
      </c>
    </row>
    <row r="181" spans="1:6" ht="30" x14ac:dyDescent="0.25">
      <c r="A181" s="62" t="s">
        <v>4398</v>
      </c>
      <c r="B181" s="96">
        <v>20803</v>
      </c>
      <c r="C181" s="96" t="str">
        <f t="shared" si="13"/>
        <v>CPOS20803</v>
      </c>
      <c r="D181" s="95" t="s">
        <v>248</v>
      </c>
      <c r="E181" s="63" t="s">
        <v>228</v>
      </c>
      <c r="F181" s="64">
        <v>7.84</v>
      </c>
    </row>
    <row r="182" spans="1:6" x14ac:dyDescent="0.25">
      <c r="A182" s="62" t="s">
        <v>4398</v>
      </c>
      <c r="B182" s="96">
        <v>20804</v>
      </c>
      <c r="C182" s="96" t="str">
        <f t="shared" si="13"/>
        <v>CPOS20804</v>
      </c>
      <c r="D182" s="95" t="s">
        <v>249</v>
      </c>
      <c r="E182" s="63" t="s">
        <v>81</v>
      </c>
      <c r="F182" s="64">
        <v>158.66999999999999</v>
      </c>
    </row>
    <row r="183" spans="1:6" x14ac:dyDescent="0.25">
      <c r="A183" s="62" t="s">
        <v>4398</v>
      </c>
      <c r="B183" s="96">
        <v>20805</v>
      </c>
      <c r="C183" s="96" t="str">
        <f t="shared" si="13"/>
        <v>CPOS20805</v>
      </c>
      <c r="D183" s="95" t="s">
        <v>250</v>
      </c>
      <c r="E183" s="63" t="s">
        <v>81</v>
      </c>
      <c r="F183" s="64">
        <v>97.09</v>
      </c>
    </row>
    <row r="184" spans="1:6" x14ac:dyDescent="0.25">
      <c r="D184" s="94" t="s">
        <v>251</v>
      </c>
    </row>
    <row r="185" spans="1:6" ht="41.25" customHeight="1" x14ac:dyDescent="0.25">
      <c r="A185" s="62" t="s">
        <v>4398</v>
      </c>
      <c r="B185" s="96">
        <v>20903</v>
      </c>
      <c r="C185" s="96" t="str">
        <f t="shared" ref="C185:C189" si="14">A185&amp;B185</f>
        <v>CPOS20903</v>
      </c>
      <c r="D185" s="95" t="s">
        <v>252</v>
      </c>
      <c r="E185" s="63" t="s">
        <v>81</v>
      </c>
      <c r="F185" s="64">
        <v>3.93</v>
      </c>
    </row>
    <row r="186" spans="1:6" ht="51" customHeight="1" x14ac:dyDescent="0.25">
      <c r="A186" s="62" t="s">
        <v>4398</v>
      </c>
      <c r="B186" s="96">
        <v>20904</v>
      </c>
      <c r="C186" s="96" t="str">
        <f t="shared" si="14"/>
        <v>CPOS20904</v>
      </c>
      <c r="D186" s="95" t="s">
        <v>253</v>
      </c>
      <c r="E186" s="63" t="s">
        <v>81</v>
      </c>
      <c r="F186" s="64">
        <v>2.2200000000000002</v>
      </c>
    </row>
    <row r="187" spans="1:6" ht="30" x14ac:dyDescent="0.25">
      <c r="A187" s="62" t="s">
        <v>4398</v>
      </c>
      <c r="B187" s="96">
        <v>20913</v>
      </c>
      <c r="C187" s="96" t="str">
        <f t="shared" si="14"/>
        <v>CPOS20913</v>
      </c>
      <c r="D187" s="95" t="s">
        <v>254</v>
      </c>
      <c r="E187" s="63" t="s">
        <v>81</v>
      </c>
      <c r="F187" s="64">
        <v>2.44</v>
      </c>
    </row>
    <row r="188" spans="1:6" x14ac:dyDescent="0.25">
      <c r="A188" s="62" t="s">
        <v>4398</v>
      </c>
      <c r="B188" s="96">
        <v>20915</v>
      </c>
      <c r="C188" s="96" t="str">
        <f t="shared" si="14"/>
        <v>CPOS20915</v>
      </c>
      <c r="D188" s="95" t="s">
        <v>255</v>
      </c>
      <c r="E188" s="63" t="s">
        <v>119</v>
      </c>
      <c r="F188" s="64">
        <v>36.28</v>
      </c>
    </row>
    <row r="189" spans="1:6" x14ac:dyDescent="0.25">
      <c r="A189" s="62" t="s">
        <v>4398</v>
      </c>
      <c r="B189" s="96">
        <v>20916</v>
      </c>
      <c r="C189" s="96" t="str">
        <f t="shared" si="14"/>
        <v>CPOS20916</v>
      </c>
      <c r="D189" s="95" t="s">
        <v>256</v>
      </c>
      <c r="E189" s="63" t="s">
        <v>119</v>
      </c>
      <c r="F189" s="64">
        <v>42.730000000000004</v>
      </c>
    </row>
    <row r="190" spans="1:6" x14ac:dyDescent="0.25">
      <c r="D190" s="94" t="s">
        <v>257</v>
      </c>
    </row>
    <row r="191" spans="1:6" x14ac:dyDescent="0.25">
      <c r="A191" s="62" t="s">
        <v>4398</v>
      </c>
      <c r="B191" s="96">
        <v>21002</v>
      </c>
      <c r="C191" s="96" t="str">
        <f t="shared" ref="C191:C194" si="15">A191&amp;B191</f>
        <v>CPOS21002</v>
      </c>
      <c r="D191" s="95" t="s">
        <v>258</v>
      </c>
      <c r="E191" s="63" t="s">
        <v>81</v>
      </c>
      <c r="F191" s="64">
        <v>7.59</v>
      </c>
    </row>
    <row r="192" spans="1:6" x14ac:dyDescent="0.25">
      <c r="A192" s="62" t="s">
        <v>4398</v>
      </c>
      <c r="B192" s="96">
        <v>21004</v>
      </c>
      <c r="C192" s="96" t="str">
        <f t="shared" si="15"/>
        <v>CPOS21004</v>
      </c>
      <c r="D192" s="95" t="s">
        <v>259</v>
      </c>
      <c r="E192" s="63" t="s">
        <v>110</v>
      </c>
      <c r="F192" s="64">
        <v>0.79</v>
      </c>
    </row>
    <row r="193" spans="1:6" x14ac:dyDescent="0.25">
      <c r="A193" s="62" t="s">
        <v>4398</v>
      </c>
      <c r="B193" s="96">
        <v>21005</v>
      </c>
      <c r="C193" s="96" t="str">
        <f t="shared" si="15"/>
        <v>CPOS21005</v>
      </c>
      <c r="D193" s="95" t="s">
        <v>260</v>
      </c>
      <c r="E193" s="63" t="s">
        <v>110</v>
      </c>
      <c r="F193" s="64">
        <v>0.79</v>
      </c>
    </row>
    <row r="194" spans="1:6" x14ac:dyDescent="0.25">
      <c r="A194" s="62" t="s">
        <v>4398</v>
      </c>
      <c r="B194" s="96">
        <v>21006</v>
      </c>
      <c r="C194" s="96" t="str">
        <f t="shared" si="15"/>
        <v>CPOS21006</v>
      </c>
      <c r="D194" s="95" t="s">
        <v>261</v>
      </c>
      <c r="E194" s="63" t="s">
        <v>81</v>
      </c>
      <c r="F194" s="64">
        <v>0.92</v>
      </c>
    </row>
    <row r="195" spans="1:6" x14ac:dyDescent="0.25">
      <c r="D195" s="94" t="s">
        <v>262</v>
      </c>
    </row>
    <row r="196" spans="1:6" x14ac:dyDescent="0.25">
      <c r="D196" s="94" t="s">
        <v>263</v>
      </c>
    </row>
    <row r="197" spans="1:6" x14ac:dyDescent="0.25">
      <c r="A197" s="62" t="s">
        <v>4398</v>
      </c>
      <c r="B197" s="96">
        <v>30102</v>
      </c>
      <c r="C197" s="96" t="str">
        <f t="shared" ref="C197:C207" si="16">A197&amp;B197</f>
        <v>CPOS30102</v>
      </c>
      <c r="D197" s="95" t="s">
        <v>264</v>
      </c>
      <c r="E197" s="63" t="s">
        <v>119</v>
      </c>
      <c r="F197" s="64">
        <v>124.74000000000001</v>
      </c>
    </row>
    <row r="198" spans="1:6" x14ac:dyDescent="0.25">
      <c r="A198" s="62" t="s">
        <v>4398</v>
      </c>
      <c r="B198" s="96">
        <v>30104</v>
      </c>
      <c r="C198" s="96" t="str">
        <f t="shared" si="16"/>
        <v>CPOS30104</v>
      </c>
      <c r="D198" s="95" t="s">
        <v>265</v>
      </c>
      <c r="E198" s="63" t="s">
        <v>119</v>
      </c>
      <c r="F198" s="64">
        <v>226.8</v>
      </c>
    </row>
    <row r="199" spans="1:6" x14ac:dyDescent="0.25">
      <c r="A199" s="62" t="s">
        <v>4398</v>
      </c>
      <c r="B199" s="96">
        <v>30106</v>
      </c>
      <c r="C199" s="96" t="str">
        <f t="shared" si="16"/>
        <v>CPOS30106</v>
      </c>
      <c r="D199" s="95" t="s">
        <v>266</v>
      </c>
      <c r="E199" s="63" t="s">
        <v>81</v>
      </c>
      <c r="F199" s="64">
        <v>17.010000000000002</v>
      </c>
    </row>
    <row r="200" spans="1:6" ht="30" x14ac:dyDescent="0.25">
      <c r="A200" s="62" t="s">
        <v>4398</v>
      </c>
      <c r="B200" s="96">
        <v>30120</v>
      </c>
      <c r="C200" s="96" t="str">
        <f t="shared" si="16"/>
        <v>CPOS30120</v>
      </c>
      <c r="D200" s="95" t="s">
        <v>267</v>
      </c>
      <c r="E200" s="63" t="s">
        <v>119</v>
      </c>
      <c r="F200" s="64">
        <v>271.86</v>
      </c>
    </row>
    <row r="201" spans="1:6" ht="30" x14ac:dyDescent="0.25">
      <c r="A201" s="62" t="s">
        <v>4398</v>
      </c>
      <c r="B201" s="96">
        <v>30121</v>
      </c>
      <c r="C201" s="96" t="str">
        <f t="shared" si="16"/>
        <v>CPOS30121</v>
      </c>
      <c r="D201" s="95" t="s">
        <v>268</v>
      </c>
      <c r="E201" s="63" t="s">
        <v>119</v>
      </c>
      <c r="F201" s="64">
        <v>262.82</v>
      </c>
    </row>
    <row r="202" spans="1:6" ht="30" x14ac:dyDescent="0.25">
      <c r="A202" s="62" t="s">
        <v>4398</v>
      </c>
      <c r="B202" s="96">
        <v>30122</v>
      </c>
      <c r="C202" s="96" t="str">
        <f t="shared" si="16"/>
        <v>CPOS30122</v>
      </c>
      <c r="D202" s="95" t="s">
        <v>269</v>
      </c>
      <c r="E202" s="63" t="s">
        <v>119</v>
      </c>
      <c r="F202" s="64">
        <v>151.79</v>
      </c>
    </row>
    <row r="203" spans="1:6" ht="30" x14ac:dyDescent="0.25">
      <c r="A203" s="62" t="s">
        <v>4398</v>
      </c>
      <c r="B203" s="96">
        <v>30123</v>
      </c>
      <c r="C203" s="96" t="str">
        <f t="shared" si="16"/>
        <v>CPOS30123</v>
      </c>
      <c r="D203" s="95" t="s">
        <v>270</v>
      </c>
      <c r="E203" s="63" t="s">
        <v>119</v>
      </c>
      <c r="F203" s="64">
        <v>142.75</v>
      </c>
    </row>
    <row r="204" spans="1:6" ht="30" x14ac:dyDescent="0.25">
      <c r="A204" s="62" t="s">
        <v>4398</v>
      </c>
      <c r="B204" s="96">
        <v>30124</v>
      </c>
      <c r="C204" s="96" t="str">
        <f t="shared" si="16"/>
        <v>CPOS30124</v>
      </c>
      <c r="D204" s="95" t="s">
        <v>271</v>
      </c>
      <c r="E204" s="63" t="s">
        <v>81</v>
      </c>
      <c r="F204" s="64">
        <v>15.02</v>
      </c>
    </row>
    <row r="205" spans="1:6" ht="30" x14ac:dyDescent="0.25">
      <c r="A205" s="62" t="s">
        <v>4398</v>
      </c>
      <c r="B205" s="96">
        <v>30125</v>
      </c>
      <c r="C205" s="96" t="str">
        <f t="shared" si="16"/>
        <v>CPOS30125</v>
      </c>
      <c r="D205" s="95" t="s">
        <v>272</v>
      </c>
      <c r="E205" s="63" t="s">
        <v>81</v>
      </c>
      <c r="F205" s="64">
        <v>14.280000000000001</v>
      </c>
    </row>
    <row r="206" spans="1:6" ht="30" x14ac:dyDescent="0.25">
      <c r="A206" s="62" t="s">
        <v>4398</v>
      </c>
      <c r="B206" s="96">
        <v>30126</v>
      </c>
      <c r="C206" s="96" t="str">
        <f t="shared" si="16"/>
        <v>CPOS30126</v>
      </c>
      <c r="D206" s="95" t="s">
        <v>273</v>
      </c>
      <c r="E206" s="63" t="s">
        <v>119</v>
      </c>
      <c r="F206" s="64">
        <v>150.13</v>
      </c>
    </row>
    <row r="207" spans="1:6" ht="30" x14ac:dyDescent="0.25">
      <c r="A207" s="62" t="s">
        <v>4398</v>
      </c>
      <c r="B207" s="96">
        <v>30127</v>
      </c>
      <c r="C207" s="96" t="str">
        <f t="shared" si="16"/>
        <v>CPOS30127</v>
      </c>
      <c r="D207" s="95" t="s">
        <v>274</v>
      </c>
      <c r="E207" s="63" t="s">
        <v>119</v>
      </c>
      <c r="F207" s="64">
        <v>142.75</v>
      </c>
    </row>
    <row r="208" spans="1:6" x14ac:dyDescent="0.25">
      <c r="D208" s="94" t="s">
        <v>275</v>
      </c>
    </row>
    <row r="209" spans="1:6" x14ac:dyDescent="0.25">
      <c r="A209" s="62" t="s">
        <v>4398</v>
      </c>
      <c r="B209" s="96">
        <v>30202</v>
      </c>
      <c r="C209" s="96" t="str">
        <f t="shared" ref="C209:C210" si="17">A209&amp;B209</f>
        <v>CPOS30202</v>
      </c>
      <c r="D209" s="95" t="s">
        <v>276</v>
      </c>
      <c r="E209" s="63" t="s">
        <v>119</v>
      </c>
      <c r="F209" s="64">
        <v>68.040000000000006</v>
      </c>
    </row>
    <row r="210" spans="1:6" ht="30" x14ac:dyDescent="0.25">
      <c r="A210" s="62" t="s">
        <v>4398</v>
      </c>
      <c r="B210" s="96">
        <v>30204</v>
      </c>
      <c r="C210" s="96" t="str">
        <f t="shared" si="17"/>
        <v>CPOS30204</v>
      </c>
      <c r="D210" s="95" t="s">
        <v>277</v>
      </c>
      <c r="E210" s="63" t="s">
        <v>119</v>
      </c>
      <c r="F210" s="64">
        <v>45.36</v>
      </c>
    </row>
    <row r="211" spans="1:6" x14ac:dyDescent="0.25">
      <c r="D211" s="94" t="s">
        <v>278</v>
      </c>
    </row>
    <row r="212" spans="1:6" x14ac:dyDescent="0.25">
      <c r="A212" s="62" t="s">
        <v>4398</v>
      </c>
      <c r="B212" s="96">
        <v>30302</v>
      </c>
      <c r="C212" s="96" t="str">
        <f t="shared" ref="C212:C214" si="18">A212&amp;B212</f>
        <v>CPOS30302</v>
      </c>
      <c r="D212" s="95" t="s">
        <v>279</v>
      </c>
      <c r="E212" s="63" t="s">
        <v>81</v>
      </c>
      <c r="F212" s="64">
        <v>1.7</v>
      </c>
    </row>
    <row r="213" spans="1:6" x14ac:dyDescent="0.25">
      <c r="A213" s="62" t="s">
        <v>4398</v>
      </c>
      <c r="B213" s="96">
        <v>30304</v>
      </c>
      <c r="C213" s="96" t="str">
        <f t="shared" si="18"/>
        <v>CPOS30304</v>
      </c>
      <c r="D213" s="95" t="s">
        <v>280</v>
      </c>
      <c r="E213" s="63" t="s">
        <v>81</v>
      </c>
      <c r="F213" s="64">
        <v>3.4</v>
      </c>
    </row>
    <row r="214" spans="1:6" x14ac:dyDescent="0.25">
      <c r="A214" s="62" t="s">
        <v>4398</v>
      </c>
      <c r="B214" s="96">
        <v>30306</v>
      </c>
      <c r="C214" s="96" t="str">
        <f t="shared" si="18"/>
        <v>CPOS30306</v>
      </c>
      <c r="D214" s="95" t="s">
        <v>281</v>
      </c>
      <c r="E214" s="63" t="s">
        <v>81</v>
      </c>
      <c r="F214" s="64">
        <v>5.67</v>
      </c>
    </row>
    <row r="215" spans="1:6" x14ac:dyDescent="0.25">
      <c r="D215" s="94" t="s">
        <v>282</v>
      </c>
    </row>
    <row r="216" spans="1:6" x14ac:dyDescent="0.25">
      <c r="A216" s="62" t="s">
        <v>4398</v>
      </c>
      <c r="B216" s="96">
        <v>30402</v>
      </c>
      <c r="C216" s="96" t="str">
        <f t="shared" ref="C216:C218" si="19">A216&amp;B216</f>
        <v>CPOS30402</v>
      </c>
      <c r="D216" s="95" t="s">
        <v>283</v>
      </c>
      <c r="E216" s="63" t="s">
        <v>81</v>
      </c>
      <c r="F216" s="64">
        <v>6.8</v>
      </c>
    </row>
    <row r="217" spans="1:6" x14ac:dyDescent="0.25">
      <c r="A217" s="62" t="s">
        <v>4398</v>
      </c>
      <c r="B217" s="96">
        <v>30403</v>
      </c>
      <c r="C217" s="96" t="str">
        <f t="shared" si="19"/>
        <v>CPOS30403</v>
      </c>
      <c r="D217" s="95" t="s">
        <v>284</v>
      </c>
      <c r="E217" s="63" t="s">
        <v>81</v>
      </c>
      <c r="F217" s="64">
        <v>5.67</v>
      </c>
    </row>
    <row r="218" spans="1:6" ht="30" x14ac:dyDescent="0.25">
      <c r="A218" s="62" t="s">
        <v>4398</v>
      </c>
      <c r="B218" s="96">
        <v>30404</v>
      </c>
      <c r="C218" s="96" t="str">
        <f t="shared" si="19"/>
        <v>CPOS30404</v>
      </c>
      <c r="D218" s="95" t="s">
        <v>285</v>
      </c>
      <c r="E218" s="63" t="s">
        <v>110</v>
      </c>
      <c r="F218" s="64">
        <v>1.7</v>
      </c>
    </row>
    <row r="219" spans="1:6" x14ac:dyDescent="0.25">
      <c r="D219" s="94" t="s">
        <v>286</v>
      </c>
    </row>
    <row r="220" spans="1:6" x14ac:dyDescent="0.25">
      <c r="A220" s="62" t="s">
        <v>4398</v>
      </c>
      <c r="B220" s="96">
        <v>30502</v>
      </c>
      <c r="C220" s="96" t="str">
        <f>A220&amp;B220</f>
        <v>CPOS30502</v>
      </c>
      <c r="D220" s="95" t="s">
        <v>287</v>
      </c>
      <c r="E220" s="63" t="s">
        <v>81</v>
      </c>
      <c r="F220" s="64">
        <v>4.54</v>
      </c>
    </row>
    <row r="221" spans="1:6" x14ac:dyDescent="0.25">
      <c r="D221" s="94" t="s">
        <v>288</v>
      </c>
    </row>
    <row r="222" spans="1:6" ht="45" x14ac:dyDescent="0.25">
      <c r="A222" s="62" t="s">
        <v>4398</v>
      </c>
      <c r="B222" s="96">
        <v>30605</v>
      </c>
      <c r="C222" s="96" t="str">
        <f t="shared" ref="C222:C223" si="20">A222&amp;B222</f>
        <v>CPOS30605</v>
      </c>
      <c r="D222" s="95" t="s">
        <v>289</v>
      </c>
      <c r="E222" s="63" t="s">
        <v>81</v>
      </c>
      <c r="F222" s="64">
        <v>12.9</v>
      </c>
    </row>
    <row r="223" spans="1:6" ht="30" x14ac:dyDescent="0.25">
      <c r="A223" s="62" t="s">
        <v>4398</v>
      </c>
      <c r="B223" s="96">
        <v>30606</v>
      </c>
      <c r="C223" s="96" t="str">
        <f t="shared" si="20"/>
        <v>CPOS30606</v>
      </c>
      <c r="D223" s="95" t="s">
        <v>290</v>
      </c>
      <c r="E223" s="63" t="s">
        <v>81</v>
      </c>
      <c r="F223" s="64">
        <v>6.44</v>
      </c>
    </row>
    <row r="224" spans="1:6" x14ac:dyDescent="0.25">
      <c r="D224" s="94" t="s">
        <v>291</v>
      </c>
    </row>
    <row r="225" spans="1:6" ht="30" x14ac:dyDescent="0.25">
      <c r="A225" s="62" t="s">
        <v>4398</v>
      </c>
      <c r="B225" s="96">
        <v>30701</v>
      </c>
      <c r="C225" s="96" t="str">
        <f t="shared" ref="C225:C229" si="21">A225&amp;B225</f>
        <v>CPOS30701</v>
      </c>
      <c r="D225" s="95" t="s">
        <v>292</v>
      </c>
      <c r="E225" s="63" t="s">
        <v>81</v>
      </c>
      <c r="F225" s="64">
        <v>13.05</v>
      </c>
    </row>
    <row r="226" spans="1:6" ht="30" x14ac:dyDescent="0.25">
      <c r="A226" s="62" t="s">
        <v>4398</v>
      </c>
      <c r="B226" s="96">
        <v>30703</v>
      </c>
      <c r="C226" s="96" t="str">
        <f t="shared" si="21"/>
        <v>CPOS30703</v>
      </c>
      <c r="D226" s="95" t="s">
        <v>293</v>
      </c>
      <c r="E226" s="63" t="s">
        <v>81</v>
      </c>
      <c r="F226" s="64">
        <v>12.01</v>
      </c>
    </row>
    <row r="227" spans="1:6" ht="30" x14ac:dyDescent="0.25">
      <c r="A227" s="62" t="s">
        <v>4398</v>
      </c>
      <c r="B227" s="96">
        <v>30705</v>
      </c>
      <c r="C227" s="96" t="str">
        <f t="shared" si="21"/>
        <v>CPOS30705</v>
      </c>
      <c r="D227" s="95" t="s">
        <v>294</v>
      </c>
      <c r="E227" s="63" t="s">
        <v>81</v>
      </c>
      <c r="F227" s="64">
        <v>4.9000000000000004</v>
      </c>
    </row>
    <row r="228" spans="1:6" ht="30" x14ac:dyDescent="0.25">
      <c r="A228" s="62" t="s">
        <v>4398</v>
      </c>
      <c r="B228" s="96">
        <v>30707</v>
      </c>
      <c r="C228" s="96" t="str">
        <f t="shared" si="21"/>
        <v>CPOS30707</v>
      </c>
      <c r="D228" s="95" t="s">
        <v>295</v>
      </c>
      <c r="E228" s="63" t="s">
        <v>81</v>
      </c>
      <c r="F228" s="64">
        <v>3.8200000000000003</v>
      </c>
    </row>
    <row r="229" spans="1:6" ht="30" x14ac:dyDescent="0.25">
      <c r="A229" s="62" t="s">
        <v>4398</v>
      </c>
      <c r="B229" s="96">
        <v>30708</v>
      </c>
      <c r="C229" s="96" t="str">
        <f t="shared" si="21"/>
        <v>CPOS30708</v>
      </c>
      <c r="D229" s="95" t="s">
        <v>296</v>
      </c>
      <c r="E229" s="63" t="s">
        <v>81</v>
      </c>
      <c r="F229" s="64">
        <v>6.0600000000000005</v>
      </c>
    </row>
    <row r="230" spans="1:6" x14ac:dyDescent="0.25">
      <c r="D230" s="94" t="s">
        <v>297</v>
      </c>
    </row>
    <row r="231" spans="1:6" x14ac:dyDescent="0.25">
      <c r="A231" s="62" t="s">
        <v>4398</v>
      </c>
      <c r="B231" s="96">
        <v>30802</v>
      </c>
      <c r="C231" s="96" t="str">
        <f t="shared" ref="C231:C233" si="22">A231&amp;B231</f>
        <v>CPOS30802</v>
      </c>
      <c r="D231" s="95" t="s">
        <v>298</v>
      </c>
      <c r="E231" s="63" t="s">
        <v>81</v>
      </c>
      <c r="F231" s="64">
        <v>5.9</v>
      </c>
    </row>
    <row r="232" spans="1:6" x14ac:dyDescent="0.25">
      <c r="A232" s="62" t="s">
        <v>4398</v>
      </c>
      <c r="B232" s="96">
        <v>30804</v>
      </c>
      <c r="C232" s="96" t="str">
        <f t="shared" si="22"/>
        <v>CPOS30804</v>
      </c>
      <c r="D232" s="95" t="s">
        <v>299</v>
      </c>
      <c r="E232" s="63" t="s">
        <v>81</v>
      </c>
      <c r="F232" s="64">
        <v>3.4</v>
      </c>
    </row>
    <row r="233" spans="1:6" x14ac:dyDescent="0.25">
      <c r="A233" s="62" t="s">
        <v>4398</v>
      </c>
      <c r="B233" s="96">
        <v>30806</v>
      </c>
      <c r="C233" s="96" t="str">
        <f t="shared" si="22"/>
        <v>CPOS30806</v>
      </c>
      <c r="D233" s="95" t="s">
        <v>300</v>
      </c>
      <c r="E233" s="63" t="s">
        <v>81</v>
      </c>
      <c r="F233" s="64">
        <v>3.4</v>
      </c>
    </row>
    <row r="234" spans="1:6" x14ac:dyDescent="0.25">
      <c r="D234" s="94" t="s">
        <v>301</v>
      </c>
    </row>
    <row r="235" spans="1:6" x14ac:dyDescent="0.25">
      <c r="A235" s="62" t="s">
        <v>4398</v>
      </c>
      <c r="B235" s="96">
        <v>30902</v>
      </c>
      <c r="C235" s="96" t="str">
        <f t="shared" ref="C235:C237" si="23">A235&amp;B235</f>
        <v>CPOS30902</v>
      </c>
      <c r="D235" s="95" t="s">
        <v>302</v>
      </c>
      <c r="E235" s="63" t="s">
        <v>81</v>
      </c>
      <c r="F235" s="64">
        <v>9.1</v>
      </c>
    </row>
    <row r="236" spans="1:6" x14ac:dyDescent="0.25">
      <c r="A236" s="62" t="s">
        <v>4398</v>
      </c>
      <c r="B236" s="96">
        <v>30904</v>
      </c>
      <c r="C236" s="96" t="str">
        <f t="shared" si="23"/>
        <v>CPOS30904</v>
      </c>
      <c r="D236" s="95" t="s">
        <v>303</v>
      </c>
      <c r="E236" s="63" t="s">
        <v>81</v>
      </c>
      <c r="F236" s="64">
        <v>10.92</v>
      </c>
    </row>
    <row r="237" spans="1:6" x14ac:dyDescent="0.25">
      <c r="A237" s="62" t="s">
        <v>4398</v>
      </c>
      <c r="B237" s="96">
        <v>30906</v>
      </c>
      <c r="C237" s="96" t="str">
        <f t="shared" si="23"/>
        <v>CPOS30906</v>
      </c>
      <c r="D237" s="95" t="s">
        <v>304</v>
      </c>
      <c r="E237" s="63" t="s">
        <v>110</v>
      </c>
      <c r="F237" s="64">
        <v>3.64</v>
      </c>
    </row>
    <row r="238" spans="1:6" x14ac:dyDescent="0.25">
      <c r="D238" s="94" t="s">
        <v>305</v>
      </c>
    </row>
    <row r="239" spans="1:6" x14ac:dyDescent="0.25">
      <c r="A239" s="62" t="s">
        <v>4398</v>
      </c>
      <c r="B239" s="96">
        <v>31002</v>
      </c>
      <c r="C239" s="96" t="str">
        <f t="shared" ref="C239:C245" si="24">A239&amp;B239</f>
        <v>CPOS31002</v>
      </c>
      <c r="D239" s="95" t="s">
        <v>306</v>
      </c>
      <c r="E239" s="63" t="s">
        <v>110</v>
      </c>
      <c r="F239" s="64">
        <v>0.76</v>
      </c>
    </row>
    <row r="240" spans="1:6" x14ac:dyDescent="0.25">
      <c r="A240" s="62" t="s">
        <v>4398</v>
      </c>
      <c r="B240" s="96">
        <v>31004</v>
      </c>
      <c r="C240" s="96" t="str">
        <f t="shared" si="24"/>
        <v>CPOS31004</v>
      </c>
      <c r="D240" s="95" t="s">
        <v>307</v>
      </c>
      <c r="E240" s="63" t="s">
        <v>110</v>
      </c>
      <c r="F240" s="64">
        <v>1.1000000000000001</v>
      </c>
    </row>
    <row r="241" spans="1:6" x14ac:dyDescent="0.25">
      <c r="A241" s="62" t="s">
        <v>4398</v>
      </c>
      <c r="B241" s="96">
        <v>31006</v>
      </c>
      <c r="C241" s="96" t="str">
        <f t="shared" si="24"/>
        <v>CPOS31006</v>
      </c>
      <c r="D241" s="95" t="s">
        <v>308</v>
      </c>
      <c r="E241" s="63" t="s">
        <v>81</v>
      </c>
      <c r="F241" s="64">
        <v>1.67</v>
      </c>
    </row>
    <row r="242" spans="1:6" ht="30" x14ac:dyDescent="0.25">
      <c r="A242" s="62" t="s">
        <v>4398</v>
      </c>
      <c r="B242" s="96">
        <v>31008</v>
      </c>
      <c r="C242" s="96" t="str">
        <f t="shared" si="24"/>
        <v>CPOS31008</v>
      </c>
      <c r="D242" s="95" t="s">
        <v>309</v>
      </c>
      <c r="E242" s="63" t="s">
        <v>81</v>
      </c>
      <c r="F242" s="64">
        <v>7.6400000000000006</v>
      </c>
    </row>
    <row r="243" spans="1:6" x14ac:dyDescent="0.25">
      <c r="A243" s="62" t="s">
        <v>4398</v>
      </c>
      <c r="B243" s="96">
        <v>31010</v>
      </c>
      <c r="C243" s="96" t="str">
        <f t="shared" si="24"/>
        <v>CPOS31010</v>
      </c>
      <c r="D243" s="95" t="s">
        <v>310</v>
      </c>
      <c r="E243" s="63" t="s">
        <v>81</v>
      </c>
      <c r="F243" s="64">
        <v>4.51</v>
      </c>
    </row>
    <row r="244" spans="1:6" x14ac:dyDescent="0.25">
      <c r="A244" s="62" t="s">
        <v>4398</v>
      </c>
      <c r="B244" s="96">
        <v>31012</v>
      </c>
      <c r="C244" s="96" t="str">
        <f t="shared" si="24"/>
        <v>CPOS31012</v>
      </c>
      <c r="D244" s="95" t="s">
        <v>311</v>
      </c>
      <c r="E244" s="63" t="s">
        <v>81</v>
      </c>
      <c r="F244" s="64">
        <v>6.22</v>
      </c>
    </row>
    <row r="245" spans="1:6" x14ac:dyDescent="0.25">
      <c r="A245" s="62" t="s">
        <v>4398</v>
      </c>
      <c r="B245" s="96">
        <v>31014</v>
      </c>
      <c r="C245" s="96" t="str">
        <f t="shared" si="24"/>
        <v>CPOS31014</v>
      </c>
      <c r="D245" s="95" t="s">
        <v>312</v>
      </c>
      <c r="E245" s="63" t="s">
        <v>81</v>
      </c>
      <c r="F245" s="64">
        <v>3.09</v>
      </c>
    </row>
    <row r="246" spans="1:6" x14ac:dyDescent="0.25">
      <c r="D246" s="94" t="s">
        <v>313</v>
      </c>
    </row>
    <row r="247" spans="1:6" x14ac:dyDescent="0.25">
      <c r="D247" s="94" t="s">
        <v>314</v>
      </c>
    </row>
    <row r="248" spans="1:6" x14ac:dyDescent="0.25">
      <c r="A248" s="62" t="s">
        <v>4398</v>
      </c>
      <c r="B248" s="96">
        <v>40102</v>
      </c>
      <c r="C248" s="96" t="str">
        <f t="shared" ref="C248:C253" si="25">A248&amp;B248</f>
        <v>CPOS40102</v>
      </c>
      <c r="D248" s="95" t="s">
        <v>315</v>
      </c>
      <c r="E248" s="63" t="s">
        <v>81</v>
      </c>
      <c r="F248" s="64">
        <v>20.07</v>
      </c>
    </row>
    <row r="249" spans="1:6" ht="30" x14ac:dyDescent="0.25">
      <c r="A249" s="62" t="s">
        <v>4398</v>
      </c>
      <c r="B249" s="96">
        <v>40104</v>
      </c>
      <c r="C249" s="96" t="str">
        <f t="shared" si="25"/>
        <v>CPOS40104</v>
      </c>
      <c r="D249" s="95" t="s">
        <v>316</v>
      </c>
      <c r="E249" s="63" t="s">
        <v>81</v>
      </c>
      <c r="F249" s="64">
        <v>17.39</v>
      </c>
    </row>
    <row r="250" spans="1:6" x14ac:dyDescent="0.25">
      <c r="A250" s="62" t="s">
        <v>4398</v>
      </c>
      <c r="B250" s="96">
        <v>40106</v>
      </c>
      <c r="C250" s="96" t="str">
        <f t="shared" si="25"/>
        <v>CPOS40106</v>
      </c>
      <c r="D250" s="95" t="s">
        <v>317</v>
      </c>
      <c r="E250" s="63" t="s">
        <v>81</v>
      </c>
      <c r="F250" s="64">
        <v>10.98</v>
      </c>
    </row>
    <row r="251" spans="1:6" x14ac:dyDescent="0.25">
      <c r="A251" s="62" t="s">
        <v>4398</v>
      </c>
      <c r="B251" s="96">
        <v>40108</v>
      </c>
      <c r="C251" s="96" t="str">
        <f t="shared" si="25"/>
        <v>CPOS40108</v>
      </c>
      <c r="D251" s="95" t="s">
        <v>318</v>
      </c>
      <c r="E251" s="63" t="s">
        <v>81</v>
      </c>
      <c r="F251" s="64">
        <v>1.7</v>
      </c>
    </row>
    <row r="252" spans="1:6" x14ac:dyDescent="0.25">
      <c r="A252" s="62" t="s">
        <v>4398</v>
      </c>
      <c r="B252" s="96">
        <v>40109</v>
      </c>
      <c r="C252" s="96" t="str">
        <f t="shared" si="25"/>
        <v>CPOS40109</v>
      </c>
      <c r="D252" s="95" t="s">
        <v>319</v>
      </c>
      <c r="E252" s="63" t="s">
        <v>110</v>
      </c>
      <c r="F252" s="64">
        <v>2.39</v>
      </c>
    </row>
    <row r="253" spans="1:6" x14ac:dyDescent="0.25">
      <c r="A253" s="62" t="s">
        <v>4398</v>
      </c>
      <c r="B253" s="96">
        <v>40110</v>
      </c>
      <c r="C253" s="96" t="str">
        <f t="shared" si="25"/>
        <v>CPOS40110</v>
      </c>
      <c r="D253" s="95" t="s">
        <v>320</v>
      </c>
      <c r="E253" s="63" t="s">
        <v>110</v>
      </c>
      <c r="F253" s="64">
        <v>7.03</v>
      </c>
    </row>
    <row r="254" spans="1:6" x14ac:dyDescent="0.25">
      <c r="D254" s="94" t="s">
        <v>321</v>
      </c>
    </row>
    <row r="255" spans="1:6" x14ac:dyDescent="0.25">
      <c r="A255" s="62" t="s">
        <v>4398</v>
      </c>
      <c r="B255" s="96">
        <v>40202</v>
      </c>
      <c r="C255" s="96" t="str">
        <f t="shared" ref="C255:C261" si="26">A255&amp;B255</f>
        <v>CPOS40202</v>
      </c>
      <c r="D255" s="95" t="s">
        <v>322</v>
      </c>
      <c r="E255" s="63" t="s">
        <v>110</v>
      </c>
      <c r="F255" s="64">
        <v>0.73</v>
      </c>
    </row>
    <row r="256" spans="1:6" x14ac:dyDescent="0.25">
      <c r="A256" s="62" t="s">
        <v>4398</v>
      </c>
      <c r="B256" s="96">
        <v>40203</v>
      </c>
      <c r="C256" s="96" t="str">
        <f t="shared" si="26"/>
        <v>CPOS40203</v>
      </c>
      <c r="D256" s="95" t="s">
        <v>323</v>
      </c>
      <c r="E256" s="63" t="s">
        <v>110</v>
      </c>
      <c r="F256" s="64">
        <v>2.44</v>
      </c>
    </row>
    <row r="257" spans="1:6" x14ac:dyDescent="0.25">
      <c r="A257" s="62" t="s">
        <v>4398</v>
      </c>
      <c r="B257" s="96">
        <v>40205</v>
      </c>
      <c r="C257" s="96" t="str">
        <f t="shared" si="26"/>
        <v>CPOS40205</v>
      </c>
      <c r="D257" s="95" t="s">
        <v>324</v>
      </c>
      <c r="E257" s="63" t="s">
        <v>81</v>
      </c>
      <c r="F257" s="64">
        <v>13.4</v>
      </c>
    </row>
    <row r="258" spans="1:6" x14ac:dyDescent="0.25">
      <c r="A258" s="62" t="s">
        <v>4398</v>
      </c>
      <c r="B258" s="96">
        <v>40207</v>
      </c>
      <c r="C258" s="96" t="str">
        <f t="shared" si="26"/>
        <v>CPOS40207</v>
      </c>
      <c r="D258" s="95" t="s">
        <v>325</v>
      </c>
      <c r="E258" s="63" t="s">
        <v>81</v>
      </c>
      <c r="F258" s="64">
        <v>10.97</v>
      </c>
    </row>
    <row r="259" spans="1:6" x14ac:dyDescent="0.25">
      <c r="A259" s="62" t="s">
        <v>4398</v>
      </c>
      <c r="B259" s="96">
        <v>40209</v>
      </c>
      <c r="C259" s="96" t="str">
        <f t="shared" si="26"/>
        <v>CPOS40209</v>
      </c>
      <c r="D259" s="95" t="s">
        <v>326</v>
      </c>
      <c r="E259" s="63" t="s">
        <v>81</v>
      </c>
      <c r="F259" s="64">
        <v>9.75</v>
      </c>
    </row>
    <row r="260" spans="1:6" ht="20.25" customHeight="1" x14ac:dyDescent="0.25">
      <c r="A260" s="62" t="s">
        <v>4398</v>
      </c>
      <c r="B260" s="96">
        <v>40211</v>
      </c>
      <c r="C260" s="96" t="str">
        <f t="shared" si="26"/>
        <v>CPOS40211</v>
      </c>
      <c r="D260" s="95" t="s">
        <v>327</v>
      </c>
      <c r="E260" s="63" t="s">
        <v>81</v>
      </c>
      <c r="F260" s="64">
        <v>7.3100000000000005</v>
      </c>
    </row>
    <row r="261" spans="1:6" x14ac:dyDescent="0.25">
      <c r="A261" s="62" t="s">
        <v>4398</v>
      </c>
      <c r="B261" s="96">
        <v>40214</v>
      </c>
      <c r="C261" s="96" t="str">
        <f t="shared" si="26"/>
        <v>CPOS40214</v>
      </c>
      <c r="D261" s="95" t="s">
        <v>328</v>
      </c>
      <c r="E261" s="63" t="s">
        <v>329</v>
      </c>
      <c r="F261" s="64">
        <v>1.42</v>
      </c>
    </row>
    <row r="262" spans="1:6" x14ac:dyDescent="0.25">
      <c r="D262" s="94" t="s">
        <v>330</v>
      </c>
    </row>
    <row r="263" spans="1:6" x14ac:dyDescent="0.25">
      <c r="A263" s="62" t="s">
        <v>4398</v>
      </c>
      <c r="B263" s="96">
        <v>40302</v>
      </c>
      <c r="C263" s="96" t="str">
        <f t="shared" ref="C263:C267" si="27">A263&amp;B263</f>
        <v>CPOS40302</v>
      </c>
      <c r="D263" s="95" t="s">
        <v>331</v>
      </c>
      <c r="E263" s="63" t="s">
        <v>81</v>
      </c>
      <c r="F263" s="64">
        <v>8.7899999999999991</v>
      </c>
    </row>
    <row r="264" spans="1:6" x14ac:dyDescent="0.25">
      <c r="A264" s="62" t="s">
        <v>4398</v>
      </c>
      <c r="B264" s="96">
        <v>40304</v>
      </c>
      <c r="C264" s="96" t="str">
        <f t="shared" si="27"/>
        <v>CPOS40304</v>
      </c>
      <c r="D264" s="95" t="s">
        <v>332</v>
      </c>
      <c r="E264" s="63" t="s">
        <v>81</v>
      </c>
      <c r="F264" s="64">
        <v>4.4000000000000004</v>
      </c>
    </row>
    <row r="265" spans="1:6" x14ac:dyDescent="0.25">
      <c r="A265" s="62" t="s">
        <v>4398</v>
      </c>
      <c r="B265" s="96">
        <v>40306</v>
      </c>
      <c r="C265" s="96" t="str">
        <f t="shared" si="27"/>
        <v>CPOS40306</v>
      </c>
      <c r="D265" s="95" t="s">
        <v>333</v>
      </c>
      <c r="E265" s="63" t="s">
        <v>110</v>
      </c>
      <c r="F265" s="64">
        <v>3.3000000000000003</v>
      </c>
    </row>
    <row r="266" spans="1:6" x14ac:dyDescent="0.25">
      <c r="A266" s="62" t="s">
        <v>4398</v>
      </c>
      <c r="B266" s="96">
        <v>40308</v>
      </c>
      <c r="C266" s="96" t="str">
        <f t="shared" si="27"/>
        <v>CPOS40308</v>
      </c>
      <c r="D266" s="95" t="s">
        <v>334</v>
      </c>
      <c r="E266" s="63" t="s">
        <v>110</v>
      </c>
      <c r="F266" s="64">
        <v>5.5</v>
      </c>
    </row>
    <row r="267" spans="1:6" x14ac:dyDescent="0.25">
      <c r="A267" s="62" t="s">
        <v>4398</v>
      </c>
      <c r="B267" s="96">
        <v>40309</v>
      </c>
      <c r="C267" s="96" t="str">
        <f t="shared" si="27"/>
        <v>CPOS40309</v>
      </c>
      <c r="D267" s="95" t="s">
        <v>335</v>
      </c>
      <c r="E267" s="63" t="s">
        <v>81</v>
      </c>
      <c r="F267" s="64">
        <v>6.87</v>
      </c>
    </row>
    <row r="268" spans="1:6" x14ac:dyDescent="0.25">
      <c r="D268" s="94" t="s">
        <v>336</v>
      </c>
    </row>
    <row r="269" spans="1:6" x14ac:dyDescent="0.25">
      <c r="A269" s="62" t="s">
        <v>4398</v>
      </c>
      <c r="B269" s="96">
        <v>40401</v>
      </c>
      <c r="C269" s="96" t="str">
        <f t="shared" ref="C269:C273" si="28">A269&amp;B269</f>
        <v>CPOS40401</v>
      </c>
      <c r="D269" s="95" t="s">
        <v>337</v>
      </c>
      <c r="E269" s="63" t="s">
        <v>81</v>
      </c>
      <c r="F269" s="64">
        <v>24.22</v>
      </c>
    </row>
    <row r="270" spans="1:6" x14ac:dyDescent="0.25">
      <c r="A270" s="62" t="s">
        <v>4398</v>
      </c>
      <c r="B270" s="96">
        <v>40402</v>
      </c>
      <c r="C270" s="96" t="str">
        <f t="shared" si="28"/>
        <v>CPOS40402</v>
      </c>
      <c r="D270" s="95" t="s">
        <v>338</v>
      </c>
      <c r="E270" s="63" t="s">
        <v>81</v>
      </c>
      <c r="F270" s="64">
        <v>14.74</v>
      </c>
    </row>
    <row r="271" spans="1:6" x14ac:dyDescent="0.25">
      <c r="A271" s="62" t="s">
        <v>4398</v>
      </c>
      <c r="B271" s="96">
        <v>40403</v>
      </c>
      <c r="C271" s="96" t="str">
        <f t="shared" si="28"/>
        <v>CPOS40403</v>
      </c>
      <c r="D271" s="95" t="s">
        <v>339</v>
      </c>
      <c r="E271" s="63" t="s">
        <v>110</v>
      </c>
      <c r="F271" s="64">
        <v>10.210000000000001</v>
      </c>
    </row>
    <row r="272" spans="1:6" x14ac:dyDescent="0.25">
      <c r="A272" s="62" t="s">
        <v>4398</v>
      </c>
      <c r="B272" s="96">
        <v>40404</v>
      </c>
      <c r="C272" s="96" t="str">
        <f t="shared" si="28"/>
        <v>CPOS40404</v>
      </c>
      <c r="D272" s="95" t="s">
        <v>340</v>
      </c>
      <c r="E272" s="63" t="s">
        <v>110</v>
      </c>
      <c r="F272" s="64">
        <v>11.34</v>
      </c>
    </row>
    <row r="273" spans="1:6" x14ac:dyDescent="0.25">
      <c r="A273" s="62" t="s">
        <v>4398</v>
      </c>
      <c r="B273" s="96">
        <v>40406</v>
      </c>
      <c r="C273" s="96" t="str">
        <f t="shared" si="28"/>
        <v>CPOS40406</v>
      </c>
      <c r="D273" s="95" t="s">
        <v>341</v>
      </c>
      <c r="E273" s="63" t="s">
        <v>110</v>
      </c>
      <c r="F273" s="64">
        <v>9.07</v>
      </c>
    </row>
    <row r="274" spans="1:6" x14ac:dyDescent="0.25">
      <c r="D274" s="94" t="s">
        <v>342</v>
      </c>
    </row>
    <row r="275" spans="1:6" x14ac:dyDescent="0.25">
      <c r="A275" s="62" t="s">
        <v>4398</v>
      </c>
      <c r="B275" s="96">
        <v>40501</v>
      </c>
      <c r="C275" s="96" t="str">
        <f t="shared" ref="C275:C280" si="29">A275&amp;B275</f>
        <v>CPOS40501</v>
      </c>
      <c r="D275" s="95" t="s">
        <v>343</v>
      </c>
      <c r="E275" s="63" t="s">
        <v>81</v>
      </c>
      <c r="F275" s="64">
        <v>31.53</v>
      </c>
    </row>
    <row r="276" spans="1:6" x14ac:dyDescent="0.25">
      <c r="A276" s="62" t="s">
        <v>4398</v>
      </c>
      <c r="B276" s="96">
        <v>40502</v>
      </c>
      <c r="C276" s="96" t="str">
        <f t="shared" si="29"/>
        <v>CPOS40502</v>
      </c>
      <c r="D276" s="95" t="s">
        <v>344</v>
      </c>
      <c r="E276" s="63" t="s">
        <v>81</v>
      </c>
      <c r="F276" s="64">
        <v>6.8</v>
      </c>
    </row>
    <row r="277" spans="1:6" x14ac:dyDescent="0.25">
      <c r="A277" s="62" t="s">
        <v>4398</v>
      </c>
      <c r="B277" s="96">
        <v>40504</v>
      </c>
      <c r="C277" s="96" t="str">
        <f t="shared" si="29"/>
        <v>CPOS40504</v>
      </c>
      <c r="D277" s="95" t="s">
        <v>345</v>
      </c>
      <c r="E277" s="63" t="s">
        <v>81</v>
      </c>
      <c r="F277" s="64">
        <v>8.5299999999999994</v>
      </c>
    </row>
    <row r="278" spans="1:6" x14ac:dyDescent="0.25">
      <c r="A278" s="62" t="s">
        <v>4398</v>
      </c>
      <c r="B278" s="96">
        <v>40506</v>
      </c>
      <c r="C278" s="96" t="str">
        <f t="shared" si="29"/>
        <v>CPOS40506</v>
      </c>
      <c r="D278" s="95" t="s">
        <v>346</v>
      </c>
      <c r="E278" s="63" t="s">
        <v>81</v>
      </c>
      <c r="F278" s="64">
        <v>14.620000000000001</v>
      </c>
    </row>
    <row r="279" spans="1:6" x14ac:dyDescent="0.25">
      <c r="A279" s="62" t="s">
        <v>4398</v>
      </c>
      <c r="B279" s="96">
        <v>40508</v>
      </c>
      <c r="C279" s="96" t="str">
        <f t="shared" si="29"/>
        <v>CPOS40508</v>
      </c>
      <c r="D279" s="95" t="s">
        <v>347</v>
      </c>
      <c r="E279" s="63" t="s">
        <v>110</v>
      </c>
      <c r="F279" s="64">
        <v>7.3100000000000005</v>
      </c>
    </row>
    <row r="280" spans="1:6" x14ac:dyDescent="0.25">
      <c r="A280" s="62" t="s">
        <v>4398</v>
      </c>
      <c r="B280" s="96">
        <v>40510</v>
      </c>
      <c r="C280" s="96" t="str">
        <f t="shared" si="29"/>
        <v>CPOS40510</v>
      </c>
      <c r="D280" s="95" t="s">
        <v>348</v>
      </c>
      <c r="E280" s="63" t="s">
        <v>110</v>
      </c>
      <c r="F280" s="64">
        <v>1.6500000000000001</v>
      </c>
    </row>
    <row r="281" spans="1:6" x14ac:dyDescent="0.25">
      <c r="D281" s="94" t="s">
        <v>349</v>
      </c>
    </row>
    <row r="282" spans="1:6" x14ac:dyDescent="0.25">
      <c r="A282" s="62" t="s">
        <v>4398</v>
      </c>
      <c r="B282" s="96">
        <v>40601</v>
      </c>
      <c r="C282" s="96" t="str">
        <f t="shared" ref="C282:C286" si="30">A282&amp;B282</f>
        <v>CPOS40601</v>
      </c>
      <c r="D282" s="95" t="s">
        <v>350</v>
      </c>
      <c r="E282" s="63" t="s">
        <v>81</v>
      </c>
      <c r="F282" s="64">
        <v>31.53</v>
      </c>
    </row>
    <row r="283" spans="1:6" x14ac:dyDescent="0.25">
      <c r="A283" s="62" t="s">
        <v>4398</v>
      </c>
      <c r="B283" s="96">
        <v>40602</v>
      </c>
      <c r="C283" s="96" t="str">
        <f t="shared" si="30"/>
        <v>CPOS40602</v>
      </c>
      <c r="D283" s="95" t="s">
        <v>351</v>
      </c>
      <c r="E283" s="63" t="s">
        <v>81</v>
      </c>
      <c r="F283" s="64">
        <v>2.5</v>
      </c>
    </row>
    <row r="284" spans="1:6" x14ac:dyDescent="0.25">
      <c r="A284" s="62" t="s">
        <v>4398</v>
      </c>
      <c r="B284" s="96">
        <v>40604</v>
      </c>
      <c r="C284" s="96" t="str">
        <f t="shared" si="30"/>
        <v>CPOS40604</v>
      </c>
      <c r="D284" s="95" t="s">
        <v>352</v>
      </c>
      <c r="E284" s="63" t="s">
        <v>110</v>
      </c>
      <c r="F284" s="64">
        <v>2.33</v>
      </c>
    </row>
    <row r="285" spans="1:6" x14ac:dyDescent="0.25">
      <c r="A285" s="62" t="s">
        <v>4398</v>
      </c>
      <c r="B285" s="96">
        <v>40606</v>
      </c>
      <c r="C285" s="96" t="str">
        <f t="shared" si="30"/>
        <v>CPOS40606</v>
      </c>
      <c r="D285" s="95" t="s">
        <v>353</v>
      </c>
      <c r="E285" s="63" t="s">
        <v>110</v>
      </c>
      <c r="F285" s="64">
        <v>0.56999999999999995</v>
      </c>
    </row>
    <row r="286" spans="1:6" x14ac:dyDescent="0.25">
      <c r="A286" s="62" t="s">
        <v>4398</v>
      </c>
      <c r="B286" s="96">
        <v>40610</v>
      </c>
      <c r="C286" s="96" t="str">
        <f t="shared" si="30"/>
        <v>CPOS40610</v>
      </c>
      <c r="D286" s="95" t="s">
        <v>354</v>
      </c>
      <c r="E286" s="63" t="s">
        <v>81</v>
      </c>
      <c r="F286" s="64">
        <v>27.310000000000002</v>
      </c>
    </row>
    <row r="287" spans="1:6" x14ac:dyDescent="0.25">
      <c r="D287" s="94" t="s">
        <v>355</v>
      </c>
    </row>
    <row r="288" spans="1:6" x14ac:dyDescent="0.25">
      <c r="A288" s="62" t="s">
        <v>4398</v>
      </c>
      <c r="B288" s="96">
        <v>40702</v>
      </c>
      <c r="C288" s="96" t="str">
        <f t="shared" ref="C288:C290" si="31">A288&amp;B288</f>
        <v>CPOS40702</v>
      </c>
      <c r="D288" s="95" t="s">
        <v>356</v>
      </c>
      <c r="E288" s="63" t="s">
        <v>81</v>
      </c>
      <c r="F288" s="64">
        <v>6.83</v>
      </c>
    </row>
    <row r="289" spans="1:6" x14ac:dyDescent="0.25">
      <c r="A289" s="62" t="s">
        <v>4398</v>
      </c>
      <c r="B289" s="96">
        <v>40704</v>
      </c>
      <c r="C289" s="96" t="str">
        <f t="shared" si="31"/>
        <v>CPOS40704</v>
      </c>
      <c r="D289" s="95" t="s">
        <v>357</v>
      </c>
      <c r="E289" s="63" t="s">
        <v>81</v>
      </c>
      <c r="F289" s="64">
        <v>3.66</v>
      </c>
    </row>
    <row r="290" spans="1:6" x14ac:dyDescent="0.25">
      <c r="A290" s="62" t="s">
        <v>4398</v>
      </c>
      <c r="B290" s="96">
        <v>40706</v>
      </c>
      <c r="C290" s="96" t="str">
        <f t="shared" si="31"/>
        <v>CPOS40706</v>
      </c>
      <c r="D290" s="95" t="s">
        <v>358</v>
      </c>
      <c r="E290" s="63" t="s">
        <v>81</v>
      </c>
      <c r="F290" s="64">
        <v>2.84</v>
      </c>
    </row>
    <row r="291" spans="1:6" x14ac:dyDescent="0.25">
      <c r="D291" s="94" t="s">
        <v>359</v>
      </c>
    </row>
    <row r="292" spans="1:6" x14ac:dyDescent="0.25">
      <c r="A292" s="62" t="s">
        <v>4398</v>
      </c>
      <c r="B292" s="96">
        <v>40802</v>
      </c>
      <c r="C292" s="96" t="str">
        <f t="shared" ref="C292:C295" si="32">A292&amp;B292</f>
        <v>CPOS40802</v>
      </c>
      <c r="D292" s="95" t="s">
        <v>360</v>
      </c>
      <c r="E292" s="63" t="s">
        <v>58</v>
      </c>
      <c r="F292" s="64">
        <v>12.19</v>
      </c>
    </row>
    <row r="293" spans="1:6" x14ac:dyDescent="0.25">
      <c r="A293" s="62" t="s">
        <v>4398</v>
      </c>
      <c r="B293" s="96">
        <v>40804</v>
      </c>
      <c r="C293" s="96" t="str">
        <f t="shared" si="32"/>
        <v>CPOS40804</v>
      </c>
      <c r="D293" s="95" t="s">
        <v>361</v>
      </c>
      <c r="E293" s="63" t="s">
        <v>110</v>
      </c>
      <c r="F293" s="64">
        <v>0.94000000000000006</v>
      </c>
    </row>
    <row r="294" spans="1:6" x14ac:dyDescent="0.25">
      <c r="A294" s="62" t="s">
        <v>4398</v>
      </c>
      <c r="B294" s="96">
        <v>40806</v>
      </c>
      <c r="C294" s="96" t="str">
        <f t="shared" si="32"/>
        <v>CPOS40806</v>
      </c>
      <c r="D294" s="95" t="s">
        <v>362</v>
      </c>
      <c r="E294" s="63" t="s">
        <v>110</v>
      </c>
      <c r="F294" s="64">
        <v>7.5200000000000005</v>
      </c>
    </row>
    <row r="295" spans="1:6" x14ac:dyDescent="0.25">
      <c r="A295" s="62" t="s">
        <v>4398</v>
      </c>
      <c r="B295" s="96">
        <v>40808</v>
      </c>
      <c r="C295" s="96" t="str">
        <f t="shared" si="32"/>
        <v>CPOS40808</v>
      </c>
      <c r="D295" s="95" t="s">
        <v>363</v>
      </c>
      <c r="E295" s="63" t="s">
        <v>81</v>
      </c>
      <c r="F295" s="64">
        <v>3.4</v>
      </c>
    </row>
    <row r="296" spans="1:6" x14ac:dyDescent="0.25">
      <c r="D296" s="94" t="s">
        <v>364</v>
      </c>
    </row>
    <row r="297" spans="1:6" x14ac:dyDescent="0.25">
      <c r="A297" s="62" t="s">
        <v>4398</v>
      </c>
      <c r="B297" s="96">
        <v>40902</v>
      </c>
      <c r="C297" s="96" t="str">
        <f t="shared" ref="C297:C304" si="33">A297&amp;B297</f>
        <v>CPOS40902</v>
      </c>
      <c r="D297" s="95" t="s">
        <v>365</v>
      </c>
      <c r="E297" s="63" t="s">
        <v>81</v>
      </c>
      <c r="F297" s="64">
        <v>17.55</v>
      </c>
    </row>
    <row r="298" spans="1:6" x14ac:dyDescent="0.25">
      <c r="A298" s="62" t="s">
        <v>4398</v>
      </c>
      <c r="B298" s="96">
        <v>40904</v>
      </c>
      <c r="C298" s="96" t="str">
        <f t="shared" si="33"/>
        <v>CPOS40904</v>
      </c>
      <c r="D298" s="95" t="s">
        <v>366</v>
      </c>
      <c r="E298" s="63" t="s">
        <v>58</v>
      </c>
      <c r="F298" s="64">
        <v>14.57</v>
      </c>
    </row>
    <row r="299" spans="1:6" x14ac:dyDescent="0.25">
      <c r="A299" s="62" t="s">
        <v>4398</v>
      </c>
      <c r="B299" s="96">
        <v>40906</v>
      </c>
      <c r="C299" s="96" t="str">
        <f t="shared" si="33"/>
        <v>CPOS40906</v>
      </c>
      <c r="D299" s="95" t="s">
        <v>367</v>
      </c>
      <c r="E299" s="63" t="s">
        <v>110</v>
      </c>
      <c r="F299" s="64">
        <v>6.0200000000000005</v>
      </c>
    </row>
    <row r="300" spans="1:6" x14ac:dyDescent="0.25">
      <c r="A300" s="62" t="s">
        <v>4398</v>
      </c>
      <c r="B300" s="96">
        <v>40908</v>
      </c>
      <c r="C300" s="96" t="str">
        <f t="shared" si="33"/>
        <v>CPOS40908</v>
      </c>
      <c r="D300" s="95" t="s">
        <v>368</v>
      </c>
      <c r="E300" s="63" t="s">
        <v>110</v>
      </c>
      <c r="F300" s="64">
        <v>4.12</v>
      </c>
    </row>
    <row r="301" spans="1:6" x14ac:dyDescent="0.25">
      <c r="A301" s="62" t="s">
        <v>4398</v>
      </c>
      <c r="B301" s="96">
        <v>40910</v>
      </c>
      <c r="C301" s="96" t="str">
        <f t="shared" si="33"/>
        <v>CPOS40910</v>
      </c>
      <c r="D301" s="95" t="s">
        <v>369</v>
      </c>
      <c r="E301" s="63" t="s">
        <v>81</v>
      </c>
      <c r="F301" s="64">
        <v>17.55</v>
      </c>
    </row>
    <row r="302" spans="1:6" x14ac:dyDescent="0.25">
      <c r="A302" s="62" t="s">
        <v>4398</v>
      </c>
      <c r="B302" s="96">
        <v>40912</v>
      </c>
      <c r="C302" s="96" t="str">
        <f t="shared" si="33"/>
        <v>CPOS40912</v>
      </c>
      <c r="D302" s="95" t="s">
        <v>370</v>
      </c>
      <c r="E302" s="63" t="s">
        <v>110</v>
      </c>
      <c r="F302" s="64">
        <v>20.05</v>
      </c>
    </row>
    <row r="303" spans="1:6" x14ac:dyDescent="0.25">
      <c r="A303" s="62" t="s">
        <v>4398</v>
      </c>
      <c r="B303" s="96">
        <v>40914</v>
      </c>
      <c r="C303" s="96" t="str">
        <f t="shared" si="33"/>
        <v>CPOS40914</v>
      </c>
      <c r="D303" s="95" t="s">
        <v>371</v>
      </c>
      <c r="E303" s="63" t="s">
        <v>58</v>
      </c>
      <c r="F303" s="64">
        <v>14.74</v>
      </c>
    </row>
    <row r="304" spans="1:6" x14ac:dyDescent="0.25">
      <c r="A304" s="62" t="s">
        <v>4398</v>
      </c>
      <c r="B304" s="96">
        <v>40916</v>
      </c>
      <c r="C304" s="96" t="str">
        <f t="shared" si="33"/>
        <v>CPOS40916</v>
      </c>
      <c r="D304" s="95" t="s">
        <v>372</v>
      </c>
      <c r="E304" s="63" t="s">
        <v>81</v>
      </c>
      <c r="F304" s="64">
        <v>2.39</v>
      </c>
    </row>
    <row r="305" spans="1:6" x14ac:dyDescent="0.25">
      <c r="D305" s="94" t="s">
        <v>373</v>
      </c>
    </row>
    <row r="306" spans="1:6" x14ac:dyDescent="0.25">
      <c r="A306" s="62" t="s">
        <v>4398</v>
      </c>
      <c r="B306" s="96">
        <v>41002</v>
      </c>
      <c r="C306" s="96" t="str">
        <f t="shared" ref="C306:C309" si="34">A306&amp;B306</f>
        <v>CPOS41002</v>
      </c>
      <c r="D306" s="95" t="s">
        <v>374</v>
      </c>
      <c r="E306" s="63" t="s">
        <v>58</v>
      </c>
      <c r="F306" s="64">
        <v>6.69</v>
      </c>
    </row>
    <row r="307" spans="1:6" x14ac:dyDescent="0.25">
      <c r="A307" s="62" t="s">
        <v>4398</v>
      </c>
      <c r="B307" s="96">
        <v>41004</v>
      </c>
      <c r="C307" s="96" t="str">
        <f t="shared" si="34"/>
        <v>CPOS41004</v>
      </c>
      <c r="D307" s="95" t="s">
        <v>375</v>
      </c>
      <c r="E307" s="63" t="s">
        <v>58</v>
      </c>
      <c r="F307" s="64">
        <v>2.68</v>
      </c>
    </row>
    <row r="308" spans="1:6" x14ac:dyDescent="0.25">
      <c r="A308" s="62" t="s">
        <v>4398</v>
      </c>
      <c r="B308" s="96">
        <v>41006</v>
      </c>
      <c r="C308" s="96" t="str">
        <f t="shared" si="34"/>
        <v>CPOS41006</v>
      </c>
      <c r="D308" s="95" t="s">
        <v>376</v>
      </c>
      <c r="E308" s="63" t="s">
        <v>58</v>
      </c>
      <c r="F308" s="64">
        <v>1.34</v>
      </c>
    </row>
    <row r="309" spans="1:6" x14ac:dyDescent="0.25">
      <c r="A309" s="62" t="s">
        <v>4398</v>
      </c>
      <c r="B309" s="96">
        <v>41008</v>
      </c>
      <c r="C309" s="96" t="str">
        <f t="shared" si="34"/>
        <v>CPOS41008</v>
      </c>
      <c r="D309" s="95" t="s">
        <v>377</v>
      </c>
      <c r="E309" s="63" t="s">
        <v>58</v>
      </c>
      <c r="F309" s="64">
        <v>10.88</v>
      </c>
    </row>
    <row r="310" spans="1:6" x14ac:dyDescent="0.25">
      <c r="D310" s="94" t="s">
        <v>378</v>
      </c>
    </row>
    <row r="311" spans="1:6" x14ac:dyDescent="0.25">
      <c r="A311" s="62" t="s">
        <v>4398</v>
      </c>
      <c r="B311" s="96">
        <v>41102</v>
      </c>
      <c r="C311" s="96" t="str">
        <f t="shared" ref="C311:C320" si="35">A311&amp;B311</f>
        <v>CPOS41102</v>
      </c>
      <c r="D311" s="95" t="s">
        <v>379</v>
      </c>
      <c r="E311" s="63" t="s">
        <v>58</v>
      </c>
      <c r="F311" s="64">
        <v>25.37</v>
      </c>
    </row>
    <row r="312" spans="1:6" x14ac:dyDescent="0.25">
      <c r="A312" s="62" t="s">
        <v>4398</v>
      </c>
      <c r="B312" s="96">
        <v>41103</v>
      </c>
      <c r="C312" s="96" t="str">
        <f t="shared" si="35"/>
        <v>CPOS41103</v>
      </c>
      <c r="D312" s="95" t="s">
        <v>380</v>
      </c>
      <c r="E312" s="63" t="s">
        <v>81</v>
      </c>
      <c r="F312" s="64">
        <v>35.1</v>
      </c>
    </row>
    <row r="313" spans="1:6" x14ac:dyDescent="0.25">
      <c r="A313" s="62" t="s">
        <v>4398</v>
      </c>
      <c r="B313" s="96">
        <v>41104</v>
      </c>
      <c r="C313" s="96" t="str">
        <f t="shared" si="35"/>
        <v>CPOS41104</v>
      </c>
      <c r="D313" s="95" t="s">
        <v>381</v>
      </c>
      <c r="E313" s="63" t="s">
        <v>58</v>
      </c>
      <c r="F313" s="64">
        <v>8.24</v>
      </c>
    </row>
    <row r="314" spans="1:6" x14ac:dyDescent="0.25">
      <c r="A314" s="62" t="s">
        <v>4398</v>
      </c>
      <c r="B314" s="96">
        <v>41106</v>
      </c>
      <c r="C314" s="96" t="str">
        <f t="shared" si="35"/>
        <v>CPOS41106</v>
      </c>
      <c r="D314" s="95" t="s">
        <v>382</v>
      </c>
      <c r="E314" s="63" t="s">
        <v>58</v>
      </c>
      <c r="F314" s="64">
        <v>3.43</v>
      </c>
    </row>
    <row r="315" spans="1:6" x14ac:dyDescent="0.25">
      <c r="A315" s="62" t="s">
        <v>4398</v>
      </c>
      <c r="B315" s="96">
        <v>41108</v>
      </c>
      <c r="C315" s="96" t="str">
        <f t="shared" si="35"/>
        <v>CPOS41108</v>
      </c>
      <c r="D315" s="95" t="s">
        <v>383</v>
      </c>
      <c r="E315" s="63" t="s">
        <v>58</v>
      </c>
      <c r="F315" s="64">
        <v>32.24</v>
      </c>
    </row>
    <row r="316" spans="1:6" x14ac:dyDescent="0.25">
      <c r="A316" s="62" t="s">
        <v>4398</v>
      </c>
      <c r="B316" s="96">
        <v>41110</v>
      </c>
      <c r="C316" s="96" t="str">
        <f t="shared" si="35"/>
        <v>CPOS41110</v>
      </c>
      <c r="D316" s="95" t="s">
        <v>384</v>
      </c>
      <c r="E316" s="63" t="s">
        <v>58</v>
      </c>
      <c r="F316" s="64">
        <v>18.600000000000001</v>
      </c>
    </row>
    <row r="317" spans="1:6" x14ac:dyDescent="0.25">
      <c r="A317" s="62" t="s">
        <v>4398</v>
      </c>
      <c r="B317" s="96">
        <v>41111</v>
      </c>
      <c r="C317" s="96" t="str">
        <f t="shared" si="35"/>
        <v>CPOS41111</v>
      </c>
      <c r="D317" s="95" t="s">
        <v>385</v>
      </c>
      <c r="E317" s="63" t="s">
        <v>58</v>
      </c>
      <c r="F317" s="64">
        <v>18.600000000000001</v>
      </c>
    </row>
    <row r="318" spans="1:6" x14ac:dyDescent="0.25">
      <c r="A318" s="62" t="s">
        <v>4398</v>
      </c>
      <c r="B318" s="96">
        <v>41112</v>
      </c>
      <c r="C318" s="96" t="str">
        <f t="shared" si="35"/>
        <v>CPOS41112</v>
      </c>
      <c r="D318" s="95" t="s">
        <v>386</v>
      </c>
      <c r="E318" s="63" t="s">
        <v>58</v>
      </c>
      <c r="F318" s="64">
        <v>4.4000000000000004</v>
      </c>
    </row>
    <row r="319" spans="1:6" x14ac:dyDescent="0.25">
      <c r="A319" s="62" t="s">
        <v>4398</v>
      </c>
      <c r="B319" s="96">
        <v>41114</v>
      </c>
      <c r="C319" s="96" t="str">
        <f t="shared" si="35"/>
        <v>CPOS41114</v>
      </c>
      <c r="D319" s="95" t="s">
        <v>387</v>
      </c>
      <c r="E319" s="63" t="s">
        <v>58</v>
      </c>
      <c r="F319" s="64">
        <v>6.76</v>
      </c>
    </row>
    <row r="320" spans="1:6" x14ac:dyDescent="0.25">
      <c r="A320" s="62" t="s">
        <v>4398</v>
      </c>
      <c r="B320" s="96">
        <v>41116</v>
      </c>
      <c r="C320" s="96" t="str">
        <f t="shared" si="35"/>
        <v>CPOS41116</v>
      </c>
      <c r="D320" s="95" t="s">
        <v>388</v>
      </c>
      <c r="E320" s="63" t="s">
        <v>58</v>
      </c>
      <c r="F320" s="64">
        <v>12.85</v>
      </c>
    </row>
    <row r="321" spans="1:6" x14ac:dyDescent="0.25">
      <c r="D321" s="94" t="s">
        <v>389</v>
      </c>
    </row>
    <row r="322" spans="1:6" x14ac:dyDescent="0.25">
      <c r="A322" s="62" t="s">
        <v>4398</v>
      </c>
      <c r="B322" s="96">
        <v>41202</v>
      </c>
      <c r="C322" s="96" t="str">
        <f t="shared" ref="C322:C323" si="36">A322&amp;B322</f>
        <v>CPOS41202</v>
      </c>
      <c r="D322" s="95" t="s">
        <v>390</v>
      </c>
      <c r="E322" s="63" t="s">
        <v>58</v>
      </c>
      <c r="F322" s="64">
        <v>51.27</v>
      </c>
    </row>
    <row r="323" spans="1:6" x14ac:dyDescent="0.25">
      <c r="A323" s="62" t="s">
        <v>4398</v>
      </c>
      <c r="B323" s="96">
        <v>41204</v>
      </c>
      <c r="C323" s="96" t="str">
        <f t="shared" si="36"/>
        <v>CPOS41204</v>
      </c>
      <c r="D323" s="95" t="s">
        <v>391</v>
      </c>
      <c r="E323" s="63" t="s">
        <v>58</v>
      </c>
      <c r="F323" s="64">
        <v>39.86</v>
      </c>
    </row>
    <row r="324" spans="1:6" x14ac:dyDescent="0.25">
      <c r="D324" s="94" t="s">
        <v>392</v>
      </c>
    </row>
    <row r="325" spans="1:6" x14ac:dyDescent="0.25">
      <c r="A325" s="62" t="s">
        <v>4398</v>
      </c>
      <c r="B325" s="96">
        <v>41302</v>
      </c>
      <c r="C325" s="96" t="str">
        <f t="shared" ref="C325:C326" si="37">A325&amp;B325</f>
        <v>CPOS41302</v>
      </c>
      <c r="D325" s="95" t="s">
        <v>393</v>
      </c>
      <c r="E325" s="63" t="s">
        <v>81</v>
      </c>
      <c r="F325" s="64">
        <v>3.4</v>
      </c>
    </row>
    <row r="326" spans="1:6" x14ac:dyDescent="0.25">
      <c r="A326" s="62" t="s">
        <v>4398</v>
      </c>
      <c r="B326" s="96">
        <v>41306</v>
      </c>
      <c r="C326" s="96" t="str">
        <f t="shared" si="37"/>
        <v>CPOS41306</v>
      </c>
      <c r="D326" s="95" t="s">
        <v>394</v>
      </c>
      <c r="E326" s="63" t="s">
        <v>81</v>
      </c>
      <c r="F326" s="64">
        <v>0.56999999999999995</v>
      </c>
    </row>
    <row r="327" spans="1:6" x14ac:dyDescent="0.25">
      <c r="D327" s="94" t="s">
        <v>395</v>
      </c>
    </row>
    <row r="328" spans="1:6" x14ac:dyDescent="0.25">
      <c r="A328" s="62" t="s">
        <v>4398</v>
      </c>
      <c r="B328" s="96">
        <v>41402</v>
      </c>
      <c r="C328" s="96" t="str">
        <f t="shared" ref="C328:C329" si="38">A328&amp;B328</f>
        <v>CPOS41402</v>
      </c>
      <c r="D328" s="95" t="s">
        <v>396</v>
      </c>
      <c r="E328" s="63" t="s">
        <v>81</v>
      </c>
      <c r="F328" s="64">
        <v>8.1999999999999993</v>
      </c>
    </row>
    <row r="329" spans="1:6" x14ac:dyDescent="0.25">
      <c r="A329" s="62" t="s">
        <v>4398</v>
      </c>
      <c r="B329" s="96">
        <v>41404</v>
      </c>
      <c r="C329" s="96" t="str">
        <f t="shared" si="38"/>
        <v>CPOS41404</v>
      </c>
      <c r="D329" s="95" t="s">
        <v>397</v>
      </c>
      <c r="E329" s="63" t="s">
        <v>81</v>
      </c>
      <c r="F329" s="64">
        <v>25.07</v>
      </c>
    </row>
    <row r="330" spans="1:6" x14ac:dyDescent="0.25">
      <c r="D330" s="94" t="s">
        <v>398</v>
      </c>
    </row>
    <row r="331" spans="1:6" x14ac:dyDescent="0.25">
      <c r="A331" s="62" t="s">
        <v>4398</v>
      </c>
      <c r="B331" s="96">
        <v>41702</v>
      </c>
      <c r="C331" s="96" t="str">
        <f t="shared" ref="C331:C342" si="39">A331&amp;B331</f>
        <v>CPOS41702</v>
      </c>
      <c r="D331" s="95" t="s">
        <v>399</v>
      </c>
      <c r="E331" s="63" t="s">
        <v>58</v>
      </c>
      <c r="F331" s="64">
        <v>10.63</v>
      </c>
    </row>
    <row r="332" spans="1:6" x14ac:dyDescent="0.25">
      <c r="A332" s="62" t="s">
        <v>4398</v>
      </c>
      <c r="B332" s="96">
        <v>41704</v>
      </c>
      <c r="C332" s="96" t="str">
        <f t="shared" si="39"/>
        <v>CPOS41704</v>
      </c>
      <c r="D332" s="95" t="s">
        <v>400</v>
      </c>
      <c r="E332" s="63" t="s">
        <v>58</v>
      </c>
      <c r="F332" s="64">
        <v>39.86</v>
      </c>
    </row>
    <row r="333" spans="1:6" x14ac:dyDescent="0.25">
      <c r="A333" s="62" t="s">
        <v>4398</v>
      </c>
      <c r="B333" s="96">
        <v>41706</v>
      </c>
      <c r="C333" s="96" t="str">
        <f t="shared" si="39"/>
        <v>CPOS41706</v>
      </c>
      <c r="D333" s="95" t="s">
        <v>401</v>
      </c>
      <c r="E333" s="63" t="s">
        <v>58</v>
      </c>
      <c r="F333" s="64">
        <v>13.290000000000001</v>
      </c>
    </row>
    <row r="334" spans="1:6" x14ac:dyDescent="0.25">
      <c r="A334" s="62" t="s">
        <v>4398</v>
      </c>
      <c r="B334" s="96">
        <v>41708</v>
      </c>
      <c r="C334" s="96" t="str">
        <f t="shared" si="39"/>
        <v>CPOS41708</v>
      </c>
      <c r="D334" s="95" t="s">
        <v>402</v>
      </c>
      <c r="E334" s="63" t="s">
        <v>110</v>
      </c>
      <c r="F334" s="64">
        <v>10.63</v>
      </c>
    </row>
    <row r="335" spans="1:6" x14ac:dyDescent="0.25">
      <c r="A335" s="62" t="s">
        <v>4398</v>
      </c>
      <c r="B335" s="96">
        <v>41710</v>
      </c>
      <c r="C335" s="96" t="str">
        <f t="shared" si="39"/>
        <v>CPOS41710</v>
      </c>
      <c r="D335" s="95" t="s">
        <v>403</v>
      </c>
      <c r="E335" s="63" t="s">
        <v>58</v>
      </c>
      <c r="F335" s="64">
        <v>3.99</v>
      </c>
    </row>
    <row r="336" spans="1:6" x14ac:dyDescent="0.25">
      <c r="A336" s="62" t="s">
        <v>4398</v>
      </c>
      <c r="B336" s="96">
        <v>41712</v>
      </c>
      <c r="C336" s="96" t="str">
        <f t="shared" si="39"/>
        <v>CPOS41712</v>
      </c>
      <c r="D336" s="95" t="s">
        <v>404</v>
      </c>
      <c r="E336" s="63" t="s">
        <v>58</v>
      </c>
      <c r="F336" s="64">
        <v>3.99</v>
      </c>
    </row>
    <row r="337" spans="1:6" x14ac:dyDescent="0.25">
      <c r="A337" s="62" t="s">
        <v>4398</v>
      </c>
      <c r="B337" s="96">
        <v>41714</v>
      </c>
      <c r="C337" s="96" t="str">
        <f t="shared" si="39"/>
        <v>CPOS41714</v>
      </c>
      <c r="D337" s="95" t="s">
        <v>405</v>
      </c>
      <c r="E337" s="63" t="s">
        <v>58</v>
      </c>
      <c r="F337" s="64">
        <v>26.57</v>
      </c>
    </row>
    <row r="338" spans="1:6" x14ac:dyDescent="0.25">
      <c r="A338" s="62" t="s">
        <v>4398</v>
      </c>
      <c r="B338" s="96">
        <v>41716</v>
      </c>
      <c r="C338" s="96" t="str">
        <f t="shared" si="39"/>
        <v>CPOS41716</v>
      </c>
      <c r="D338" s="95" t="s">
        <v>406</v>
      </c>
      <c r="E338" s="63" t="s">
        <v>58</v>
      </c>
      <c r="F338" s="64">
        <v>13.290000000000001</v>
      </c>
    </row>
    <row r="339" spans="1:6" x14ac:dyDescent="0.25">
      <c r="A339" s="62" t="s">
        <v>4398</v>
      </c>
      <c r="B339" s="96">
        <v>41718</v>
      </c>
      <c r="C339" s="96" t="str">
        <f t="shared" si="39"/>
        <v>CPOS41718</v>
      </c>
      <c r="D339" s="95" t="s">
        <v>407</v>
      </c>
      <c r="E339" s="63" t="s">
        <v>58</v>
      </c>
      <c r="F339" s="64">
        <v>11.96</v>
      </c>
    </row>
    <row r="340" spans="1:6" x14ac:dyDescent="0.25">
      <c r="A340" s="62" t="s">
        <v>4398</v>
      </c>
      <c r="B340" s="96">
        <v>41720</v>
      </c>
      <c r="C340" s="96" t="str">
        <f t="shared" si="39"/>
        <v>CPOS41720</v>
      </c>
      <c r="D340" s="95" t="s">
        <v>408</v>
      </c>
      <c r="E340" s="63" t="s">
        <v>58</v>
      </c>
      <c r="F340" s="64">
        <v>10.63</v>
      </c>
    </row>
    <row r="341" spans="1:6" x14ac:dyDescent="0.25">
      <c r="A341" s="62" t="s">
        <v>4398</v>
      </c>
      <c r="B341" s="96">
        <v>41722</v>
      </c>
      <c r="C341" s="96" t="str">
        <f t="shared" si="39"/>
        <v>CPOS41722</v>
      </c>
      <c r="D341" s="95" t="s">
        <v>409</v>
      </c>
      <c r="E341" s="63" t="s">
        <v>58</v>
      </c>
      <c r="F341" s="64">
        <v>10.63</v>
      </c>
    </row>
    <row r="342" spans="1:6" x14ac:dyDescent="0.25">
      <c r="A342" s="62" t="s">
        <v>4398</v>
      </c>
      <c r="B342" s="96">
        <v>41724</v>
      </c>
      <c r="C342" s="96" t="str">
        <f t="shared" si="39"/>
        <v>CPOS41724</v>
      </c>
      <c r="D342" s="95" t="s">
        <v>410</v>
      </c>
      <c r="E342" s="63" t="s">
        <v>58</v>
      </c>
      <c r="F342" s="64">
        <v>7.97</v>
      </c>
    </row>
    <row r="343" spans="1:6" x14ac:dyDescent="0.25">
      <c r="D343" s="94" t="s">
        <v>411</v>
      </c>
    </row>
    <row r="344" spans="1:6" x14ac:dyDescent="0.25">
      <c r="A344" s="62" t="s">
        <v>4398</v>
      </c>
      <c r="B344" s="96">
        <v>41802</v>
      </c>
      <c r="C344" s="96" t="str">
        <f t="shared" ref="C344:C374" si="40">A344&amp;B344</f>
        <v>CPOS41802</v>
      </c>
      <c r="D344" s="95" t="s">
        <v>412</v>
      </c>
      <c r="E344" s="63" t="s">
        <v>58</v>
      </c>
      <c r="F344" s="64">
        <v>6.65</v>
      </c>
    </row>
    <row r="345" spans="1:6" x14ac:dyDescent="0.25">
      <c r="A345" s="62" t="s">
        <v>4398</v>
      </c>
      <c r="B345" s="96">
        <v>41804</v>
      </c>
      <c r="C345" s="96" t="str">
        <f t="shared" si="40"/>
        <v>CPOS41804</v>
      </c>
      <c r="D345" s="95" t="s">
        <v>413</v>
      </c>
      <c r="E345" s="63" t="s">
        <v>110</v>
      </c>
      <c r="F345" s="64">
        <v>9.3000000000000007</v>
      </c>
    </row>
    <row r="346" spans="1:6" x14ac:dyDescent="0.25">
      <c r="A346" s="62" t="s">
        <v>4398</v>
      </c>
      <c r="B346" s="96">
        <v>41806</v>
      </c>
      <c r="C346" s="96" t="str">
        <f t="shared" si="40"/>
        <v>CPOS41806</v>
      </c>
      <c r="D346" s="95" t="s">
        <v>414</v>
      </c>
      <c r="E346" s="63" t="s">
        <v>58</v>
      </c>
      <c r="F346" s="64">
        <v>132.85</v>
      </c>
    </row>
    <row r="347" spans="1:6" x14ac:dyDescent="0.25">
      <c r="A347" s="62" t="s">
        <v>4398</v>
      </c>
      <c r="B347" s="96">
        <v>41807</v>
      </c>
      <c r="C347" s="96" t="str">
        <f t="shared" si="40"/>
        <v>CPOS41807</v>
      </c>
      <c r="D347" s="95" t="s">
        <v>415</v>
      </c>
      <c r="E347" s="63" t="s">
        <v>58</v>
      </c>
      <c r="F347" s="64">
        <v>106.28</v>
      </c>
    </row>
    <row r="348" spans="1:6" x14ac:dyDescent="0.25">
      <c r="A348" s="62" t="s">
        <v>4398</v>
      </c>
      <c r="B348" s="96">
        <v>41808</v>
      </c>
      <c r="C348" s="96" t="str">
        <f t="shared" si="40"/>
        <v>CPOS41808</v>
      </c>
      <c r="D348" s="95" t="s">
        <v>416</v>
      </c>
      <c r="E348" s="63" t="s">
        <v>58</v>
      </c>
      <c r="F348" s="64">
        <v>53.14</v>
      </c>
    </row>
    <row r="349" spans="1:6" x14ac:dyDescent="0.25">
      <c r="A349" s="62" t="s">
        <v>4398</v>
      </c>
      <c r="B349" s="96">
        <v>41809</v>
      </c>
      <c r="C349" s="96" t="str">
        <f t="shared" si="40"/>
        <v>CPOS41809</v>
      </c>
      <c r="D349" s="95" t="s">
        <v>417</v>
      </c>
      <c r="E349" s="63" t="s">
        <v>58</v>
      </c>
      <c r="F349" s="64">
        <v>29.77</v>
      </c>
    </row>
    <row r="350" spans="1:6" x14ac:dyDescent="0.25">
      <c r="A350" s="62" t="s">
        <v>4398</v>
      </c>
      <c r="B350" s="96">
        <v>41812</v>
      </c>
      <c r="C350" s="96" t="str">
        <f t="shared" si="40"/>
        <v>CPOS41812</v>
      </c>
      <c r="D350" s="95" t="s">
        <v>418</v>
      </c>
      <c r="E350" s="63" t="s">
        <v>58</v>
      </c>
      <c r="F350" s="64">
        <v>3.9</v>
      </c>
    </row>
    <row r="351" spans="1:6" x14ac:dyDescent="0.25">
      <c r="A351" s="62" t="s">
        <v>4398</v>
      </c>
      <c r="B351" s="96">
        <v>41813</v>
      </c>
      <c r="C351" s="96" t="str">
        <f t="shared" si="40"/>
        <v>CPOS41813</v>
      </c>
      <c r="D351" s="95" t="s">
        <v>419</v>
      </c>
      <c r="E351" s="63" t="s">
        <v>58</v>
      </c>
      <c r="F351" s="64">
        <v>4.67</v>
      </c>
    </row>
    <row r="352" spans="1:6" x14ac:dyDescent="0.25">
      <c r="A352" s="62" t="s">
        <v>4398</v>
      </c>
      <c r="B352" s="96">
        <v>41814</v>
      </c>
      <c r="C352" s="96" t="str">
        <f t="shared" si="40"/>
        <v>CPOS41814</v>
      </c>
      <c r="D352" s="95" t="s">
        <v>420</v>
      </c>
      <c r="E352" s="63" t="s">
        <v>58</v>
      </c>
      <c r="F352" s="64">
        <v>29.77</v>
      </c>
    </row>
    <row r="353" spans="1:6" x14ac:dyDescent="0.25">
      <c r="A353" s="62" t="s">
        <v>4398</v>
      </c>
      <c r="B353" s="96">
        <v>41816</v>
      </c>
      <c r="C353" s="96" t="str">
        <f t="shared" si="40"/>
        <v>CPOS41816</v>
      </c>
      <c r="D353" s="95" t="s">
        <v>421</v>
      </c>
      <c r="E353" s="63" t="s">
        <v>58</v>
      </c>
      <c r="F353" s="64">
        <v>10.63</v>
      </c>
    </row>
    <row r="354" spans="1:6" x14ac:dyDescent="0.25">
      <c r="A354" s="62" t="s">
        <v>4398</v>
      </c>
      <c r="B354" s="96">
        <v>41818</v>
      </c>
      <c r="C354" s="96" t="str">
        <f t="shared" si="40"/>
        <v>CPOS41818</v>
      </c>
      <c r="D354" s="95" t="s">
        <v>422</v>
      </c>
      <c r="E354" s="63" t="s">
        <v>110</v>
      </c>
      <c r="F354" s="64">
        <v>6.65</v>
      </c>
    </row>
    <row r="355" spans="1:6" x14ac:dyDescent="0.25">
      <c r="A355" s="62" t="s">
        <v>4398</v>
      </c>
      <c r="B355" s="96">
        <v>41820</v>
      </c>
      <c r="C355" s="96" t="str">
        <f t="shared" si="40"/>
        <v>CPOS41820</v>
      </c>
      <c r="D355" s="95" t="s">
        <v>423</v>
      </c>
      <c r="E355" s="63" t="s">
        <v>58</v>
      </c>
      <c r="F355" s="64">
        <v>13.290000000000001</v>
      </c>
    </row>
    <row r="356" spans="1:6" x14ac:dyDescent="0.25">
      <c r="A356" s="62" t="s">
        <v>4398</v>
      </c>
      <c r="B356" s="96">
        <v>41822</v>
      </c>
      <c r="C356" s="96" t="str">
        <f t="shared" si="40"/>
        <v>CPOS41822</v>
      </c>
      <c r="D356" s="95" t="s">
        <v>424</v>
      </c>
      <c r="E356" s="63" t="s">
        <v>58</v>
      </c>
      <c r="F356" s="64">
        <v>10.63</v>
      </c>
    </row>
    <row r="357" spans="1:6" x14ac:dyDescent="0.25">
      <c r="A357" s="62" t="s">
        <v>4398</v>
      </c>
      <c r="B357" s="96">
        <v>41824</v>
      </c>
      <c r="C357" s="96" t="str">
        <f t="shared" si="40"/>
        <v>CPOS41824</v>
      </c>
      <c r="D357" s="95" t="s">
        <v>425</v>
      </c>
      <c r="E357" s="63" t="s">
        <v>58</v>
      </c>
      <c r="F357" s="64">
        <v>15.94</v>
      </c>
    </row>
    <row r="358" spans="1:6" x14ac:dyDescent="0.25">
      <c r="A358" s="62" t="s">
        <v>4398</v>
      </c>
      <c r="B358" s="96">
        <v>41825</v>
      </c>
      <c r="C358" s="96" t="str">
        <f t="shared" si="40"/>
        <v>CPOS41825</v>
      </c>
      <c r="D358" s="95" t="s">
        <v>426</v>
      </c>
      <c r="E358" s="63" t="s">
        <v>58</v>
      </c>
      <c r="F358" s="64">
        <v>13.290000000000001</v>
      </c>
    </row>
    <row r="359" spans="1:6" x14ac:dyDescent="0.25">
      <c r="A359" s="62" t="s">
        <v>4398</v>
      </c>
      <c r="B359" s="96">
        <v>41826</v>
      </c>
      <c r="C359" s="96" t="str">
        <f t="shared" si="40"/>
        <v>CPOS41826</v>
      </c>
      <c r="D359" s="95" t="s">
        <v>427</v>
      </c>
      <c r="E359" s="63" t="s">
        <v>58</v>
      </c>
      <c r="F359" s="64">
        <v>26.57</v>
      </c>
    </row>
    <row r="360" spans="1:6" x14ac:dyDescent="0.25">
      <c r="A360" s="62" t="s">
        <v>4398</v>
      </c>
      <c r="B360" s="96">
        <v>41827</v>
      </c>
      <c r="C360" s="96" t="str">
        <f t="shared" si="40"/>
        <v>CPOS41827</v>
      </c>
      <c r="D360" s="95" t="s">
        <v>428</v>
      </c>
      <c r="E360" s="63" t="s">
        <v>58</v>
      </c>
      <c r="F360" s="64">
        <v>39.86</v>
      </c>
    </row>
    <row r="361" spans="1:6" x14ac:dyDescent="0.25">
      <c r="A361" s="62" t="s">
        <v>4398</v>
      </c>
      <c r="B361" s="96">
        <v>41828</v>
      </c>
      <c r="C361" s="96" t="str">
        <f t="shared" si="40"/>
        <v>CPOS41828</v>
      </c>
      <c r="D361" s="95" t="s">
        <v>429</v>
      </c>
      <c r="E361" s="63" t="s">
        <v>58</v>
      </c>
      <c r="F361" s="64">
        <v>75.12</v>
      </c>
    </row>
    <row r="362" spans="1:6" x14ac:dyDescent="0.25">
      <c r="A362" s="62" t="s">
        <v>4398</v>
      </c>
      <c r="B362" s="96">
        <v>41829</v>
      </c>
      <c r="C362" s="96" t="str">
        <f t="shared" si="40"/>
        <v>CPOS41829</v>
      </c>
      <c r="D362" s="95" t="s">
        <v>430</v>
      </c>
      <c r="E362" s="63" t="s">
        <v>58</v>
      </c>
      <c r="F362" s="64">
        <v>19.93</v>
      </c>
    </row>
    <row r="363" spans="1:6" x14ac:dyDescent="0.25">
      <c r="A363" s="62" t="s">
        <v>4398</v>
      </c>
      <c r="B363" s="96">
        <v>41832</v>
      </c>
      <c r="C363" s="96" t="str">
        <f t="shared" si="40"/>
        <v>CPOS41832</v>
      </c>
      <c r="D363" s="95" t="s">
        <v>431</v>
      </c>
      <c r="E363" s="63" t="s">
        <v>58</v>
      </c>
      <c r="F363" s="64">
        <v>5.5</v>
      </c>
    </row>
    <row r="364" spans="1:6" x14ac:dyDescent="0.25">
      <c r="A364" s="62" t="s">
        <v>4398</v>
      </c>
      <c r="B364" s="96">
        <v>41834</v>
      </c>
      <c r="C364" s="96" t="str">
        <f t="shared" si="40"/>
        <v>CPOS41834</v>
      </c>
      <c r="D364" s="95" t="s">
        <v>432</v>
      </c>
      <c r="E364" s="63" t="s">
        <v>58</v>
      </c>
      <c r="F364" s="64">
        <v>10.540000000000001</v>
      </c>
    </row>
    <row r="365" spans="1:6" x14ac:dyDescent="0.25">
      <c r="A365" s="62" t="s">
        <v>4398</v>
      </c>
      <c r="B365" s="96">
        <v>41836</v>
      </c>
      <c r="C365" s="96" t="str">
        <f t="shared" si="40"/>
        <v>CPOS41836</v>
      </c>
      <c r="D365" s="95" t="s">
        <v>433</v>
      </c>
      <c r="E365" s="63" t="s">
        <v>110</v>
      </c>
      <c r="F365" s="64">
        <v>3.19</v>
      </c>
    </row>
    <row r="366" spans="1:6" x14ac:dyDescent="0.25">
      <c r="A366" s="62" t="s">
        <v>4398</v>
      </c>
      <c r="B366" s="96">
        <v>41837</v>
      </c>
      <c r="C366" s="96" t="str">
        <f t="shared" si="40"/>
        <v>CPOS41837</v>
      </c>
      <c r="D366" s="95" t="s">
        <v>434</v>
      </c>
      <c r="E366" s="63" t="s">
        <v>110</v>
      </c>
      <c r="F366" s="64">
        <v>1.59</v>
      </c>
    </row>
    <row r="367" spans="1:6" x14ac:dyDescent="0.25">
      <c r="A367" s="62" t="s">
        <v>4398</v>
      </c>
      <c r="B367" s="96">
        <v>41838</v>
      </c>
      <c r="C367" s="96" t="str">
        <f t="shared" si="40"/>
        <v>CPOS41838</v>
      </c>
      <c r="D367" s="95" t="s">
        <v>435</v>
      </c>
      <c r="E367" s="63" t="s">
        <v>110</v>
      </c>
      <c r="F367" s="64">
        <v>2.66</v>
      </c>
    </row>
    <row r="368" spans="1:6" x14ac:dyDescent="0.25">
      <c r="A368" s="62" t="s">
        <v>4398</v>
      </c>
      <c r="B368" s="96">
        <v>41839</v>
      </c>
      <c r="C368" s="96" t="str">
        <f t="shared" si="40"/>
        <v>CPOS41839</v>
      </c>
      <c r="D368" s="95" t="s">
        <v>436</v>
      </c>
      <c r="E368" s="63" t="s">
        <v>110</v>
      </c>
      <c r="F368" s="64">
        <v>1.33</v>
      </c>
    </row>
    <row r="369" spans="1:6" x14ac:dyDescent="0.25">
      <c r="A369" s="62" t="s">
        <v>4398</v>
      </c>
      <c r="B369" s="96">
        <v>41840</v>
      </c>
      <c r="C369" s="96" t="str">
        <f t="shared" si="40"/>
        <v>CPOS41840</v>
      </c>
      <c r="D369" s="95" t="s">
        <v>437</v>
      </c>
      <c r="E369" s="63" t="s">
        <v>110</v>
      </c>
      <c r="F369" s="64">
        <v>18.78</v>
      </c>
    </row>
    <row r="370" spans="1:6" x14ac:dyDescent="0.25">
      <c r="A370" s="62" t="s">
        <v>4398</v>
      </c>
      <c r="B370" s="96">
        <v>41841</v>
      </c>
      <c r="C370" s="96" t="str">
        <f t="shared" si="40"/>
        <v>CPOS41841</v>
      </c>
      <c r="D370" s="95" t="s">
        <v>438</v>
      </c>
      <c r="E370" s="63" t="s">
        <v>110</v>
      </c>
      <c r="F370" s="64">
        <v>5.32</v>
      </c>
    </row>
    <row r="371" spans="1:6" x14ac:dyDescent="0.25">
      <c r="A371" s="62" t="s">
        <v>4398</v>
      </c>
      <c r="B371" s="96">
        <v>41842</v>
      </c>
      <c r="C371" s="96" t="str">
        <f t="shared" si="40"/>
        <v>CPOS41842</v>
      </c>
      <c r="D371" s="95" t="s">
        <v>439</v>
      </c>
      <c r="E371" s="63" t="s">
        <v>58</v>
      </c>
      <c r="F371" s="64">
        <v>26.57</v>
      </c>
    </row>
    <row r="372" spans="1:6" x14ac:dyDescent="0.25">
      <c r="A372" s="62" t="s">
        <v>4398</v>
      </c>
      <c r="B372" s="96">
        <v>41844</v>
      </c>
      <c r="C372" s="96" t="str">
        <f t="shared" si="40"/>
        <v>CPOS41844</v>
      </c>
      <c r="D372" s="95" t="s">
        <v>440</v>
      </c>
      <c r="E372" s="63" t="s">
        <v>58</v>
      </c>
      <c r="F372" s="64">
        <v>5.32</v>
      </c>
    </row>
    <row r="373" spans="1:6" x14ac:dyDescent="0.25">
      <c r="A373" s="62" t="s">
        <v>4398</v>
      </c>
      <c r="B373" s="96">
        <v>41846</v>
      </c>
      <c r="C373" s="96" t="str">
        <f t="shared" si="40"/>
        <v>CPOS41846</v>
      </c>
      <c r="D373" s="95" t="s">
        <v>441</v>
      </c>
      <c r="E373" s="63" t="s">
        <v>58</v>
      </c>
      <c r="F373" s="64">
        <v>39.86</v>
      </c>
    </row>
    <row r="374" spans="1:6" x14ac:dyDescent="0.25">
      <c r="A374" s="62" t="s">
        <v>4398</v>
      </c>
      <c r="B374" s="96">
        <v>41847</v>
      </c>
      <c r="C374" s="96" t="str">
        <f t="shared" si="40"/>
        <v>CPOS41847</v>
      </c>
      <c r="D374" s="95" t="s">
        <v>442</v>
      </c>
      <c r="E374" s="63" t="s">
        <v>58</v>
      </c>
      <c r="F374" s="64">
        <v>56.34</v>
      </c>
    </row>
    <row r="375" spans="1:6" x14ac:dyDescent="0.25">
      <c r="D375" s="94" t="s">
        <v>443</v>
      </c>
    </row>
    <row r="376" spans="1:6" x14ac:dyDescent="0.25">
      <c r="A376" s="62" t="s">
        <v>4398</v>
      </c>
      <c r="B376" s="96">
        <v>41902</v>
      </c>
      <c r="C376" s="96" t="str">
        <f t="shared" ref="C376:C385" si="41">A376&amp;B376</f>
        <v>CPOS41902</v>
      </c>
      <c r="D376" s="95" t="s">
        <v>444</v>
      </c>
      <c r="E376" s="63" t="s">
        <v>58</v>
      </c>
      <c r="F376" s="64">
        <v>111.44</v>
      </c>
    </row>
    <row r="377" spans="1:6" x14ac:dyDescent="0.25">
      <c r="A377" s="62" t="s">
        <v>4398</v>
      </c>
      <c r="B377" s="96">
        <v>41903</v>
      </c>
      <c r="C377" s="96" t="str">
        <f t="shared" si="41"/>
        <v>CPOS41903</v>
      </c>
      <c r="D377" s="95" t="s">
        <v>445</v>
      </c>
      <c r="E377" s="63" t="s">
        <v>58</v>
      </c>
      <c r="F377" s="64">
        <v>26.57</v>
      </c>
    </row>
    <row r="378" spans="1:6" x14ac:dyDescent="0.25">
      <c r="A378" s="62" t="s">
        <v>4398</v>
      </c>
      <c r="B378" s="96">
        <v>41904</v>
      </c>
      <c r="C378" s="96" t="str">
        <f t="shared" si="41"/>
        <v>CPOS41904</v>
      </c>
      <c r="D378" s="95" t="s">
        <v>446</v>
      </c>
      <c r="E378" s="63" t="s">
        <v>58</v>
      </c>
      <c r="F378" s="64">
        <v>13.290000000000001</v>
      </c>
    </row>
    <row r="379" spans="1:6" x14ac:dyDescent="0.25">
      <c r="A379" s="62" t="s">
        <v>4398</v>
      </c>
      <c r="B379" s="96">
        <v>41906</v>
      </c>
      <c r="C379" s="96" t="str">
        <f t="shared" si="41"/>
        <v>CPOS41906</v>
      </c>
      <c r="D379" s="95" t="s">
        <v>447</v>
      </c>
      <c r="E379" s="63" t="s">
        <v>58</v>
      </c>
      <c r="F379" s="64">
        <v>6.65</v>
      </c>
    </row>
    <row r="380" spans="1:6" x14ac:dyDescent="0.25">
      <c r="A380" s="62" t="s">
        <v>4398</v>
      </c>
      <c r="B380" s="96">
        <v>41908</v>
      </c>
      <c r="C380" s="96" t="str">
        <f t="shared" si="41"/>
        <v>CPOS41908</v>
      </c>
      <c r="D380" s="95" t="s">
        <v>448</v>
      </c>
      <c r="E380" s="63" t="s">
        <v>81</v>
      </c>
      <c r="F380" s="64">
        <v>26.57</v>
      </c>
    </row>
    <row r="381" spans="1:6" x14ac:dyDescent="0.25">
      <c r="A381" s="62" t="s">
        <v>4398</v>
      </c>
      <c r="B381" s="96">
        <v>41910</v>
      </c>
      <c r="C381" s="96" t="str">
        <f t="shared" si="41"/>
        <v>CPOS41910</v>
      </c>
      <c r="D381" s="95" t="s">
        <v>449</v>
      </c>
      <c r="E381" s="63" t="s">
        <v>58</v>
      </c>
      <c r="F381" s="64">
        <v>5.32</v>
      </c>
    </row>
    <row r="382" spans="1:6" x14ac:dyDescent="0.25">
      <c r="A382" s="62" t="s">
        <v>4398</v>
      </c>
      <c r="B382" s="96">
        <v>41912</v>
      </c>
      <c r="C382" s="96" t="str">
        <f t="shared" si="41"/>
        <v>CPOS41912</v>
      </c>
      <c r="D382" s="95" t="s">
        <v>450</v>
      </c>
      <c r="E382" s="63" t="s">
        <v>58</v>
      </c>
      <c r="F382" s="64">
        <v>10.63</v>
      </c>
    </row>
    <row r="383" spans="1:6" x14ac:dyDescent="0.25">
      <c r="A383" s="62" t="s">
        <v>4398</v>
      </c>
      <c r="B383" s="96">
        <v>41914</v>
      </c>
      <c r="C383" s="96" t="str">
        <f t="shared" si="41"/>
        <v>CPOS41914</v>
      </c>
      <c r="D383" s="95" t="s">
        <v>451</v>
      </c>
      <c r="E383" s="63" t="s">
        <v>58</v>
      </c>
      <c r="F383" s="64">
        <v>2.66</v>
      </c>
    </row>
    <row r="384" spans="1:6" x14ac:dyDescent="0.25">
      <c r="A384" s="62" t="s">
        <v>4398</v>
      </c>
      <c r="B384" s="96">
        <v>41916</v>
      </c>
      <c r="C384" s="96" t="str">
        <f t="shared" si="41"/>
        <v>CPOS41916</v>
      </c>
      <c r="D384" s="95" t="s">
        <v>452</v>
      </c>
      <c r="E384" s="63" t="s">
        <v>58</v>
      </c>
      <c r="F384" s="64">
        <v>3.99</v>
      </c>
    </row>
    <row r="385" spans="1:6" x14ac:dyDescent="0.25">
      <c r="A385" s="62" t="s">
        <v>4398</v>
      </c>
      <c r="B385" s="96">
        <v>41918</v>
      </c>
      <c r="C385" s="96" t="str">
        <f t="shared" si="41"/>
        <v>CPOS41918</v>
      </c>
      <c r="D385" s="95" t="s">
        <v>453</v>
      </c>
      <c r="E385" s="63" t="s">
        <v>58</v>
      </c>
      <c r="F385" s="64">
        <v>6.65</v>
      </c>
    </row>
    <row r="386" spans="1:6" x14ac:dyDescent="0.25">
      <c r="D386" s="94" t="s">
        <v>454</v>
      </c>
    </row>
    <row r="387" spans="1:6" x14ac:dyDescent="0.25">
      <c r="A387" s="62" t="s">
        <v>4398</v>
      </c>
      <c r="B387" s="96">
        <v>42002</v>
      </c>
      <c r="C387" s="96" t="str">
        <f t="shared" ref="C387:C392" si="42">A387&amp;B387</f>
        <v>CPOS42002</v>
      </c>
      <c r="D387" s="95" t="s">
        <v>455</v>
      </c>
      <c r="E387" s="63" t="s">
        <v>58</v>
      </c>
      <c r="F387" s="64">
        <v>18.78</v>
      </c>
    </row>
    <row r="388" spans="1:6" x14ac:dyDescent="0.25">
      <c r="A388" s="62" t="s">
        <v>4398</v>
      </c>
      <c r="B388" s="96">
        <v>42004</v>
      </c>
      <c r="C388" s="96" t="str">
        <f t="shared" si="42"/>
        <v>CPOS42004</v>
      </c>
      <c r="D388" s="95" t="s">
        <v>456</v>
      </c>
      <c r="E388" s="63" t="s">
        <v>58</v>
      </c>
      <c r="F388" s="64">
        <v>2.2000000000000002</v>
      </c>
    </row>
    <row r="389" spans="1:6" x14ac:dyDescent="0.25">
      <c r="A389" s="62" t="s">
        <v>4398</v>
      </c>
      <c r="B389" s="96">
        <v>42006</v>
      </c>
      <c r="C389" s="96" t="str">
        <f t="shared" si="42"/>
        <v>CPOS42006</v>
      </c>
      <c r="D389" s="95" t="s">
        <v>457</v>
      </c>
      <c r="E389" s="63" t="s">
        <v>58</v>
      </c>
      <c r="F389" s="64">
        <v>26.57</v>
      </c>
    </row>
    <row r="390" spans="1:6" x14ac:dyDescent="0.25">
      <c r="A390" s="62" t="s">
        <v>4398</v>
      </c>
      <c r="B390" s="96">
        <v>42008</v>
      </c>
      <c r="C390" s="96" t="str">
        <f t="shared" si="42"/>
        <v>CPOS42008</v>
      </c>
      <c r="D390" s="95" t="s">
        <v>458</v>
      </c>
      <c r="E390" s="63" t="s">
        <v>58</v>
      </c>
      <c r="F390" s="64">
        <v>13.290000000000001</v>
      </c>
    </row>
    <row r="391" spans="1:6" x14ac:dyDescent="0.25">
      <c r="A391" s="62" t="s">
        <v>4398</v>
      </c>
      <c r="B391" s="96">
        <v>42010</v>
      </c>
      <c r="C391" s="96" t="str">
        <f t="shared" si="42"/>
        <v>CPOS42010</v>
      </c>
      <c r="D391" s="95" t="s">
        <v>459</v>
      </c>
      <c r="E391" s="63" t="s">
        <v>58</v>
      </c>
      <c r="F391" s="64">
        <v>10.99</v>
      </c>
    </row>
    <row r="392" spans="1:6" x14ac:dyDescent="0.25">
      <c r="A392" s="62" t="s">
        <v>4398</v>
      </c>
      <c r="B392" s="96">
        <v>42012</v>
      </c>
      <c r="C392" s="96" t="str">
        <f t="shared" si="42"/>
        <v>CPOS42012</v>
      </c>
      <c r="D392" s="95" t="s">
        <v>460</v>
      </c>
      <c r="E392" s="63" t="s">
        <v>58</v>
      </c>
      <c r="F392" s="64">
        <v>37.56</v>
      </c>
    </row>
    <row r="393" spans="1:6" x14ac:dyDescent="0.25">
      <c r="D393" s="94" t="s">
        <v>461</v>
      </c>
    </row>
    <row r="394" spans="1:6" x14ac:dyDescent="0.25">
      <c r="A394" s="62" t="s">
        <v>4398</v>
      </c>
      <c r="B394" s="96">
        <v>42102</v>
      </c>
      <c r="C394" s="96" t="str">
        <f t="shared" ref="C394:C408" si="43">A394&amp;B394</f>
        <v>CPOS42102</v>
      </c>
      <c r="D394" s="95" t="s">
        <v>462</v>
      </c>
      <c r="E394" s="63" t="s">
        <v>463</v>
      </c>
      <c r="F394" s="64">
        <v>0.44</v>
      </c>
    </row>
    <row r="395" spans="1:6" x14ac:dyDescent="0.25">
      <c r="A395" s="62" t="s">
        <v>4398</v>
      </c>
      <c r="B395" s="96">
        <v>42104</v>
      </c>
      <c r="C395" s="96" t="str">
        <f t="shared" si="43"/>
        <v>CPOS42104</v>
      </c>
      <c r="D395" s="95" t="s">
        <v>464</v>
      </c>
      <c r="E395" s="63" t="s">
        <v>58</v>
      </c>
      <c r="F395" s="64">
        <v>39.86</v>
      </c>
    </row>
    <row r="396" spans="1:6" x14ac:dyDescent="0.25">
      <c r="A396" s="62" t="s">
        <v>4398</v>
      </c>
      <c r="B396" s="96">
        <v>42105</v>
      </c>
      <c r="C396" s="96" t="str">
        <f t="shared" si="43"/>
        <v>CPOS42105</v>
      </c>
      <c r="D396" s="95" t="s">
        <v>465</v>
      </c>
      <c r="E396" s="63" t="s">
        <v>58</v>
      </c>
      <c r="F396" s="64">
        <v>53.14</v>
      </c>
    </row>
    <row r="397" spans="1:6" x14ac:dyDescent="0.25">
      <c r="A397" s="62" t="s">
        <v>4398</v>
      </c>
      <c r="B397" s="96">
        <v>42106</v>
      </c>
      <c r="C397" s="96" t="str">
        <f t="shared" si="43"/>
        <v>CPOS42106</v>
      </c>
      <c r="D397" s="95" t="s">
        <v>466</v>
      </c>
      <c r="E397" s="63" t="s">
        <v>110</v>
      </c>
      <c r="F397" s="64">
        <v>10.63</v>
      </c>
    </row>
    <row r="398" spans="1:6" x14ac:dyDescent="0.25">
      <c r="A398" s="62" t="s">
        <v>4398</v>
      </c>
      <c r="B398" s="96">
        <v>42110</v>
      </c>
      <c r="C398" s="96" t="str">
        <f t="shared" si="43"/>
        <v>CPOS42110</v>
      </c>
      <c r="D398" s="95" t="s">
        <v>467</v>
      </c>
      <c r="E398" s="63" t="s">
        <v>81</v>
      </c>
      <c r="F398" s="64">
        <v>26.57</v>
      </c>
    </row>
    <row r="399" spans="1:6" x14ac:dyDescent="0.25">
      <c r="A399" s="62" t="s">
        <v>4398</v>
      </c>
      <c r="B399" s="96">
        <v>42113</v>
      </c>
      <c r="C399" s="96" t="str">
        <f t="shared" si="43"/>
        <v>CPOS42113</v>
      </c>
      <c r="D399" s="95" t="s">
        <v>468</v>
      </c>
      <c r="E399" s="63" t="s">
        <v>58</v>
      </c>
      <c r="F399" s="64">
        <v>133.59</v>
      </c>
    </row>
    <row r="400" spans="1:6" x14ac:dyDescent="0.25">
      <c r="A400" s="62" t="s">
        <v>4398</v>
      </c>
      <c r="B400" s="96">
        <v>42114</v>
      </c>
      <c r="C400" s="96" t="str">
        <f t="shared" si="43"/>
        <v>CPOS42114</v>
      </c>
      <c r="D400" s="95" t="s">
        <v>469</v>
      </c>
      <c r="E400" s="63" t="s">
        <v>58</v>
      </c>
      <c r="F400" s="64">
        <v>133.59</v>
      </c>
    </row>
    <row r="401" spans="1:6" x14ac:dyDescent="0.25">
      <c r="A401" s="62" t="s">
        <v>4398</v>
      </c>
      <c r="B401" s="96">
        <v>42115</v>
      </c>
      <c r="C401" s="96" t="str">
        <f t="shared" si="43"/>
        <v>CPOS42115</v>
      </c>
      <c r="D401" s="95" t="s">
        <v>470</v>
      </c>
      <c r="E401" s="63" t="s">
        <v>58</v>
      </c>
      <c r="F401" s="64">
        <v>84.01</v>
      </c>
    </row>
    <row r="402" spans="1:6" x14ac:dyDescent="0.25">
      <c r="A402" s="62" t="s">
        <v>4398</v>
      </c>
      <c r="B402" s="96">
        <v>42116</v>
      </c>
      <c r="C402" s="96" t="str">
        <f t="shared" si="43"/>
        <v>CPOS42116</v>
      </c>
      <c r="D402" s="95" t="s">
        <v>471</v>
      </c>
      <c r="E402" s="63" t="s">
        <v>81</v>
      </c>
      <c r="F402" s="64">
        <v>53.14</v>
      </c>
    </row>
    <row r="403" spans="1:6" x14ac:dyDescent="0.25">
      <c r="A403" s="62" t="s">
        <v>4398</v>
      </c>
      <c r="B403" s="96">
        <v>42120</v>
      </c>
      <c r="C403" s="96" t="str">
        <f t="shared" si="43"/>
        <v>CPOS42120</v>
      </c>
      <c r="D403" s="95" t="s">
        <v>472</v>
      </c>
      <c r="E403" s="63" t="s">
        <v>58</v>
      </c>
      <c r="F403" s="64">
        <v>9.4</v>
      </c>
    </row>
    <row r="404" spans="1:6" x14ac:dyDescent="0.25">
      <c r="A404" s="62" t="s">
        <v>4398</v>
      </c>
      <c r="B404" s="96">
        <v>42121</v>
      </c>
      <c r="C404" s="96" t="str">
        <f t="shared" si="43"/>
        <v>CPOS42121</v>
      </c>
      <c r="D404" s="95" t="s">
        <v>473</v>
      </c>
      <c r="E404" s="63" t="s">
        <v>58</v>
      </c>
      <c r="F404" s="64">
        <v>53.14</v>
      </c>
    </row>
    <row r="405" spans="1:6" x14ac:dyDescent="0.25">
      <c r="A405" s="62" t="s">
        <v>4398</v>
      </c>
      <c r="B405" s="96">
        <v>42124</v>
      </c>
      <c r="C405" s="96" t="str">
        <f t="shared" si="43"/>
        <v>CPOS42124</v>
      </c>
      <c r="D405" s="95" t="s">
        <v>474</v>
      </c>
      <c r="E405" s="63" t="s">
        <v>58</v>
      </c>
      <c r="F405" s="64">
        <v>12.46</v>
      </c>
    </row>
    <row r="406" spans="1:6" x14ac:dyDescent="0.25">
      <c r="A406" s="62" t="s">
        <v>4398</v>
      </c>
      <c r="B406" s="96">
        <v>42126</v>
      </c>
      <c r="C406" s="96" t="str">
        <f t="shared" si="43"/>
        <v>CPOS42126</v>
      </c>
      <c r="D406" s="95" t="s">
        <v>475</v>
      </c>
      <c r="E406" s="63" t="s">
        <v>58</v>
      </c>
      <c r="F406" s="64">
        <v>2.2000000000000002</v>
      </c>
    </row>
    <row r="407" spans="1:6" x14ac:dyDescent="0.25">
      <c r="A407" s="62" t="s">
        <v>4398</v>
      </c>
      <c r="B407" s="96">
        <v>42128</v>
      </c>
      <c r="C407" s="96" t="str">
        <f t="shared" si="43"/>
        <v>CPOS42128</v>
      </c>
      <c r="D407" s="95" t="s">
        <v>476</v>
      </c>
      <c r="E407" s="63" t="s">
        <v>58</v>
      </c>
      <c r="F407" s="64">
        <v>2.2000000000000002</v>
      </c>
    </row>
    <row r="408" spans="1:6" x14ac:dyDescent="0.25">
      <c r="A408" s="62" t="s">
        <v>4398</v>
      </c>
      <c r="B408" s="96">
        <v>42130</v>
      </c>
      <c r="C408" s="96" t="str">
        <f t="shared" si="43"/>
        <v>CPOS42130</v>
      </c>
      <c r="D408" s="95" t="s">
        <v>477</v>
      </c>
      <c r="E408" s="63" t="s">
        <v>58</v>
      </c>
      <c r="F408" s="64">
        <v>17.579999999999998</v>
      </c>
    </row>
    <row r="409" spans="1:6" x14ac:dyDescent="0.25">
      <c r="D409" s="94" t="s">
        <v>478</v>
      </c>
    </row>
    <row r="410" spans="1:6" x14ac:dyDescent="0.25">
      <c r="A410" s="62" t="s">
        <v>4398</v>
      </c>
      <c r="B410" s="96">
        <v>42202</v>
      </c>
      <c r="C410" s="96" t="str">
        <f t="shared" ref="C410:C418" si="44">A410&amp;B410</f>
        <v>CPOS42202</v>
      </c>
      <c r="D410" s="95" t="s">
        <v>479</v>
      </c>
      <c r="E410" s="63" t="s">
        <v>58</v>
      </c>
      <c r="F410" s="64">
        <v>2.75</v>
      </c>
    </row>
    <row r="411" spans="1:6" x14ac:dyDescent="0.25">
      <c r="A411" s="62" t="s">
        <v>4398</v>
      </c>
      <c r="B411" s="96">
        <v>42204</v>
      </c>
      <c r="C411" s="96" t="str">
        <f t="shared" si="44"/>
        <v>CPOS42204</v>
      </c>
      <c r="D411" s="95" t="s">
        <v>480</v>
      </c>
      <c r="E411" s="63" t="s">
        <v>58</v>
      </c>
      <c r="F411" s="64">
        <v>186.56</v>
      </c>
    </row>
    <row r="412" spans="1:6" x14ac:dyDescent="0.25">
      <c r="A412" s="62" t="s">
        <v>4398</v>
      </c>
      <c r="B412" s="96">
        <v>42205</v>
      </c>
      <c r="C412" s="96" t="str">
        <f t="shared" si="44"/>
        <v>CPOS42205</v>
      </c>
      <c r="D412" s="95" t="s">
        <v>481</v>
      </c>
      <c r="E412" s="63" t="s">
        <v>58</v>
      </c>
      <c r="F412" s="64">
        <v>17.27</v>
      </c>
    </row>
    <row r="413" spans="1:6" ht="30" x14ac:dyDescent="0.25">
      <c r="A413" s="62" t="s">
        <v>4398</v>
      </c>
      <c r="B413" s="96">
        <v>42206</v>
      </c>
      <c r="C413" s="96" t="str">
        <f t="shared" si="44"/>
        <v>CPOS42206</v>
      </c>
      <c r="D413" s="95" t="s">
        <v>482</v>
      </c>
      <c r="E413" s="63" t="s">
        <v>58</v>
      </c>
      <c r="F413" s="64">
        <v>329.49</v>
      </c>
    </row>
    <row r="414" spans="1:6" x14ac:dyDescent="0.25">
      <c r="A414" s="62" t="s">
        <v>4398</v>
      </c>
      <c r="B414" s="96">
        <v>42210</v>
      </c>
      <c r="C414" s="96" t="str">
        <f t="shared" si="44"/>
        <v>CPOS42210</v>
      </c>
      <c r="D414" s="95" t="s">
        <v>483</v>
      </c>
      <c r="E414" s="63" t="s">
        <v>110</v>
      </c>
      <c r="F414" s="64">
        <v>13.290000000000001</v>
      </c>
    </row>
    <row r="415" spans="1:6" x14ac:dyDescent="0.25">
      <c r="A415" s="62" t="s">
        <v>4398</v>
      </c>
      <c r="B415" s="96">
        <v>42211</v>
      </c>
      <c r="C415" s="96" t="str">
        <f t="shared" si="44"/>
        <v>CPOS42211</v>
      </c>
      <c r="D415" s="95" t="s">
        <v>484</v>
      </c>
      <c r="E415" s="63" t="s">
        <v>110</v>
      </c>
      <c r="F415" s="64">
        <v>6.65</v>
      </c>
    </row>
    <row r="416" spans="1:6" x14ac:dyDescent="0.25">
      <c r="A416" s="62" t="s">
        <v>4398</v>
      </c>
      <c r="B416" s="96">
        <v>42212</v>
      </c>
      <c r="C416" s="96" t="str">
        <f t="shared" si="44"/>
        <v>CPOS42212</v>
      </c>
      <c r="D416" s="95" t="s">
        <v>485</v>
      </c>
      <c r="E416" s="63" t="s">
        <v>110</v>
      </c>
      <c r="F416" s="64">
        <v>26.57</v>
      </c>
    </row>
    <row r="417" spans="1:6" x14ac:dyDescent="0.25">
      <c r="A417" s="62" t="s">
        <v>4398</v>
      </c>
      <c r="B417" s="96">
        <v>42213</v>
      </c>
      <c r="C417" s="96" t="str">
        <f t="shared" si="44"/>
        <v>CPOS42213</v>
      </c>
      <c r="D417" s="95" t="s">
        <v>486</v>
      </c>
      <c r="E417" s="63" t="s">
        <v>110</v>
      </c>
      <c r="F417" s="64">
        <v>13.290000000000001</v>
      </c>
    </row>
    <row r="418" spans="1:6" x14ac:dyDescent="0.25">
      <c r="A418" s="62" t="s">
        <v>4398</v>
      </c>
      <c r="B418" s="96">
        <v>42220</v>
      </c>
      <c r="C418" s="96" t="str">
        <f t="shared" si="44"/>
        <v>CPOS42220</v>
      </c>
      <c r="D418" s="95" t="s">
        <v>487</v>
      </c>
      <c r="E418" s="63" t="s">
        <v>110</v>
      </c>
      <c r="F418" s="64">
        <v>5.32</v>
      </c>
    </row>
    <row r="419" spans="1:6" x14ac:dyDescent="0.25">
      <c r="D419" s="94" t="s">
        <v>488</v>
      </c>
    </row>
    <row r="420" spans="1:6" x14ac:dyDescent="0.25">
      <c r="A420" s="62" t="s">
        <v>4398</v>
      </c>
      <c r="B420" s="96">
        <v>43002</v>
      </c>
      <c r="C420" s="96" t="str">
        <f t="shared" ref="C420:C424" si="45">A420&amp;B420</f>
        <v>CPOS43002</v>
      </c>
      <c r="D420" s="95" t="s">
        <v>489</v>
      </c>
      <c r="E420" s="63" t="s">
        <v>110</v>
      </c>
      <c r="F420" s="64">
        <v>2.61</v>
      </c>
    </row>
    <row r="421" spans="1:6" x14ac:dyDescent="0.25">
      <c r="A421" s="62" t="s">
        <v>4398</v>
      </c>
      <c r="B421" s="96">
        <v>43004</v>
      </c>
      <c r="C421" s="96" t="str">
        <f t="shared" si="45"/>
        <v>CPOS43004</v>
      </c>
      <c r="D421" s="95" t="s">
        <v>490</v>
      </c>
      <c r="E421" s="63" t="s">
        <v>110</v>
      </c>
      <c r="F421" s="64">
        <v>1.7</v>
      </c>
    </row>
    <row r="422" spans="1:6" x14ac:dyDescent="0.25">
      <c r="A422" s="62" t="s">
        <v>4398</v>
      </c>
      <c r="B422" s="96">
        <v>43006</v>
      </c>
      <c r="C422" s="96" t="str">
        <f t="shared" si="45"/>
        <v>CPOS43006</v>
      </c>
      <c r="D422" s="95" t="s">
        <v>491</v>
      </c>
      <c r="E422" s="63" t="s">
        <v>110</v>
      </c>
      <c r="F422" s="64">
        <v>4.54</v>
      </c>
    </row>
    <row r="423" spans="1:6" x14ac:dyDescent="0.25">
      <c r="A423" s="62" t="s">
        <v>4398</v>
      </c>
      <c r="B423" s="96">
        <v>43008</v>
      </c>
      <c r="C423" s="96" t="str">
        <f t="shared" si="45"/>
        <v>CPOS43008</v>
      </c>
      <c r="D423" s="95" t="s">
        <v>492</v>
      </c>
      <c r="E423" s="63" t="s">
        <v>58</v>
      </c>
      <c r="F423" s="64">
        <v>50.730000000000004</v>
      </c>
    </row>
    <row r="424" spans="1:6" x14ac:dyDescent="0.25">
      <c r="A424" s="62" t="s">
        <v>4398</v>
      </c>
      <c r="B424" s="96">
        <v>43010</v>
      </c>
      <c r="C424" s="96" t="str">
        <f t="shared" si="45"/>
        <v>CPOS43010</v>
      </c>
      <c r="D424" s="95" t="s">
        <v>493</v>
      </c>
      <c r="E424" s="63" t="s">
        <v>58</v>
      </c>
      <c r="F424" s="64">
        <v>83.7</v>
      </c>
    </row>
    <row r="425" spans="1:6" x14ac:dyDescent="0.25">
      <c r="D425" s="94" t="s">
        <v>494</v>
      </c>
    </row>
    <row r="426" spans="1:6" x14ac:dyDescent="0.25">
      <c r="A426" s="62" t="s">
        <v>4398</v>
      </c>
      <c r="B426" s="96">
        <v>43101</v>
      </c>
      <c r="C426" s="96" t="str">
        <f>A426&amp;B426</f>
        <v>CPOS43101</v>
      </c>
      <c r="D426" s="95" t="s">
        <v>495</v>
      </c>
      <c r="E426" s="63" t="s">
        <v>58</v>
      </c>
      <c r="F426" s="64">
        <v>7.78</v>
      </c>
    </row>
    <row r="427" spans="1:6" x14ac:dyDescent="0.25">
      <c r="D427" s="94" t="s">
        <v>496</v>
      </c>
    </row>
    <row r="428" spans="1:6" x14ac:dyDescent="0.25">
      <c r="A428" s="62" t="s">
        <v>4398</v>
      </c>
      <c r="B428" s="96">
        <v>43505</v>
      </c>
      <c r="C428" s="96" t="str">
        <f>A428&amp;B428</f>
        <v>CPOS43505</v>
      </c>
      <c r="D428" s="95" t="s">
        <v>497</v>
      </c>
      <c r="E428" s="63" t="s">
        <v>58</v>
      </c>
      <c r="F428" s="64">
        <v>12.33</v>
      </c>
    </row>
    <row r="429" spans="1:6" x14ac:dyDescent="0.25">
      <c r="D429" s="94" t="s">
        <v>498</v>
      </c>
    </row>
    <row r="430" spans="1:6" ht="30" x14ac:dyDescent="0.25">
      <c r="A430" s="62" t="s">
        <v>4398</v>
      </c>
      <c r="B430" s="96">
        <v>44001</v>
      </c>
      <c r="C430" s="96" t="str">
        <f t="shared" ref="C430:C434" si="46">A430&amp;B430</f>
        <v>CPOS44001</v>
      </c>
      <c r="D430" s="95" t="s">
        <v>499</v>
      </c>
      <c r="E430" s="63" t="s">
        <v>110</v>
      </c>
      <c r="F430" s="64">
        <v>4.9400000000000004</v>
      </c>
    </row>
    <row r="431" spans="1:6" x14ac:dyDescent="0.25">
      <c r="A431" s="62" t="s">
        <v>4398</v>
      </c>
      <c r="B431" s="96">
        <v>44002</v>
      </c>
      <c r="C431" s="96" t="str">
        <f t="shared" si="46"/>
        <v>CPOS44002</v>
      </c>
      <c r="D431" s="95" t="s">
        <v>500</v>
      </c>
      <c r="E431" s="63" t="s">
        <v>110</v>
      </c>
      <c r="F431" s="64">
        <v>2.27</v>
      </c>
    </row>
    <row r="432" spans="1:6" x14ac:dyDescent="0.25">
      <c r="A432" s="62" t="s">
        <v>4398</v>
      </c>
      <c r="B432" s="96">
        <v>44003</v>
      </c>
      <c r="C432" s="96" t="str">
        <f t="shared" si="46"/>
        <v>CPOS44003</v>
      </c>
      <c r="D432" s="95" t="s">
        <v>501</v>
      </c>
      <c r="E432" s="63" t="s">
        <v>110</v>
      </c>
      <c r="F432" s="64">
        <v>4.54</v>
      </c>
    </row>
    <row r="433" spans="1:6" ht="30" x14ac:dyDescent="0.25">
      <c r="A433" s="62" t="s">
        <v>4398</v>
      </c>
      <c r="B433" s="96">
        <v>44005</v>
      </c>
      <c r="C433" s="96" t="str">
        <f t="shared" si="46"/>
        <v>CPOS44005</v>
      </c>
      <c r="D433" s="95" t="s">
        <v>502</v>
      </c>
      <c r="E433" s="63" t="s">
        <v>81</v>
      </c>
      <c r="F433" s="64">
        <v>9.9600000000000009</v>
      </c>
    </row>
    <row r="434" spans="1:6" ht="30" x14ac:dyDescent="0.25">
      <c r="A434" s="62" t="s">
        <v>4398</v>
      </c>
      <c r="B434" s="96">
        <v>44007</v>
      </c>
      <c r="C434" s="96" t="str">
        <f t="shared" si="46"/>
        <v>CPOS44007</v>
      </c>
      <c r="D434" s="95" t="s">
        <v>503</v>
      </c>
      <c r="E434" s="63" t="s">
        <v>81</v>
      </c>
      <c r="F434" s="64">
        <v>6.8</v>
      </c>
    </row>
    <row r="435" spans="1:6" x14ac:dyDescent="0.25">
      <c r="D435" s="94" t="s">
        <v>504</v>
      </c>
    </row>
    <row r="436" spans="1:6" x14ac:dyDescent="0.25">
      <c r="D436" s="94" t="s">
        <v>505</v>
      </c>
    </row>
    <row r="437" spans="1:6" ht="30" x14ac:dyDescent="0.25">
      <c r="A437" s="62" t="s">
        <v>4398</v>
      </c>
      <c r="B437" s="96">
        <v>50406</v>
      </c>
      <c r="C437" s="96" t="str">
        <f>A437&amp;B437</f>
        <v>CPOS50406</v>
      </c>
      <c r="D437" s="95" t="s">
        <v>506</v>
      </c>
      <c r="E437" s="63" t="s">
        <v>119</v>
      </c>
      <c r="F437" s="64">
        <v>72.400000000000006</v>
      </c>
    </row>
    <row r="438" spans="1:6" x14ac:dyDescent="0.25">
      <c r="D438" s="94" t="s">
        <v>507</v>
      </c>
    </row>
    <row r="439" spans="1:6" ht="30" x14ac:dyDescent="0.25">
      <c r="A439" s="62" t="s">
        <v>4398</v>
      </c>
      <c r="B439" s="96">
        <v>50704</v>
      </c>
      <c r="C439" s="96" t="str">
        <f t="shared" ref="C439:C442" si="47">A439&amp;B439</f>
        <v>CPOS50704</v>
      </c>
      <c r="D439" s="95" t="s">
        <v>508</v>
      </c>
      <c r="E439" s="63" t="s">
        <v>119</v>
      </c>
      <c r="F439" s="64">
        <v>81.8</v>
      </c>
    </row>
    <row r="440" spans="1:6" ht="30" x14ac:dyDescent="0.25">
      <c r="A440" s="62" t="s">
        <v>4398</v>
      </c>
      <c r="B440" s="96">
        <v>50705</v>
      </c>
      <c r="C440" s="96" t="str">
        <f t="shared" si="47"/>
        <v>CPOS50705</v>
      </c>
      <c r="D440" s="95" t="s">
        <v>509</v>
      </c>
      <c r="E440" s="63" t="s">
        <v>119</v>
      </c>
      <c r="F440" s="64">
        <v>81.8</v>
      </c>
    </row>
    <row r="441" spans="1:6" ht="30" x14ac:dyDescent="0.25">
      <c r="A441" s="62" t="s">
        <v>4398</v>
      </c>
      <c r="B441" s="96">
        <v>50706</v>
      </c>
      <c r="C441" s="96" t="str">
        <f t="shared" si="47"/>
        <v>CPOS50706</v>
      </c>
      <c r="D441" s="95" t="s">
        <v>510</v>
      </c>
      <c r="E441" s="63" t="s">
        <v>119</v>
      </c>
      <c r="F441" s="64">
        <v>100.55</v>
      </c>
    </row>
    <row r="442" spans="1:6" x14ac:dyDescent="0.25">
      <c r="A442" s="62" t="s">
        <v>4398</v>
      </c>
      <c r="B442" s="96">
        <v>50707</v>
      </c>
      <c r="C442" s="96" t="str">
        <f t="shared" si="47"/>
        <v>CPOS50707</v>
      </c>
      <c r="D442" s="95" t="s">
        <v>511</v>
      </c>
      <c r="E442" s="63" t="s">
        <v>119</v>
      </c>
      <c r="F442" s="64">
        <v>100.55</v>
      </c>
    </row>
    <row r="443" spans="1:6" x14ac:dyDescent="0.25">
      <c r="D443" s="94" t="s">
        <v>512</v>
      </c>
    </row>
    <row r="444" spans="1:6" x14ac:dyDescent="0.25">
      <c r="A444" s="62" t="s">
        <v>4398</v>
      </c>
      <c r="B444" s="96">
        <v>50806</v>
      </c>
      <c r="C444" s="96" t="str">
        <f t="shared" ref="C444:C449" si="48">A444&amp;B444</f>
        <v>CPOS50806</v>
      </c>
      <c r="D444" s="95" t="s">
        <v>513</v>
      </c>
      <c r="E444" s="63" t="s">
        <v>119</v>
      </c>
      <c r="F444" s="64">
        <v>8.86</v>
      </c>
    </row>
    <row r="445" spans="1:6" x14ac:dyDescent="0.25">
      <c r="A445" s="62" t="s">
        <v>4398</v>
      </c>
      <c r="B445" s="96">
        <v>50808</v>
      </c>
      <c r="C445" s="96" t="str">
        <f t="shared" si="48"/>
        <v>CPOS50808</v>
      </c>
      <c r="D445" s="95" t="s">
        <v>514</v>
      </c>
      <c r="E445" s="63" t="s">
        <v>119</v>
      </c>
      <c r="F445" s="64">
        <v>16.61</v>
      </c>
    </row>
    <row r="446" spans="1:6" x14ac:dyDescent="0.25">
      <c r="A446" s="62" t="s">
        <v>4398</v>
      </c>
      <c r="B446" s="96">
        <v>50810</v>
      </c>
      <c r="C446" s="96" t="str">
        <f t="shared" si="48"/>
        <v>CPOS50810</v>
      </c>
      <c r="D446" s="95" t="s">
        <v>515</v>
      </c>
      <c r="E446" s="63" t="s">
        <v>119</v>
      </c>
      <c r="F446" s="64">
        <v>20.62</v>
      </c>
    </row>
    <row r="447" spans="1:6" x14ac:dyDescent="0.25">
      <c r="A447" s="62" t="s">
        <v>4398</v>
      </c>
      <c r="B447" s="96">
        <v>50812</v>
      </c>
      <c r="C447" s="96" t="str">
        <f t="shared" si="48"/>
        <v>CPOS50812</v>
      </c>
      <c r="D447" s="95" t="s">
        <v>516</v>
      </c>
      <c r="E447" s="63" t="s">
        <v>119</v>
      </c>
      <c r="F447" s="64">
        <v>23.45</v>
      </c>
    </row>
    <row r="448" spans="1:6" x14ac:dyDescent="0.25">
      <c r="A448" s="62" t="s">
        <v>4398</v>
      </c>
      <c r="B448" s="96">
        <v>50814</v>
      </c>
      <c r="C448" s="96" t="str">
        <f t="shared" si="48"/>
        <v>CPOS50814</v>
      </c>
      <c r="D448" s="95" t="s">
        <v>517</v>
      </c>
      <c r="E448" s="63" t="s">
        <v>518</v>
      </c>
      <c r="F448" s="64">
        <v>1.17</v>
      </c>
    </row>
    <row r="449" spans="1:6" ht="30" x14ac:dyDescent="0.25">
      <c r="A449" s="62" t="s">
        <v>4398</v>
      </c>
      <c r="B449" s="96">
        <v>50822</v>
      </c>
      <c r="C449" s="96" t="str">
        <f t="shared" si="48"/>
        <v>CPOS50822</v>
      </c>
      <c r="D449" s="95" t="s">
        <v>519</v>
      </c>
      <c r="E449" s="63" t="s">
        <v>119</v>
      </c>
      <c r="F449" s="64">
        <v>6.88</v>
      </c>
    </row>
    <row r="450" spans="1:6" x14ac:dyDescent="0.25">
      <c r="D450" s="94" t="s">
        <v>520</v>
      </c>
    </row>
    <row r="451" spans="1:6" x14ac:dyDescent="0.25">
      <c r="A451" s="62" t="s">
        <v>4398</v>
      </c>
      <c r="B451" s="96">
        <v>51002</v>
      </c>
      <c r="C451" s="96" t="str">
        <f t="shared" ref="C451:C465" si="49">A451&amp;B451</f>
        <v>CPOS51002</v>
      </c>
      <c r="D451" s="95" t="s">
        <v>521</v>
      </c>
      <c r="E451" s="63" t="s">
        <v>119</v>
      </c>
      <c r="F451" s="64">
        <v>3.89</v>
      </c>
    </row>
    <row r="452" spans="1:6" x14ac:dyDescent="0.25">
      <c r="A452" s="62" t="s">
        <v>4398</v>
      </c>
      <c r="B452" s="96">
        <v>51003</v>
      </c>
      <c r="C452" s="96" t="str">
        <f t="shared" si="49"/>
        <v>CPOS51003</v>
      </c>
      <c r="D452" s="95" t="s">
        <v>522</v>
      </c>
      <c r="E452" s="63" t="s">
        <v>119</v>
      </c>
      <c r="F452" s="64">
        <v>6.68</v>
      </c>
    </row>
    <row r="453" spans="1:6" ht="30" x14ac:dyDescent="0.25">
      <c r="A453" s="62" t="s">
        <v>4398</v>
      </c>
      <c r="B453" s="96">
        <v>51004</v>
      </c>
      <c r="C453" s="96" t="str">
        <f t="shared" si="49"/>
        <v>CPOS51004</v>
      </c>
      <c r="D453" s="95" t="s">
        <v>523</v>
      </c>
      <c r="E453" s="63" t="s">
        <v>119</v>
      </c>
      <c r="F453" s="64">
        <v>5.8</v>
      </c>
    </row>
    <row r="454" spans="1:6" ht="30" x14ac:dyDescent="0.25">
      <c r="A454" s="62" t="s">
        <v>4398</v>
      </c>
      <c r="B454" s="96">
        <v>51005</v>
      </c>
      <c r="C454" s="96" t="str">
        <f t="shared" si="49"/>
        <v>CPOS51005</v>
      </c>
      <c r="D454" s="95" t="s">
        <v>524</v>
      </c>
      <c r="E454" s="63" t="s">
        <v>119</v>
      </c>
      <c r="F454" s="64">
        <v>9.2200000000000006</v>
      </c>
    </row>
    <row r="455" spans="1:6" ht="30" x14ac:dyDescent="0.25">
      <c r="A455" s="62" t="s">
        <v>4398</v>
      </c>
      <c r="B455" s="96">
        <v>51006</v>
      </c>
      <c r="C455" s="96" t="str">
        <f t="shared" si="49"/>
        <v>CPOS51006</v>
      </c>
      <c r="D455" s="95" t="s">
        <v>525</v>
      </c>
      <c r="E455" s="63" t="s">
        <v>119</v>
      </c>
      <c r="F455" s="64">
        <v>6.41</v>
      </c>
    </row>
    <row r="456" spans="1:6" ht="30" x14ac:dyDescent="0.25">
      <c r="A456" s="62" t="s">
        <v>4398</v>
      </c>
      <c r="B456" s="96">
        <v>51007</v>
      </c>
      <c r="C456" s="96" t="str">
        <f t="shared" si="49"/>
        <v>CPOS51007</v>
      </c>
      <c r="D456" s="95" t="s">
        <v>526</v>
      </c>
      <c r="E456" s="63" t="s">
        <v>119</v>
      </c>
      <c r="F456" s="64">
        <v>9.6199999999999992</v>
      </c>
    </row>
    <row r="457" spans="1:6" ht="30" x14ac:dyDescent="0.25">
      <c r="A457" s="62" t="s">
        <v>4398</v>
      </c>
      <c r="B457" s="96">
        <v>51008</v>
      </c>
      <c r="C457" s="96" t="str">
        <f t="shared" si="49"/>
        <v>CPOS51008</v>
      </c>
      <c r="D457" s="95" t="s">
        <v>527</v>
      </c>
      <c r="E457" s="63" t="s">
        <v>119</v>
      </c>
      <c r="F457" s="64">
        <v>8.57</v>
      </c>
    </row>
    <row r="458" spans="1:6" ht="30" x14ac:dyDescent="0.25">
      <c r="A458" s="62" t="s">
        <v>4398</v>
      </c>
      <c r="B458" s="96">
        <v>51009</v>
      </c>
      <c r="C458" s="96" t="str">
        <f t="shared" si="49"/>
        <v>CPOS51009</v>
      </c>
      <c r="D458" s="95" t="s">
        <v>528</v>
      </c>
      <c r="E458" s="63" t="s">
        <v>119</v>
      </c>
      <c r="F458" s="64">
        <v>12.3</v>
      </c>
    </row>
    <row r="459" spans="1:6" ht="30" x14ac:dyDescent="0.25">
      <c r="A459" s="62" t="s">
        <v>4398</v>
      </c>
      <c r="B459" s="96">
        <v>51010</v>
      </c>
      <c r="C459" s="96" t="str">
        <f t="shared" si="49"/>
        <v>CPOS51010</v>
      </c>
      <c r="D459" s="95" t="s">
        <v>529</v>
      </c>
      <c r="E459" s="63" t="s">
        <v>119</v>
      </c>
      <c r="F459" s="64">
        <v>12.84</v>
      </c>
    </row>
    <row r="460" spans="1:6" ht="30" x14ac:dyDescent="0.25">
      <c r="A460" s="62" t="s">
        <v>4398</v>
      </c>
      <c r="B460" s="96">
        <v>51011</v>
      </c>
      <c r="C460" s="96" t="str">
        <f t="shared" si="49"/>
        <v>CPOS51011</v>
      </c>
      <c r="D460" s="95" t="s">
        <v>530</v>
      </c>
      <c r="E460" s="63" t="s">
        <v>119</v>
      </c>
      <c r="F460" s="64">
        <v>18.440000000000001</v>
      </c>
    </row>
    <row r="461" spans="1:6" ht="30" x14ac:dyDescent="0.25">
      <c r="A461" s="62" t="s">
        <v>4398</v>
      </c>
      <c r="B461" s="96">
        <v>51012</v>
      </c>
      <c r="C461" s="96" t="str">
        <f t="shared" si="49"/>
        <v>CPOS51012</v>
      </c>
      <c r="D461" s="95" t="s">
        <v>531</v>
      </c>
      <c r="E461" s="63" t="s">
        <v>119</v>
      </c>
      <c r="F461" s="64">
        <v>17.100000000000001</v>
      </c>
    </row>
    <row r="462" spans="1:6" ht="30" x14ac:dyDescent="0.25">
      <c r="A462" s="62" t="s">
        <v>4398</v>
      </c>
      <c r="B462" s="96">
        <v>51013</v>
      </c>
      <c r="C462" s="96" t="str">
        <f t="shared" si="49"/>
        <v>CPOS51013</v>
      </c>
      <c r="D462" s="95" t="s">
        <v>532</v>
      </c>
      <c r="E462" s="63" t="s">
        <v>119</v>
      </c>
      <c r="F462" s="64">
        <v>24.580000000000002</v>
      </c>
    </row>
    <row r="463" spans="1:6" ht="30" x14ac:dyDescent="0.25">
      <c r="A463" s="62" t="s">
        <v>4398</v>
      </c>
      <c r="B463" s="96">
        <v>51014</v>
      </c>
      <c r="C463" s="96" t="str">
        <f t="shared" si="49"/>
        <v>CPOS51014</v>
      </c>
      <c r="D463" s="95" t="s">
        <v>533</v>
      </c>
      <c r="E463" s="63" t="s">
        <v>518</v>
      </c>
      <c r="F463" s="64">
        <v>0.83000000000000007</v>
      </c>
    </row>
    <row r="464" spans="1:6" x14ac:dyDescent="0.25">
      <c r="A464" s="62" t="s">
        <v>4398</v>
      </c>
      <c r="B464" s="96">
        <v>51015</v>
      </c>
      <c r="C464" s="96" t="str">
        <f t="shared" si="49"/>
        <v>CPOS51015</v>
      </c>
      <c r="D464" s="95" t="s">
        <v>534</v>
      </c>
      <c r="E464" s="63" t="s">
        <v>518</v>
      </c>
      <c r="F464" s="64">
        <v>1.19</v>
      </c>
    </row>
    <row r="465" spans="1:6" x14ac:dyDescent="0.25">
      <c r="A465" s="62" t="s">
        <v>4398</v>
      </c>
      <c r="B465" s="96">
        <v>51021</v>
      </c>
      <c r="C465" s="96" t="str">
        <f t="shared" si="49"/>
        <v>CPOS51021</v>
      </c>
      <c r="D465" s="95" t="s">
        <v>535</v>
      </c>
      <c r="E465" s="63" t="s">
        <v>119</v>
      </c>
      <c r="F465" s="64">
        <v>1.96</v>
      </c>
    </row>
    <row r="466" spans="1:6" x14ac:dyDescent="0.25">
      <c r="D466" s="94" t="s">
        <v>536</v>
      </c>
    </row>
    <row r="467" spans="1:6" x14ac:dyDescent="0.25">
      <c r="D467" s="94" t="s">
        <v>537</v>
      </c>
    </row>
    <row r="468" spans="1:6" x14ac:dyDescent="0.25">
      <c r="A468" s="62" t="s">
        <v>4398</v>
      </c>
      <c r="B468" s="96">
        <v>60102</v>
      </c>
      <c r="C468" s="96" t="str">
        <f t="shared" ref="C468:C469" si="50">A468&amp;B468</f>
        <v>CPOS60102</v>
      </c>
      <c r="D468" s="95" t="s">
        <v>538</v>
      </c>
      <c r="E468" s="63" t="s">
        <v>119</v>
      </c>
      <c r="F468" s="64">
        <v>28.35</v>
      </c>
    </row>
    <row r="469" spans="1:6" x14ac:dyDescent="0.25">
      <c r="A469" s="62" t="s">
        <v>4398</v>
      </c>
      <c r="B469" s="96">
        <v>60104</v>
      </c>
      <c r="C469" s="96" t="str">
        <f t="shared" si="50"/>
        <v>CPOS60104</v>
      </c>
      <c r="D469" s="95" t="s">
        <v>539</v>
      </c>
      <c r="E469" s="63" t="s">
        <v>119</v>
      </c>
      <c r="F469" s="64">
        <v>35.380000000000003</v>
      </c>
    </row>
    <row r="470" spans="1:6" x14ac:dyDescent="0.25">
      <c r="D470" s="94" t="s">
        <v>540</v>
      </c>
    </row>
    <row r="471" spans="1:6" x14ac:dyDescent="0.25">
      <c r="A471" s="62" t="s">
        <v>4398</v>
      </c>
      <c r="B471" s="96">
        <v>60202</v>
      </c>
      <c r="C471" s="96" t="str">
        <f t="shared" ref="C471:C472" si="51">A471&amp;B471</f>
        <v>CPOS60202</v>
      </c>
      <c r="D471" s="95" t="s">
        <v>541</v>
      </c>
      <c r="E471" s="63" t="s">
        <v>119</v>
      </c>
      <c r="F471" s="64">
        <v>34.020000000000003</v>
      </c>
    </row>
    <row r="472" spans="1:6" x14ac:dyDescent="0.25">
      <c r="A472" s="62" t="s">
        <v>4398</v>
      </c>
      <c r="B472" s="96">
        <v>60204</v>
      </c>
      <c r="C472" s="96" t="str">
        <f t="shared" si="51"/>
        <v>CPOS60204</v>
      </c>
      <c r="D472" s="95" t="s">
        <v>542</v>
      </c>
      <c r="E472" s="63" t="s">
        <v>119</v>
      </c>
      <c r="F472" s="64">
        <v>44</v>
      </c>
    </row>
    <row r="473" spans="1:6" x14ac:dyDescent="0.25">
      <c r="D473" s="94" t="s">
        <v>543</v>
      </c>
    </row>
    <row r="474" spans="1:6" x14ac:dyDescent="0.25">
      <c r="A474" s="62" t="s">
        <v>4398</v>
      </c>
      <c r="B474" s="96">
        <v>61102</v>
      </c>
      <c r="C474" s="96" t="str">
        <f t="shared" ref="C474:C476" si="52">A474&amp;B474</f>
        <v>CPOS61102</v>
      </c>
      <c r="D474" s="95" t="s">
        <v>544</v>
      </c>
      <c r="E474" s="63" t="s">
        <v>119</v>
      </c>
      <c r="F474" s="64">
        <v>4.88</v>
      </c>
    </row>
    <row r="475" spans="1:6" x14ac:dyDescent="0.25">
      <c r="A475" s="62" t="s">
        <v>4398</v>
      </c>
      <c r="B475" s="96">
        <v>61104</v>
      </c>
      <c r="C475" s="96" t="str">
        <f t="shared" si="52"/>
        <v>CPOS61104</v>
      </c>
      <c r="D475" s="95" t="s">
        <v>545</v>
      </c>
      <c r="E475" s="63" t="s">
        <v>119</v>
      </c>
      <c r="F475" s="64">
        <v>10.57</v>
      </c>
    </row>
    <row r="476" spans="1:6" x14ac:dyDescent="0.25">
      <c r="A476" s="62" t="s">
        <v>4398</v>
      </c>
      <c r="B476" s="96">
        <v>61106</v>
      </c>
      <c r="C476" s="96" t="str">
        <f t="shared" si="52"/>
        <v>CPOS61106</v>
      </c>
      <c r="D476" s="95" t="s">
        <v>546</v>
      </c>
      <c r="E476" s="63" t="s">
        <v>119</v>
      </c>
      <c r="F476" s="64">
        <v>51.160000000000004</v>
      </c>
    </row>
    <row r="477" spans="1:6" x14ac:dyDescent="0.25">
      <c r="D477" s="94" t="s">
        <v>547</v>
      </c>
    </row>
    <row r="478" spans="1:6" x14ac:dyDescent="0.25">
      <c r="A478" s="62" t="s">
        <v>4398</v>
      </c>
      <c r="B478" s="96">
        <v>61202</v>
      </c>
      <c r="C478" s="96" t="str">
        <f>A478&amp;B478</f>
        <v>CPOS61202</v>
      </c>
      <c r="D478" s="95" t="s">
        <v>548</v>
      </c>
      <c r="E478" s="63" t="s">
        <v>119</v>
      </c>
      <c r="F478" s="64">
        <v>35.020000000000003</v>
      </c>
    </row>
    <row r="479" spans="1:6" x14ac:dyDescent="0.25">
      <c r="D479" s="94" t="s">
        <v>549</v>
      </c>
    </row>
    <row r="480" spans="1:6" x14ac:dyDescent="0.25">
      <c r="A480" s="62" t="s">
        <v>4398</v>
      </c>
      <c r="B480" s="96">
        <v>61402</v>
      </c>
      <c r="C480" s="96" t="str">
        <f>A480&amp;B480</f>
        <v>CPOS61402</v>
      </c>
      <c r="D480" s="95" t="s">
        <v>550</v>
      </c>
      <c r="E480" s="63" t="s">
        <v>119</v>
      </c>
      <c r="F480" s="64">
        <v>6.8</v>
      </c>
    </row>
    <row r="481" spans="1:6" x14ac:dyDescent="0.25">
      <c r="D481" s="94" t="s">
        <v>551</v>
      </c>
    </row>
    <row r="482" spans="1:6" x14ac:dyDescent="0.25">
      <c r="D482" s="94" t="s">
        <v>552</v>
      </c>
    </row>
    <row r="483" spans="1:6" x14ac:dyDescent="0.25">
      <c r="A483" s="62" t="s">
        <v>4398</v>
      </c>
      <c r="B483" s="96">
        <v>70101</v>
      </c>
      <c r="C483" s="96" t="str">
        <f t="shared" ref="C483:C486" si="53">A483&amp;B483</f>
        <v>CPOS70101</v>
      </c>
      <c r="D483" s="95" t="s">
        <v>553</v>
      </c>
      <c r="E483" s="63" t="s">
        <v>119</v>
      </c>
      <c r="F483" s="64">
        <v>6.6400000000000006</v>
      </c>
    </row>
    <row r="484" spans="1:6" x14ac:dyDescent="0.25">
      <c r="A484" s="62" t="s">
        <v>4398</v>
      </c>
      <c r="B484" s="96">
        <v>70102</v>
      </c>
      <c r="C484" s="96" t="str">
        <f t="shared" si="53"/>
        <v>CPOS70102</v>
      </c>
      <c r="D484" s="95" t="s">
        <v>554</v>
      </c>
      <c r="E484" s="63" t="s">
        <v>119</v>
      </c>
      <c r="F484" s="64">
        <v>6.84</v>
      </c>
    </row>
    <row r="485" spans="1:6" x14ac:dyDescent="0.25">
      <c r="A485" s="62" t="s">
        <v>4398</v>
      </c>
      <c r="B485" s="96">
        <v>70106</v>
      </c>
      <c r="C485" s="96" t="str">
        <f t="shared" si="53"/>
        <v>CPOS70106</v>
      </c>
      <c r="D485" s="95" t="s">
        <v>555</v>
      </c>
      <c r="E485" s="63" t="s">
        <v>119</v>
      </c>
      <c r="F485" s="64">
        <v>13.93</v>
      </c>
    </row>
    <row r="486" spans="1:6" x14ac:dyDescent="0.25">
      <c r="A486" s="62" t="s">
        <v>4398</v>
      </c>
      <c r="B486" s="96">
        <v>70112</v>
      </c>
      <c r="C486" s="96" t="str">
        <f t="shared" si="53"/>
        <v>CPOS70112</v>
      </c>
      <c r="D486" s="95" t="s">
        <v>556</v>
      </c>
      <c r="E486" s="63" t="s">
        <v>119</v>
      </c>
      <c r="F486" s="64">
        <v>5.94</v>
      </c>
    </row>
    <row r="487" spans="1:6" x14ac:dyDescent="0.25">
      <c r="D487" s="94" t="s">
        <v>557</v>
      </c>
    </row>
    <row r="488" spans="1:6" x14ac:dyDescent="0.25">
      <c r="A488" s="62" t="s">
        <v>4398</v>
      </c>
      <c r="B488" s="96">
        <v>70202</v>
      </c>
      <c r="C488" s="96" t="str">
        <f t="shared" ref="C488:C491" si="54">A488&amp;B488</f>
        <v>CPOS70202</v>
      </c>
      <c r="D488" s="95" t="s">
        <v>558</v>
      </c>
      <c r="E488" s="63" t="s">
        <v>119</v>
      </c>
      <c r="F488" s="64">
        <v>5.68</v>
      </c>
    </row>
    <row r="489" spans="1:6" x14ac:dyDescent="0.25">
      <c r="A489" s="62" t="s">
        <v>4398</v>
      </c>
      <c r="B489" s="96">
        <v>70204</v>
      </c>
      <c r="C489" s="96" t="str">
        <f t="shared" si="54"/>
        <v>CPOS70204</v>
      </c>
      <c r="D489" s="95" t="s">
        <v>559</v>
      </c>
      <c r="E489" s="63" t="s">
        <v>119</v>
      </c>
      <c r="F489" s="64">
        <v>6.4</v>
      </c>
    </row>
    <row r="490" spans="1:6" x14ac:dyDescent="0.25">
      <c r="A490" s="62" t="s">
        <v>4398</v>
      </c>
      <c r="B490" s="96">
        <v>70206</v>
      </c>
      <c r="C490" s="96" t="str">
        <f t="shared" si="54"/>
        <v>CPOS70206</v>
      </c>
      <c r="D490" s="95" t="s">
        <v>560</v>
      </c>
      <c r="E490" s="63" t="s">
        <v>119</v>
      </c>
      <c r="F490" s="64">
        <v>9.0500000000000007</v>
      </c>
    </row>
    <row r="491" spans="1:6" ht="30" x14ac:dyDescent="0.25">
      <c r="A491" s="62" t="s">
        <v>4398</v>
      </c>
      <c r="B491" s="96">
        <v>70208</v>
      </c>
      <c r="C491" s="96" t="str">
        <f t="shared" si="54"/>
        <v>CPOS70208</v>
      </c>
      <c r="D491" s="95" t="s">
        <v>561</v>
      </c>
      <c r="E491" s="63" t="s">
        <v>119</v>
      </c>
      <c r="F491" s="64">
        <v>9.6999999999999993</v>
      </c>
    </row>
    <row r="492" spans="1:6" x14ac:dyDescent="0.25">
      <c r="D492" s="94" t="s">
        <v>562</v>
      </c>
    </row>
    <row r="493" spans="1:6" x14ac:dyDescent="0.25">
      <c r="A493" s="62" t="s">
        <v>4398</v>
      </c>
      <c r="B493" s="96">
        <v>70501</v>
      </c>
      <c r="C493" s="96" t="str">
        <f t="shared" ref="C493:C494" si="55">A493&amp;B493</f>
        <v>CPOS70501</v>
      </c>
      <c r="D493" s="95" t="s">
        <v>563</v>
      </c>
      <c r="E493" s="63" t="s">
        <v>119</v>
      </c>
      <c r="F493" s="64">
        <v>20.88</v>
      </c>
    </row>
    <row r="494" spans="1:6" x14ac:dyDescent="0.25">
      <c r="A494" s="62" t="s">
        <v>4398</v>
      </c>
      <c r="B494" s="96">
        <v>70502</v>
      </c>
      <c r="C494" s="96" t="str">
        <f t="shared" si="55"/>
        <v>CPOS70502</v>
      </c>
      <c r="D494" s="95" t="s">
        <v>564</v>
      </c>
      <c r="E494" s="63" t="s">
        <v>119</v>
      </c>
      <c r="F494" s="64">
        <v>17.68</v>
      </c>
    </row>
    <row r="495" spans="1:6" x14ac:dyDescent="0.25">
      <c r="D495" s="94" t="s">
        <v>565</v>
      </c>
    </row>
    <row r="496" spans="1:6" x14ac:dyDescent="0.25">
      <c r="A496" s="62" t="s">
        <v>4398</v>
      </c>
      <c r="B496" s="96">
        <v>71002</v>
      </c>
      <c r="C496" s="96" t="str">
        <f>A496&amp;B496</f>
        <v>CPOS71002</v>
      </c>
      <c r="D496" s="95" t="s">
        <v>566</v>
      </c>
      <c r="E496" s="63" t="s">
        <v>119</v>
      </c>
      <c r="F496" s="64">
        <v>2.69</v>
      </c>
    </row>
    <row r="497" spans="1:6" x14ac:dyDescent="0.25">
      <c r="D497" s="94" t="s">
        <v>567</v>
      </c>
    </row>
    <row r="498" spans="1:6" x14ac:dyDescent="0.25">
      <c r="A498" s="62" t="s">
        <v>4398</v>
      </c>
      <c r="B498" s="96">
        <v>71102</v>
      </c>
      <c r="C498" s="96" t="str">
        <f t="shared" ref="C498:C499" si="56">A498&amp;B498</f>
        <v>CPOS71102</v>
      </c>
      <c r="D498" s="95" t="s">
        <v>568</v>
      </c>
      <c r="E498" s="63" t="s">
        <v>119</v>
      </c>
      <c r="F498" s="64">
        <v>3.74</v>
      </c>
    </row>
    <row r="499" spans="1:6" x14ac:dyDescent="0.25">
      <c r="A499" s="62" t="s">
        <v>4398</v>
      </c>
      <c r="B499" s="96">
        <v>71104</v>
      </c>
      <c r="C499" s="96" t="str">
        <f t="shared" si="56"/>
        <v>CPOS71104</v>
      </c>
      <c r="D499" s="95" t="s">
        <v>569</v>
      </c>
      <c r="E499" s="63" t="s">
        <v>119</v>
      </c>
      <c r="F499" s="64">
        <v>11.05</v>
      </c>
    </row>
    <row r="500" spans="1:6" x14ac:dyDescent="0.25">
      <c r="D500" s="94" t="s">
        <v>570</v>
      </c>
    </row>
    <row r="501" spans="1:6" ht="30" x14ac:dyDescent="0.25">
      <c r="A501" s="62" t="s">
        <v>4398</v>
      </c>
      <c r="B501" s="96">
        <v>71201</v>
      </c>
      <c r="C501" s="96" t="str">
        <f t="shared" ref="C501:C504" si="57">A501&amp;B501</f>
        <v>CPOS71201</v>
      </c>
      <c r="D501" s="95" t="s">
        <v>571</v>
      </c>
      <c r="E501" s="63" t="s">
        <v>119</v>
      </c>
      <c r="F501" s="64">
        <v>8.6</v>
      </c>
    </row>
    <row r="502" spans="1:6" ht="30" x14ac:dyDescent="0.25">
      <c r="A502" s="62" t="s">
        <v>4398</v>
      </c>
      <c r="B502" s="96">
        <v>71202</v>
      </c>
      <c r="C502" s="96" t="str">
        <f t="shared" si="57"/>
        <v>CPOS71202</v>
      </c>
      <c r="D502" s="95" t="s">
        <v>572</v>
      </c>
      <c r="E502" s="63" t="s">
        <v>119</v>
      </c>
      <c r="F502" s="64">
        <v>6.12</v>
      </c>
    </row>
    <row r="503" spans="1:6" ht="30" x14ac:dyDescent="0.25">
      <c r="A503" s="62" t="s">
        <v>4398</v>
      </c>
      <c r="B503" s="96">
        <v>71203</v>
      </c>
      <c r="C503" s="96" t="str">
        <f t="shared" si="57"/>
        <v>CPOS71203</v>
      </c>
      <c r="D503" s="95" t="s">
        <v>573</v>
      </c>
      <c r="E503" s="63" t="s">
        <v>119</v>
      </c>
      <c r="F503" s="64">
        <v>6.12</v>
      </c>
    </row>
    <row r="504" spans="1:6" ht="30" x14ac:dyDescent="0.25">
      <c r="A504" s="62" t="s">
        <v>4398</v>
      </c>
      <c r="B504" s="96">
        <v>71204</v>
      </c>
      <c r="C504" s="96" t="str">
        <f t="shared" si="57"/>
        <v>CPOS71204</v>
      </c>
      <c r="D504" s="95" t="s">
        <v>574</v>
      </c>
      <c r="E504" s="63" t="s">
        <v>119</v>
      </c>
      <c r="F504" s="64">
        <v>8.98</v>
      </c>
    </row>
    <row r="505" spans="1:6" x14ac:dyDescent="0.25">
      <c r="D505" s="94" t="s">
        <v>575</v>
      </c>
    </row>
    <row r="506" spans="1:6" x14ac:dyDescent="0.25">
      <c r="D506" s="94" t="s">
        <v>576</v>
      </c>
    </row>
    <row r="507" spans="1:6" x14ac:dyDescent="0.25">
      <c r="A507" s="62" t="s">
        <v>4398</v>
      </c>
      <c r="B507" s="96">
        <v>80102</v>
      </c>
      <c r="C507" s="96" t="str">
        <f t="shared" ref="C507:C513" si="58">A507&amp;B507</f>
        <v>CPOS80102</v>
      </c>
      <c r="D507" s="95" t="s">
        <v>577</v>
      </c>
      <c r="E507" s="63" t="s">
        <v>81</v>
      </c>
      <c r="F507" s="64">
        <v>47.53</v>
      </c>
    </row>
    <row r="508" spans="1:6" x14ac:dyDescent="0.25">
      <c r="A508" s="62" t="s">
        <v>4398</v>
      </c>
      <c r="B508" s="96">
        <v>80104</v>
      </c>
      <c r="C508" s="96" t="str">
        <f t="shared" si="58"/>
        <v>CPOS80104</v>
      </c>
      <c r="D508" s="95" t="s">
        <v>578</v>
      </c>
      <c r="E508" s="63" t="s">
        <v>81</v>
      </c>
      <c r="F508" s="64">
        <v>27.830000000000002</v>
      </c>
    </row>
    <row r="509" spans="1:6" x14ac:dyDescent="0.25">
      <c r="A509" s="62" t="s">
        <v>4398</v>
      </c>
      <c r="B509" s="96">
        <v>80106</v>
      </c>
      <c r="C509" s="96" t="str">
        <f t="shared" si="58"/>
        <v>CPOS80106</v>
      </c>
      <c r="D509" s="95" t="s">
        <v>579</v>
      </c>
      <c r="E509" s="63" t="s">
        <v>81</v>
      </c>
      <c r="F509" s="64">
        <v>10.31</v>
      </c>
    </row>
    <row r="510" spans="1:6" x14ac:dyDescent="0.25">
      <c r="A510" s="62" t="s">
        <v>4398</v>
      </c>
      <c r="B510" s="96">
        <v>80108</v>
      </c>
      <c r="C510" s="96" t="str">
        <f t="shared" si="58"/>
        <v>CPOS80108</v>
      </c>
      <c r="D510" s="95" t="s">
        <v>580</v>
      </c>
      <c r="E510" s="63" t="s">
        <v>81</v>
      </c>
      <c r="F510" s="64">
        <v>57.76</v>
      </c>
    </row>
    <row r="511" spans="1:6" x14ac:dyDescent="0.25">
      <c r="A511" s="62" t="s">
        <v>4398</v>
      </c>
      <c r="B511" s="96">
        <v>80110</v>
      </c>
      <c r="C511" s="96" t="str">
        <f t="shared" si="58"/>
        <v>CPOS80110</v>
      </c>
      <c r="D511" s="95" t="s">
        <v>581</v>
      </c>
      <c r="E511" s="63" t="s">
        <v>81</v>
      </c>
      <c r="F511" s="64">
        <v>85.8</v>
      </c>
    </row>
    <row r="512" spans="1:6" x14ac:dyDescent="0.25">
      <c r="A512" s="62" t="s">
        <v>4398</v>
      </c>
      <c r="B512" s="96">
        <v>80111</v>
      </c>
      <c r="C512" s="96" t="str">
        <f t="shared" si="58"/>
        <v>CPOS80111</v>
      </c>
      <c r="D512" s="95" t="s">
        <v>582</v>
      </c>
      <c r="E512" s="63" t="s">
        <v>81</v>
      </c>
      <c r="F512" s="64">
        <v>104.32000000000001</v>
      </c>
    </row>
    <row r="513" spans="1:6" x14ac:dyDescent="0.25">
      <c r="A513" s="62" t="s">
        <v>4398</v>
      </c>
      <c r="B513" s="96">
        <v>80112</v>
      </c>
      <c r="C513" s="96" t="str">
        <f t="shared" si="58"/>
        <v>CPOS80112</v>
      </c>
      <c r="D513" s="95" t="s">
        <v>583</v>
      </c>
      <c r="E513" s="63" t="s">
        <v>81</v>
      </c>
      <c r="F513" s="64">
        <v>115.24000000000001</v>
      </c>
    </row>
    <row r="514" spans="1:6" x14ac:dyDescent="0.25">
      <c r="D514" s="94" t="s">
        <v>584</v>
      </c>
    </row>
    <row r="515" spans="1:6" x14ac:dyDescent="0.25">
      <c r="A515" s="62" t="s">
        <v>4398</v>
      </c>
      <c r="B515" s="96">
        <v>80202</v>
      </c>
      <c r="C515" s="96" t="str">
        <f t="shared" ref="C515:C518" si="59">A515&amp;B515</f>
        <v>CPOS80202</v>
      </c>
      <c r="D515" s="95" t="s">
        <v>585</v>
      </c>
      <c r="E515" s="63" t="s">
        <v>119</v>
      </c>
      <c r="F515" s="64">
        <v>27.46</v>
      </c>
    </row>
    <row r="516" spans="1:6" x14ac:dyDescent="0.25">
      <c r="A516" s="62" t="s">
        <v>4398</v>
      </c>
      <c r="B516" s="96">
        <v>80204</v>
      </c>
      <c r="C516" s="96" t="str">
        <f t="shared" si="59"/>
        <v>CPOS80204</v>
      </c>
      <c r="D516" s="95" t="s">
        <v>586</v>
      </c>
      <c r="E516" s="63" t="s">
        <v>329</v>
      </c>
      <c r="F516" s="64">
        <v>3.98</v>
      </c>
    </row>
    <row r="517" spans="1:6" x14ac:dyDescent="0.25">
      <c r="A517" s="62" t="s">
        <v>4398</v>
      </c>
      <c r="B517" s="96">
        <v>80205</v>
      </c>
      <c r="C517" s="96" t="str">
        <f t="shared" si="59"/>
        <v>CPOS80205</v>
      </c>
      <c r="D517" s="95" t="s">
        <v>587</v>
      </c>
      <c r="E517" s="63" t="s">
        <v>588</v>
      </c>
      <c r="F517" s="64">
        <v>4.01</v>
      </c>
    </row>
    <row r="518" spans="1:6" x14ac:dyDescent="0.25">
      <c r="A518" s="62" t="s">
        <v>4398</v>
      </c>
      <c r="B518" s="96">
        <v>80206</v>
      </c>
      <c r="C518" s="96" t="str">
        <f t="shared" si="59"/>
        <v>CPOS80206</v>
      </c>
      <c r="D518" s="95" t="s">
        <v>589</v>
      </c>
      <c r="E518" s="63" t="s">
        <v>119</v>
      </c>
      <c r="F518" s="64">
        <v>8.6</v>
      </c>
    </row>
    <row r="519" spans="1:6" x14ac:dyDescent="0.25">
      <c r="D519" s="94" t="s">
        <v>590</v>
      </c>
    </row>
    <row r="520" spans="1:6" x14ac:dyDescent="0.25">
      <c r="A520" s="62" t="s">
        <v>4398</v>
      </c>
      <c r="B520" s="96">
        <v>80302</v>
      </c>
      <c r="C520" s="96" t="str">
        <f>A520&amp;B520</f>
        <v>CPOS80302</v>
      </c>
      <c r="D520" s="95" t="s">
        <v>591</v>
      </c>
      <c r="E520" s="63" t="s">
        <v>119</v>
      </c>
      <c r="F520" s="64">
        <v>4.88</v>
      </c>
    </row>
    <row r="521" spans="1:6" x14ac:dyDescent="0.25">
      <c r="D521" s="94" t="s">
        <v>592</v>
      </c>
    </row>
    <row r="522" spans="1:6" x14ac:dyDescent="0.25">
      <c r="A522" s="62" t="s">
        <v>4398</v>
      </c>
      <c r="B522" s="96">
        <v>80501</v>
      </c>
      <c r="C522" s="96" t="str">
        <f t="shared" ref="C522:C527" si="60">A522&amp;B522</f>
        <v>CPOS80501</v>
      </c>
      <c r="D522" s="95" t="s">
        <v>593</v>
      </c>
      <c r="E522" s="63" t="s">
        <v>81</v>
      </c>
      <c r="F522" s="64">
        <v>17.88</v>
      </c>
    </row>
    <row r="523" spans="1:6" x14ac:dyDescent="0.25">
      <c r="A523" s="62" t="s">
        <v>4398</v>
      </c>
      <c r="B523" s="96">
        <v>80510</v>
      </c>
      <c r="C523" s="96" t="str">
        <f t="shared" si="60"/>
        <v>CPOS80510</v>
      </c>
      <c r="D523" s="95" t="s">
        <v>594</v>
      </c>
      <c r="E523" s="63" t="s">
        <v>119</v>
      </c>
      <c r="F523" s="64">
        <v>82.18</v>
      </c>
    </row>
    <row r="524" spans="1:6" x14ac:dyDescent="0.25">
      <c r="A524" s="62" t="s">
        <v>4398</v>
      </c>
      <c r="B524" s="96">
        <v>80511</v>
      </c>
      <c r="C524" s="96" t="str">
        <f t="shared" si="60"/>
        <v>CPOS80511</v>
      </c>
      <c r="D524" s="95" t="s">
        <v>595</v>
      </c>
      <c r="E524" s="63" t="s">
        <v>119</v>
      </c>
      <c r="F524" s="64">
        <v>83.87</v>
      </c>
    </row>
    <row r="525" spans="1:6" ht="30" x14ac:dyDescent="0.25">
      <c r="A525" s="62" t="s">
        <v>4398</v>
      </c>
      <c r="B525" s="96">
        <v>80517</v>
      </c>
      <c r="C525" s="96" t="str">
        <f t="shared" si="60"/>
        <v>CPOS80517</v>
      </c>
      <c r="D525" s="95" t="s">
        <v>596</v>
      </c>
      <c r="E525" s="63" t="s">
        <v>81</v>
      </c>
      <c r="F525" s="64">
        <v>11.74</v>
      </c>
    </row>
    <row r="526" spans="1:6" ht="30" x14ac:dyDescent="0.25">
      <c r="A526" s="62" t="s">
        <v>4398</v>
      </c>
      <c r="B526" s="96">
        <v>80518</v>
      </c>
      <c r="C526" s="96" t="str">
        <f t="shared" si="60"/>
        <v>CPOS80518</v>
      </c>
      <c r="D526" s="95" t="s">
        <v>597</v>
      </c>
      <c r="E526" s="63" t="s">
        <v>81</v>
      </c>
      <c r="F526" s="64">
        <v>10.41</v>
      </c>
    </row>
    <row r="527" spans="1:6" ht="30" x14ac:dyDescent="0.25">
      <c r="A527" s="62" t="s">
        <v>4398</v>
      </c>
      <c r="B527" s="96">
        <v>80522</v>
      </c>
      <c r="C527" s="96" t="str">
        <f t="shared" si="60"/>
        <v>CPOS80522</v>
      </c>
      <c r="D527" s="95" t="s">
        <v>598</v>
      </c>
      <c r="E527" s="63" t="s">
        <v>81</v>
      </c>
      <c r="F527" s="64">
        <v>16.100000000000001</v>
      </c>
    </row>
    <row r="528" spans="1:6" x14ac:dyDescent="0.25">
      <c r="D528" s="94" t="s">
        <v>599</v>
      </c>
    </row>
    <row r="529" spans="1:6" x14ac:dyDescent="0.25">
      <c r="A529" s="62" t="s">
        <v>4398</v>
      </c>
      <c r="B529" s="96">
        <v>80602</v>
      </c>
      <c r="C529" s="96" t="str">
        <f t="shared" ref="C529:C532" si="61">A529&amp;B529</f>
        <v>CPOS80602</v>
      </c>
      <c r="D529" s="95" t="s">
        <v>600</v>
      </c>
      <c r="E529" s="63" t="s">
        <v>110</v>
      </c>
      <c r="F529" s="64">
        <v>12.46</v>
      </c>
    </row>
    <row r="530" spans="1:6" x14ac:dyDescent="0.25">
      <c r="A530" s="62" t="s">
        <v>4398</v>
      </c>
      <c r="B530" s="96">
        <v>80604</v>
      </c>
      <c r="C530" s="96" t="str">
        <f t="shared" si="61"/>
        <v>CPOS80604</v>
      </c>
      <c r="D530" s="95" t="s">
        <v>601</v>
      </c>
      <c r="E530" s="63" t="s">
        <v>110</v>
      </c>
      <c r="F530" s="64">
        <v>16.05</v>
      </c>
    </row>
    <row r="531" spans="1:6" x14ac:dyDescent="0.25">
      <c r="A531" s="62" t="s">
        <v>4398</v>
      </c>
      <c r="B531" s="96">
        <v>80606</v>
      </c>
      <c r="C531" s="96" t="str">
        <f t="shared" si="61"/>
        <v>CPOS80606</v>
      </c>
      <c r="D531" s="95" t="s">
        <v>602</v>
      </c>
      <c r="E531" s="63" t="s">
        <v>110</v>
      </c>
      <c r="F531" s="64">
        <v>19.34</v>
      </c>
    </row>
    <row r="532" spans="1:6" x14ac:dyDescent="0.25">
      <c r="A532" s="62" t="s">
        <v>4398</v>
      </c>
      <c r="B532" s="96">
        <v>80608</v>
      </c>
      <c r="C532" s="96" t="str">
        <f t="shared" si="61"/>
        <v>CPOS80608</v>
      </c>
      <c r="D532" s="95" t="s">
        <v>603</v>
      </c>
      <c r="E532" s="63" t="s">
        <v>110</v>
      </c>
      <c r="F532" s="64">
        <v>22.45</v>
      </c>
    </row>
    <row r="533" spans="1:6" x14ac:dyDescent="0.25">
      <c r="D533" s="94" t="s">
        <v>604</v>
      </c>
    </row>
    <row r="534" spans="1:6" x14ac:dyDescent="0.25">
      <c r="A534" s="62" t="s">
        <v>4398</v>
      </c>
      <c r="B534" s="96">
        <v>80705</v>
      </c>
      <c r="C534" s="96" t="str">
        <f t="shared" ref="C534:C537" si="62">A534&amp;B534</f>
        <v>CPOS80705</v>
      </c>
      <c r="D534" s="95" t="s">
        <v>605</v>
      </c>
      <c r="E534" s="63" t="s">
        <v>79</v>
      </c>
      <c r="F534" s="64">
        <v>5089.6000000000004</v>
      </c>
    </row>
    <row r="535" spans="1:6" ht="30" x14ac:dyDescent="0.25">
      <c r="A535" s="62" t="s">
        <v>4398</v>
      </c>
      <c r="B535" s="96">
        <v>80706</v>
      </c>
      <c r="C535" s="96" t="str">
        <f t="shared" si="62"/>
        <v>CPOS80706</v>
      </c>
      <c r="D535" s="95" t="s">
        <v>606</v>
      </c>
      <c r="E535" s="63" t="s">
        <v>607</v>
      </c>
      <c r="F535" s="64">
        <v>440.78000000000003</v>
      </c>
    </row>
    <row r="536" spans="1:6" x14ac:dyDescent="0.25">
      <c r="A536" s="62" t="s">
        <v>4398</v>
      </c>
      <c r="B536" s="96">
        <v>80707</v>
      </c>
      <c r="C536" s="96" t="str">
        <f t="shared" si="62"/>
        <v>CPOS80707</v>
      </c>
      <c r="D536" s="95" t="s">
        <v>608</v>
      </c>
      <c r="E536" s="63" t="s">
        <v>58</v>
      </c>
      <c r="F536" s="64">
        <v>272.76</v>
      </c>
    </row>
    <row r="537" spans="1:6" x14ac:dyDescent="0.25">
      <c r="A537" s="62" t="s">
        <v>4398</v>
      </c>
      <c r="B537" s="96">
        <v>80709</v>
      </c>
      <c r="C537" s="96" t="str">
        <f t="shared" si="62"/>
        <v>CPOS80709</v>
      </c>
      <c r="D537" s="95" t="s">
        <v>609</v>
      </c>
      <c r="E537" s="63" t="s">
        <v>610</v>
      </c>
      <c r="F537" s="64">
        <v>4.71</v>
      </c>
    </row>
    <row r="538" spans="1:6" x14ac:dyDescent="0.25">
      <c r="D538" s="94" t="s">
        <v>611</v>
      </c>
    </row>
    <row r="539" spans="1:6" x14ac:dyDescent="0.25">
      <c r="A539" s="62" t="s">
        <v>4398</v>
      </c>
      <c r="B539" s="96">
        <v>81004</v>
      </c>
      <c r="C539" s="96" t="str">
        <f t="shared" ref="C539:C541" si="63">A539&amp;B539</f>
        <v>CPOS81004</v>
      </c>
      <c r="D539" s="95" t="s">
        <v>612</v>
      </c>
      <c r="E539" s="63" t="s">
        <v>119</v>
      </c>
      <c r="F539" s="64">
        <v>152.22999999999999</v>
      </c>
    </row>
    <row r="540" spans="1:6" x14ac:dyDescent="0.25">
      <c r="A540" s="62" t="s">
        <v>4398</v>
      </c>
      <c r="B540" s="96">
        <v>81006</v>
      </c>
      <c r="C540" s="96" t="str">
        <f t="shared" si="63"/>
        <v>CPOS81006</v>
      </c>
      <c r="D540" s="95" t="s">
        <v>613</v>
      </c>
      <c r="E540" s="63" t="s">
        <v>119</v>
      </c>
      <c r="F540" s="64">
        <v>308.02999999999997</v>
      </c>
    </row>
    <row r="541" spans="1:6" ht="30" x14ac:dyDescent="0.25">
      <c r="A541" s="62" t="s">
        <v>4398</v>
      </c>
      <c r="B541" s="96">
        <v>81011</v>
      </c>
      <c r="C541" s="96" t="str">
        <f t="shared" si="63"/>
        <v>CPOS81011</v>
      </c>
      <c r="D541" s="95" t="s">
        <v>614</v>
      </c>
      <c r="E541" s="63" t="s">
        <v>119</v>
      </c>
      <c r="F541" s="64">
        <v>413.96000000000004</v>
      </c>
    </row>
    <row r="542" spans="1:6" x14ac:dyDescent="0.25">
      <c r="D542" s="94" t="s">
        <v>615</v>
      </c>
    </row>
    <row r="543" spans="1:6" x14ac:dyDescent="0.25">
      <c r="D543" s="94" t="s">
        <v>616</v>
      </c>
    </row>
    <row r="544" spans="1:6" x14ac:dyDescent="0.25">
      <c r="A544" s="62" t="s">
        <v>4398</v>
      </c>
      <c r="B544" s="96">
        <v>90102</v>
      </c>
      <c r="C544" s="96" t="str">
        <f t="shared" ref="C544:C546" si="64">A544&amp;B544</f>
        <v>CPOS90102</v>
      </c>
      <c r="D544" s="95" t="s">
        <v>617</v>
      </c>
      <c r="E544" s="63" t="s">
        <v>81</v>
      </c>
      <c r="F544" s="64">
        <v>50.08</v>
      </c>
    </row>
    <row r="545" spans="1:6" x14ac:dyDescent="0.25">
      <c r="A545" s="62" t="s">
        <v>4398</v>
      </c>
      <c r="B545" s="96">
        <v>90103</v>
      </c>
      <c r="C545" s="96" t="str">
        <f t="shared" si="64"/>
        <v>CPOS90103</v>
      </c>
      <c r="D545" s="95" t="s">
        <v>618</v>
      </c>
      <c r="E545" s="63" t="s">
        <v>81</v>
      </c>
      <c r="F545" s="64">
        <v>108.03</v>
      </c>
    </row>
    <row r="546" spans="1:6" x14ac:dyDescent="0.25">
      <c r="A546" s="62" t="s">
        <v>4398</v>
      </c>
      <c r="B546" s="96">
        <v>90104</v>
      </c>
      <c r="C546" s="96" t="str">
        <f t="shared" si="64"/>
        <v>CPOS90104</v>
      </c>
      <c r="D546" s="95" t="s">
        <v>619</v>
      </c>
      <c r="E546" s="63" t="s">
        <v>81</v>
      </c>
      <c r="F546" s="64">
        <v>53.34</v>
      </c>
    </row>
    <row r="547" spans="1:6" x14ac:dyDescent="0.25">
      <c r="D547" s="94" t="s">
        <v>620</v>
      </c>
    </row>
    <row r="548" spans="1:6" x14ac:dyDescent="0.25">
      <c r="A548" s="62" t="s">
        <v>4398</v>
      </c>
      <c r="B548" s="96">
        <v>90202</v>
      </c>
      <c r="C548" s="96" t="str">
        <f t="shared" ref="C548:C553" si="65">A548&amp;B548</f>
        <v>CPOS90202</v>
      </c>
      <c r="D548" s="95" t="s">
        <v>621</v>
      </c>
      <c r="E548" s="63" t="s">
        <v>81</v>
      </c>
      <c r="F548" s="64">
        <v>85.79</v>
      </c>
    </row>
    <row r="549" spans="1:6" x14ac:dyDescent="0.25">
      <c r="A549" s="62" t="s">
        <v>4398</v>
      </c>
      <c r="B549" s="96">
        <v>90204</v>
      </c>
      <c r="C549" s="96" t="str">
        <f t="shared" si="65"/>
        <v>CPOS90204</v>
      </c>
      <c r="D549" s="95" t="s">
        <v>622</v>
      </c>
      <c r="E549" s="63" t="s">
        <v>81</v>
      </c>
      <c r="F549" s="64">
        <v>88.64</v>
      </c>
    </row>
    <row r="550" spans="1:6" x14ac:dyDescent="0.25">
      <c r="A550" s="62" t="s">
        <v>4398</v>
      </c>
      <c r="B550" s="96">
        <v>90206</v>
      </c>
      <c r="C550" s="96" t="str">
        <f t="shared" si="65"/>
        <v>CPOS90206</v>
      </c>
      <c r="D550" s="95" t="s">
        <v>623</v>
      </c>
      <c r="E550" s="63" t="s">
        <v>81</v>
      </c>
      <c r="F550" s="64">
        <v>107.03</v>
      </c>
    </row>
    <row r="551" spans="1:6" x14ac:dyDescent="0.25">
      <c r="A551" s="62" t="s">
        <v>4398</v>
      </c>
      <c r="B551" s="96">
        <v>90208</v>
      </c>
      <c r="C551" s="96" t="str">
        <f t="shared" si="65"/>
        <v>CPOS90208</v>
      </c>
      <c r="D551" s="95" t="s">
        <v>624</v>
      </c>
      <c r="E551" s="63" t="s">
        <v>81</v>
      </c>
      <c r="F551" s="64">
        <v>66.77</v>
      </c>
    </row>
    <row r="552" spans="1:6" x14ac:dyDescent="0.25">
      <c r="A552" s="62" t="s">
        <v>4398</v>
      </c>
      <c r="B552" s="96">
        <v>90210</v>
      </c>
      <c r="C552" s="96" t="str">
        <f t="shared" si="65"/>
        <v>CPOS90210</v>
      </c>
      <c r="D552" s="95" t="s">
        <v>625</v>
      </c>
      <c r="E552" s="63" t="s">
        <v>81</v>
      </c>
      <c r="F552" s="64">
        <v>44.800000000000004</v>
      </c>
    </row>
    <row r="553" spans="1:6" x14ac:dyDescent="0.25">
      <c r="A553" s="62" t="s">
        <v>4398</v>
      </c>
      <c r="B553" s="96">
        <v>90212</v>
      </c>
      <c r="C553" s="96" t="str">
        <f t="shared" si="65"/>
        <v>CPOS90212</v>
      </c>
      <c r="D553" s="95" t="s">
        <v>626</v>
      </c>
      <c r="E553" s="63" t="s">
        <v>81</v>
      </c>
      <c r="F553" s="64">
        <v>105.69</v>
      </c>
    </row>
    <row r="554" spans="1:6" x14ac:dyDescent="0.25">
      <c r="D554" s="94" t="s">
        <v>627</v>
      </c>
    </row>
    <row r="555" spans="1:6" x14ac:dyDescent="0.25">
      <c r="A555" s="62" t="s">
        <v>4398</v>
      </c>
      <c r="B555" s="96">
        <v>90401</v>
      </c>
      <c r="C555" s="96" t="str">
        <f t="shared" ref="C555:C561" si="66">A555&amp;B555</f>
        <v>CPOS90401</v>
      </c>
      <c r="D555" s="95" t="s">
        <v>628</v>
      </c>
      <c r="E555" s="63" t="s">
        <v>110</v>
      </c>
      <c r="F555" s="64">
        <v>58.43</v>
      </c>
    </row>
    <row r="556" spans="1:6" x14ac:dyDescent="0.25">
      <c r="A556" s="62" t="s">
        <v>4398</v>
      </c>
      <c r="B556" s="96">
        <v>90402</v>
      </c>
      <c r="C556" s="96" t="str">
        <f t="shared" si="66"/>
        <v>CPOS90402</v>
      </c>
      <c r="D556" s="95" t="s">
        <v>629</v>
      </c>
      <c r="E556" s="63" t="s">
        <v>110</v>
      </c>
      <c r="F556" s="64">
        <v>70.400000000000006</v>
      </c>
    </row>
    <row r="557" spans="1:6" x14ac:dyDescent="0.25">
      <c r="A557" s="62" t="s">
        <v>4398</v>
      </c>
      <c r="B557" s="96">
        <v>90403</v>
      </c>
      <c r="C557" s="96" t="str">
        <f t="shared" si="66"/>
        <v>CPOS90403</v>
      </c>
      <c r="D557" s="95" t="s">
        <v>630</v>
      </c>
      <c r="E557" s="63" t="s">
        <v>110</v>
      </c>
      <c r="F557" s="64">
        <v>85.41</v>
      </c>
    </row>
    <row r="558" spans="1:6" x14ac:dyDescent="0.25">
      <c r="A558" s="62" t="s">
        <v>4398</v>
      </c>
      <c r="B558" s="96">
        <v>90404</v>
      </c>
      <c r="C558" s="96" t="str">
        <f t="shared" si="66"/>
        <v>CPOS90404</v>
      </c>
      <c r="D558" s="95" t="s">
        <v>631</v>
      </c>
      <c r="E558" s="63" t="s">
        <v>110</v>
      </c>
      <c r="F558" s="64">
        <v>98.41</v>
      </c>
    </row>
    <row r="559" spans="1:6" x14ac:dyDescent="0.25">
      <c r="A559" s="62" t="s">
        <v>4398</v>
      </c>
      <c r="B559" s="96">
        <v>90405</v>
      </c>
      <c r="C559" s="96" t="str">
        <f t="shared" si="66"/>
        <v>CPOS90405</v>
      </c>
      <c r="D559" s="95" t="s">
        <v>632</v>
      </c>
      <c r="E559" s="63" t="s">
        <v>110</v>
      </c>
      <c r="F559" s="64">
        <v>116.3</v>
      </c>
    </row>
    <row r="560" spans="1:6" x14ac:dyDescent="0.25">
      <c r="A560" s="62" t="s">
        <v>4398</v>
      </c>
      <c r="B560" s="96">
        <v>90406</v>
      </c>
      <c r="C560" s="96" t="str">
        <f t="shared" si="66"/>
        <v>CPOS90406</v>
      </c>
      <c r="D560" s="95" t="s">
        <v>633</v>
      </c>
      <c r="E560" s="63" t="s">
        <v>110</v>
      </c>
      <c r="F560" s="64">
        <v>129.28</v>
      </c>
    </row>
    <row r="561" spans="1:6" x14ac:dyDescent="0.25">
      <c r="A561" s="62" t="s">
        <v>4398</v>
      </c>
      <c r="B561" s="96">
        <v>90407</v>
      </c>
      <c r="C561" s="96" t="str">
        <f t="shared" si="66"/>
        <v>CPOS90407</v>
      </c>
      <c r="D561" s="95" t="s">
        <v>634</v>
      </c>
      <c r="E561" s="63" t="s">
        <v>110</v>
      </c>
      <c r="F561" s="64">
        <v>152.66</v>
      </c>
    </row>
    <row r="562" spans="1:6" x14ac:dyDescent="0.25">
      <c r="D562" s="94" t="s">
        <v>635</v>
      </c>
    </row>
    <row r="563" spans="1:6" ht="30" x14ac:dyDescent="0.25">
      <c r="A563" s="62" t="s">
        <v>4398</v>
      </c>
      <c r="B563" s="96">
        <v>90706</v>
      </c>
      <c r="C563" s="96" t="str">
        <f>A563&amp;B563</f>
        <v>CPOS90706</v>
      </c>
      <c r="D563" s="95" t="s">
        <v>636</v>
      </c>
      <c r="E563" s="63" t="s">
        <v>119</v>
      </c>
      <c r="F563" s="64">
        <v>289.02</v>
      </c>
    </row>
    <row r="564" spans="1:6" x14ac:dyDescent="0.25">
      <c r="D564" s="94" t="s">
        <v>637</v>
      </c>
    </row>
    <row r="565" spans="1:6" x14ac:dyDescent="0.25">
      <c r="D565" s="94" t="s">
        <v>638</v>
      </c>
    </row>
    <row r="566" spans="1:6" x14ac:dyDescent="0.25">
      <c r="A566" s="62" t="s">
        <v>4398</v>
      </c>
      <c r="B566" s="96">
        <v>100102</v>
      </c>
      <c r="C566" s="96" t="str">
        <f t="shared" ref="C566:C568" si="67">A566&amp;B566</f>
        <v>CPOS100102</v>
      </c>
      <c r="D566" s="95" t="s">
        <v>639</v>
      </c>
      <c r="E566" s="63" t="s">
        <v>329</v>
      </c>
      <c r="F566" s="64">
        <v>5.6000000000000005</v>
      </c>
    </row>
    <row r="567" spans="1:6" x14ac:dyDescent="0.25">
      <c r="A567" s="62" t="s">
        <v>4398</v>
      </c>
      <c r="B567" s="96">
        <v>100104</v>
      </c>
      <c r="C567" s="96" t="str">
        <f t="shared" si="67"/>
        <v>CPOS100104</v>
      </c>
      <c r="D567" s="95" t="s">
        <v>640</v>
      </c>
      <c r="E567" s="63" t="s">
        <v>329</v>
      </c>
      <c r="F567" s="64">
        <v>5.14</v>
      </c>
    </row>
    <row r="568" spans="1:6" x14ac:dyDescent="0.25">
      <c r="A568" s="62" t="s">
        <v>4398</v>
      </c>
      <c r="B568" s="96">
        <v>100106</v>
      </c>
      <c r="C568" s="96" t="str">
        <f t="shared" si="67"/>
        <v>CPOS100106</v>
      </c>
      <c r="D568" s="95" t="s">
        <v>641</v>
      </c>
      <c r="E568" s="63" t="s">
        <v>329</v>
      </c>
      <c r="F568" s="64">
        <v>5.03</v>
      </c>
    </row>
    <row r="569" spans="1:6" x14ac:dyDescent="0.25">
      <c r="D569" s="94" t="s">
        <v>642</v>
      </c>
    </row>
    <row r="570" spans="1:6" x14ac:dyDescent="0.25">
      <c r="A570" s="62" t="s">
        <v>4398</v>
      </c>
      <c r="B570" s="96">
        <v>100202</v>
      </c>
      <c r="C570" s="96" t="str">
        <f>A570&amp;B570</f>
        <v>CPOS100202</v>
      </c>
      <c r="D570" s="95" t="s">
        <v>643</v>
      </c>
      <c r="E570" s="63" t="s">
        <v>329</v>
      </c>
      <c r="F570" s="64">
        <v>5.54</v>
      </c>
    </row>
    <row r="571" spans="1:6" x14ac:dyDescent="0.25">
      <c r="D571" s="94" t="s">
        <v>644</v>
      </c>
    </row>
    <row r="572" spans="1:6" x14ac:dyDescent="0.25">
      <c r="D572" s="94" t="s">
        <v>645</v>
      </c>
    </row>
    <row r="573" spans="1:6" x14ac:dyDescent="0.25">
      <c r="A573" s="62" t="s">
        <v>4398</v>
      </c>
      <c r="B573" s="96">
        <v>110110</v>
      </c>
      <c r="C573" s="96" t="str">
        <f t="shared" ref="C573:C584" si="68">A573&amp;B573</f>
        <v>CPOS110110</v>
      </c>
      <c r="D573" s="95" t="s">
        <v>646</v>
      </c>
      <c r="E573" s="63" t="s">
        <v>119</v>
      </c>
      <c r="F573" s="64">
        <v>265.81</v>
      </c>
    </row>
    <row r="574" spans="1:6" x14ac:dyDescent="0.25">
      <c r="A574" s="62" t="s">
        <v>4398</v>
      </c>
      <c r="B574" s="96">
        <v>110113</v>
      </c>
      <c r="C574" s="96" t="str">
        <f t="shared" si="68"/>
        <v>CPOS110113</v>
      </c>
      <c r="D574" s="95" t="s">
        <v>647</v>
      </c>
      <c r="E574" s="63" t="s">
        <v>119</v>
      </c>
      <c r="F574" s="64">
        <v>278.66000000000003</v>
      </c>
    </row>
    <row r="575" spans="1:6" x14ac:dyDescent="0.25">
      <c r="A575" s="62" t="s">
        <v>4398</v>
      </c>
      <c r="B575" s="96">
        <v>110116</v>
      </c>
      <c r="C575" s="96" t="str">
        <f t="shared" si="68"/>
        <v>CPOS110116</v>
      </c>
      <c r="D575" s="95" t="s">
        <v>648</v>
      </c>
      <c r="E575" s="63" t="s">
        <v>119</v>
      </c>
      <c r="F575" s="64">
        <v>289.20999999999998</v>
      </c>
    </row>
    <row r="576" spans="1:6" x14ac:dyDescent="0.25">
      <c r="A576" s="62" t="s">
        <v>4398</v>
      </c>
      <c r="B576" s="96">
        <v>110117</v>
      </c>
      <c r="C576" s="96" t="str">
        <f t="shared" si="68"/>
        <v>CPOS110117</v>
      </c>
      <c r="D576" s="95" t="s">
        <v>649</v>
      </c>
      <c r="E576" s="63" t="s">
        <v>119</v>
      </c>
      <c r="F576" s="64">
        <v>307.08999999999997</v>
      </c>
    </row>
    <row r="577" spans="1:6" x14ac:dyDescent="0.25">
      <c r="A577" s="62" t="s">
        <v>4398</v>
      </c>
      <c r="B577" s="96">
        <v>110119</v>
      </c>
      <c r="C577" s="96" t="str">
        <f t="shared" si="68"/>
        <v>CPOS110119</v>
      </c>
      <c r="D577" s="95" t="s">
        <v>650</v>
      </c>
      <c r="E577" s="63" t="s">
        <v>119</v>
      </c>
      <c r="F577" s="64">
        <v>319.75</v>
      </c>
    </row>
    <row r="578" spans="1:6" x14ac:dyDescent="0.25">
      <c r="A578" s="62" t="s">
        <v>4398</v>
      </c>
      <c r="B578" s="96">
        <v>110126</v>
      </c>
      <c r="C578" s="96" t="str">
        <f t="shared" si="68"/>
        <v>CPOS110126</v>
      </c>
      <c r="D578" s="95" t="s">
        <v>651</v>
      </c>
      <c r="E578" s="63" t="s">
        <v>119</v>
      </c>
      <c r="F578" s="64">
        <v>299.37</v>
      </c>
    </row>
    <row r="579" spans="1:6" x14ac:dyDescent="0.25">
      <c r="A579" s="62" t="s">
        <v>4398</v>
      </c>
      <c r="B579" s="96">
        <v>110129</v>
      </c>
      <c r="C579" s="96" t="str">
        <f t="shared" si="68"/>
        <v>CPOS110129</v>
      </c>
      <c r="D579" s="95" t="s">
        <v>652</v>
      </c>
      <c r="E579" s="63" t="s">
        <v>119</v>
      </c>
      <c r="F579" s="64">
        <v>308.7</v>
      </c>
    </row>
    <row r="580" spans="1:6" x14ac:dyDescent="0.25">
      <c r="A580" s="62" t="s">
        <v>4398</v>
      </c>
      <c r="B580" s="96">
        <v>110131</v>
      </c>
      <c r="C580" s="96" t="str">
        <f t="shared" si="68"/>
        <v>CPOS110131</v>
      </c>
      <c r="D580" s="95" t="s">
        <v>653</v>
      </c>
      <c r="E580" s="63" t="s">
        <v>119</v>
      </c>
      <c r="F580" s="64">
        <v>331.24</v>
      </c>
    </row>
    <row r="581" spans="1:6" x14ac:dyDescent="0.25">
      <c r="A581" s="62" t="s">
        <v>4398</v>
      </c>
      <c r="B581" s="96">
        <v>110132</v>
      </c>
      <c r="C581" s="96" t="str">
        <f t="shared" si="68"/>
        <v>CPOS110132</v>
      </c>
      <c r="D581" s="95" t="s">
        <v>654</v>
      </c>
      <c r="E581" s="63" t="s">
        <v>119</v>
      </c>
      <c r="F581" s="64">
        <v>311.94</v>
      </c>
    </row>
    <row r="582" spans="1:6" x14ac:dyDescent="0.25">
      <c r="A582" s="62" t="s">
        <v>4398</v>
      </c>
      <c r="B582" s="96">
        <v>110135</v>
      </c>
      <c r="C582" s="96" t="str">
        <f t="shared" si="68"/>
        <v>CPOS110135</v>
      </c>
      <c r="D582" s="95" t="s">
        <v>655</v>
      </c>
      <c r="E582" s="63" t="s">
        <v>119</v>
      </c>
      <c r="F582" s="64">
        <v>351.18</v>
      </c>
    </row>
    <row r="583" spans="1:6" x14ac:dyDescent="0.25">
      <c r="A583" s="62" t="s">
        <v>4398</v>
      </c>
      <c r="B583" s="96">
        <v>110151</v>
      </c>
      <c r="C583" s="96" t="str">
        <f t="shared" si="68"/>
        <v>CPOS110151</v>
      </c>
      <c r="D583" s="95" t="s">
        <v>656</v>
      </c>
      <c r="E583" s="63" t="s">
        <v>119</v>
      </c>
      <c r="F583" s="64">
        <v>307.87</v>
      </c>
    </row>
    <row r="584" spans="1:6" x14ac:dyDescent="0.25">
      <c r="A584" s="62" t="s">
        <v>4398</v>
      </c>
      <c r="B584" s="96">
        <v>110163</v>
      </c>
      <c r="C584" s="96" t="str">
        <f t="shared" si="68"/>
        <v>CPOS110163</v>
      </c>
      <c r="D584" s="95" t="s">
        <v>657</v>
      </c>
      <c r="E584" s="63" t="s">
        <v>119</v>
      </c>
      <c r="F584" s="64">
        <v>207.9</v>
      </c>
    </row>
    <row r="585" spans="1:6" x14ac:dyDescent="0.25">
      <c r="D585" s="94" t="s">
        <v>658</v>
      </c>
    </row>
    <row r="586" spans="1:6" x14ac:dyDescent="0.25">
      <c r="A586" s="62" t="s">
        <v>4398</v>
      </c>
      <c r="B586" s="96">
        <v>110202</v>
      </c>
      <c r="C586" s="96" t="str">
        <f t="shared" ref="C586:C588" si="69">A586&amp;B586</f>
        <v>CPOS110202</v>
      </c>
      <c r="D586" s="95" t="s">
        <v>659</v>
      </c>
      <c r="E586" s="63" t="s">
        <v>119</v>
      </c>
      <c r="F586" s="64">
        <v>253.11</v>
      </c>
    </row>
    <row r="587" spans="1:6" x14ac:dyDescent="0.25">
      <c r="A587" s="62" t="s">
        <v>4398</v>
      </c>
      <c r="B587" s="96">
        <v>110204</v>
      </c>
      <c r="C587" s="96" t="str">
        <f t="shared" si="69"/>
        <v>CPOS110204</v>
      </c>
      <c r="D587" s="95" t="s">
        <v>660</v>
      </c>
      <c r="E587" s="63" t="s">
        <v>119</v>
      </c>
      <c r="F587" s="64">
        <v>270.60000000000002</v>
      </c>
    </row>
    <row r="588" spans="1:6" x14ac:dyDescent="0.25">
      <c r="A588" s="62" t="s">
        <v>4398</v>
      </c>
      <c r="B588" s="96">
        <v>110206</v>
      </c>
      <c r="C588" s="96" t="str">
        <f t="shared" si="69"/>
        <v>CPOS110206</v>
      </c>
      <c r="D588" s="95" t="s">
        <v>661</v>
      </c>
      <c r="E588" s="63" t="s">
        <v>119</v>
      </c>
      <c r="F588" s="64">
        <v>303.05</v>
      </c>
    </row>
    <row r="589" spans="1:6" x14ac:dyDescent="0.25">
      <c r="D589" s="94" t="s">
        <v>662</v>
      </c>
    </row>
    <row r="590" spans="1:6" x14ac:dyDescent="0.25">
      <c r="A590" s="62" t="s">
        <v>4398</v>
      </c>
      <c r="B590" s="96">
        <v>110309</v>
      </c>
      <c r="C590" s="96" t="str">
        <f t="shared" ref="C590:C591" si="70">A590&amp;B590</f>
        <v>CPOS110309</v>
      </c>
      <c r="D590" s="95" t="s">
        <v>663</v>
      </c>
      <c r="E590" s="63" t="s">
        <v>119</v>
      </c>
      <c r="F590" s="64">
        <v>306.44</v>
      </c>
    </row>
    <row r="591" spans="1:6" x14ac:dyDescent="0.25">
      <c r="A591" s="62" t="s">
        <v>4398</v>
      </c>
      <c r="B591" s="96">
        <v>110314</v>
      </c>
      <c r="C591" s="96" t="str">
        <f t="shared" si="70"/>
        <v>CPOS110314</v>
      </c>
      <c r="D591" s="95" t="s">
        <v>664</v>
      </c>
      <c r="E591" s="63" t="s">
        <v>119</v>
      </c>
      <c r="F591" s="64">
        <v>347.38</v>
      </c>
    </row>
    <row r="592" spans="1:6" x14ac:dyDescent="0.25">
      <c r="D592" s="94" t="s">
        <v>665</v>
      </c>
    </row>
    <row r="593" spans="1:6" x14ac:dyDescent="0.25">
      <c r="A593" s="62" t="s">
        <v>4398</v>
      </c>
      <c r="B593" s="96">
        <v>110402</v>
      </c>
      <c r="C593" s="96" t="str">
        <f t="shared" ref="C593:C595" si="71">A593&amp;B593</f>
        <v>CPOS110402</v>
      </c>
      <c r="D593" s="95" t="s">
        <v>666</v>
      </c>
      <c r="E593" s="63" t="s">
        <v>119</v>
      </c>
      <c r="F593" s="64">
        <v>208.91</v>
      </c>
    </row>
    <row r="594" spans="1:6" x14ac:dyDescent="0.25">
      <c r="A594" s="62" t="s">
        <v>4398</v>
      </c>
      <c r="B594" s="96">
        <v>110404</v>
      </c>
      <c r="C594" s="96" t="str">
        <f t="shared" si="71"/>
        <v>CPOS110404</v>
      </c>
      <c r="D594" s="95" t="s">
        <v>667</v>
      </c>
      <c r="E594" s="63" t="s">
        <v>119</v>
      </c>
      <c r="F594" s="64">
        <v>231.91</v>
      </c>
    </row>
    <row r="595" spans="1:6" x14ac:dyDescent="0.25">
      <c r="A595" s="62" t="s">
        <v>4398</v>
      </c>
      <c r="B595" s="96">
        <v>110406</v>
      </c>
      <c r="C595" s="96" t="str">
        <f t="shared" si="71"/>
        <v>CPOS110406</v>
      </c>
      <c r="D595" s="95" t="s">
        <v>668</v>
      </c>
      <c r="E595" s="63" t="s">
        <v>119</v>
      </c>
      <c r="F595" s="64">
        <v>279.64</v>
      </c>
    </row>
    <row r="596" spans="1:6" x14ac:dyDescent="0.25">
      <c r="D596" s="94" t="s">
        <v>669</v>
      </c>
    </row>
    <row r="597" spans="1:6" x14ac:dyDescent="0.25">
      <c r="A597" s="62" t="s">
        <v>4398</v>
      </c>
      <c r="B597" s="96">
        <v>110501</v>
      </c>
      <c r="C597" s="96" t="str">
        <f t="shared" ref="C597:C601" si="72">A597&amp;B597</f>
        <v>CPOS110501</v>
      </c>
      <c r="D597" s="95" t="s">
        <v>670</v>
      </c>
      <c r="E597" s="63" t="s">
        <v>119</v>
      </c>
      <c r="F597" s="64">
        <v>82.83</v>
      </c>
    </row>
    <row r="598" spans="1:6" x14ac:dyDescent="0.25">
      <c r="A598" s="62" t="s">
        <v>4398</v>
      </c>
      <c r="B598" s="96">
        <v>110503</v>
      </c>
      <c r="C598" s="96" t="str">
        <f t="shared" si="72"/>
        <v>CPOS110503</v>
      </c>
      <c r="D598" s="95" t="s">
        <v>671</v>
      </c>
      <c r="E598" s="63" t="s">
        <v>119</v>
      </c>
      <c r="F598" s="64">
        <v>2851.96</v>
      </c>
    </row>
    <row r="599" spans="1:6" x14ac:dyDescent="0.25">
      <c r="A599" s="62" t="s">
        <v>4398</v>
      </c>
      <c r="B599" s="96">
        <v>110504</v>
      </c>
      <c r="C599" s="96" t="str">
        <f t="shared" si="72"/>
        <v>CPOS110504</v>
      </c>
      <c r="D599" s="95" t="s">
        <v>672</v>
      </c>
      <c r="E599" s="63" t="s">
        <v>119</v>
      </c>
      <c r="F599" s="64">
        <v>250.36</v>
      </c>
    </row>
    <row r="600" spans="1:6" ht="30" x14ac:dyDescent="0.25">
      <c r="A600" s="62" t="s">
        <v>4398</v>
      </c>
      <c r="B600" s="96">
        <v>110506</v>
      </c>
      <c r="C600" s="96" t="str">
        <f t="shared" si="72"/>
        <v>CPOS110506</v>
      </c>
      <c r="D600" s="95" t="s">
        <v>673</v>
      </c>
      <c r="E600" s="63" t="s">
        <v>119</v>
      </c>
      <c r="F600" s="64">
        <v>419.1</v>
      </c>
    </row>
    <row r="601" spans="1:6" x14ac:dyDescent="0.25">
      <c r="A601" s="62" t="s">
        <v>4398</v>
      </c>
      <c r="B601" s="96">
        <v>110512</v>
      </c>
      <c r="C601" s="96" t="str">
        <f t="shared" si="72"/>
        <v>CPOS110512</v>
      </c>
      <c r="D601" s="95" t="s">
        <v>674</v>
      </c>
      <c r="E601" s="63" t="s">
        <v>119</v>
      </c>
      <c r="F601" s="64">
        <v>1916.8500000000001</v>
      </c>
    </row>
    <row r="602" spans="1:6" x14ac:dyDescent="0.25">
      <c r="D602" s="94" t="s">
        <v>675</v>
      </c>
    </row>
    <row r="603" spans="1:6" ht="30" x14ac:dyDescent="0.25">
      <c r="A603" s="62" t="s">
        <v>4398</v>
      </c>
      <c r="B603" s="96">
        <v>111602</v>
      </c>
      <c r="C603" s="96" t="str">
        <f t="shared" ref="C603:C607" si="73">A603&amp;B603</f>
        <v>CPOS111602</v>
      </c>
      <c r="D603" s="95" t="s">
        <v>676</v>
      </c>
      <c r="E603" s="63" t="s">
        <v>119</v>
      </c>
      <c r="F603" s="64">
        <v>47.75</v>
      </c>
    </row>
    <row r="604" spans="1:6" x14ac:dyDescent="0.25">
      <c r="A604" s="62" t="s">
        <v>4398</v>
      </c>
      <c r="B604" s="96">
        <v>111604</v>
      </c>
      <c r="C604" s="96" t="str">
        <f t="shared" si="73"/>
        <v>CPOS111604</v>
      </c>
      <c r="D604" s="95" t="s">
        <v>677</v>
      </c>
      <c r="E604" s="63" t="s">
        <v>119</v>
      </c>
      <c r="F604" s="64">
        <v>95.5</v>
      </c>
    </row>
    <row r="605" spans="1:6" x14ac:dyDescent="0.25">
      <c r="A605" s="62" t="s">
        <v>4398</v>
      </c>
      <c r="B605" s="96">
        <v>111606</v>
      </c>
      <c r="C605" s="96" t="str">
        <f t="shared" si="73"/>
        <v>CPOS111606</v>
      </c>
      <c r="D605" s="95" t="s">
        <v>678</v>
      </c>
      <c r="E605" s="63" t="s">
        <v>119</v>
      </c>
      <c r="F605" s="64">
        <v>65.959999999999994</v>
      </c>
    </row>
    <row r="606" spans="1:6" x14ac:dyDescent="0.25">
      <c r="A606" s="62" t="s">
        <v>4398</v>
      </c>
      <c r="B606" s="96">
        <v>111608</v>
      </c>
      <c r="C606" s="96" t="str">
        <f t="shared" si="73"/>
        <v>CPOS111608</v>
      </c>
      <c r="D606" s="95" t="s">
        <v>679</v>
      </c>
      <c r="E606" s="63" t="s">
        <v>119</v>
      </c>
      <c r="F606" s="64">
        <v>103.95</v>
      </c>
    </row>
    <row r="607" spans="1:6" x14ac:dyDescent="0.25">
      <c r="A607" s="62" t="s">
        <v>4398</v>
      </c>
      <c r="B607" s="96">
        <v>111622</v>
      </c>
      <c r="C607" s="96" t="str">
        <f t="shared" si="73"/>
        <v>CPOS111622</v>
      </c>
      <c r="D607" s="95" t="s">
        <v>680</v>
      </c>
      <c r="E607" s="63" t="s">
        <v>81</v>
      </c>
      <c r="F607" s="64">
        <v>12.47</v>
      </c>
    </row>
    <row r="608" spans="1:6" x14ac:dyDescent="0.25">
      <c r="D608" s="94" t="s">
        <v>681</v>
      </c>
    </row>
    <row r="609" spans="1:6" x14ac:dyDescent="0.25">
      <c r="A609" s="62" t="s">
        <v>4398</v>
      </c>
      <c r="B609" s="96">
        <v>111802</v>
      </c>
      <c r="C609" s="96" t="str">
        <f t="shared" ref="C609:C619" si="74">A609&amp;B609</f>
        <v>CPOS111802</v>
      </c>
      <c r="D609" s="95" t="s">
        <v>682</v>
      </c>
      <c r="E609" s="63" t="s">
        <v>119</v>
      </c>
      <c r="F609" s="64">
        <v>124.48</v>
      </c>
    </row>
    <row r="610" spans="1:6" x14ac:dyDescent="0.25">
      <c r="A610" s="62" t="s">
        <v>4398</v>
      </c>
      <c r="B610" s="96">
        <v>111804</v>
      </c>
      <c r="C610" s="96" t="str">
        <f t="shared" si="74"/>
        <v>CPOS111804</v>
      </c>
      <c r="D610" s="95" t="s">
        <v>683</v>
      </c>
      <c r="E610" s="63" t="s">
        <v>119</v>
      </c>
      <c r="F610" s="64">
        <v>100.58</v>
      </c>
    </row>
    <row r="611" spans="1:6" x14ac:dyDescent="0.25">
      <c r="A611" s="62" t="s">
        <v>4398</v>
      </c>
      <c r="B611" s="96">
        <v>111806</v>
      </c>
      <c r="C611" s="96" t="str">
        <f t="shared" si="74"/>
        <v>CPOS111806</v>
      </c>
      <c r="D611" s="95" t="s">
        <v>684</v>
      </c>
      <c r="E611" s="63" t="s">
        <v>81</v>
      </c>
      <c r="F611" s="64">
        <v>1.73</v>
      </c>
    </row>
    <row r="612" spans="1:6" x14ac:dyDescent="0.25">
      <c r="A612" s="62" t="s">
        <v>4398</v>
      </c>
      <c r="B612" s="96">
        <v>111807</v>
      </c>
      <c r="C612" s="96" t="str">
        <f t="shared" si="74"/>
        <v>CPOS111807</v>
      </c>
      <c r="D612" s="95" t="s">
        <v>685</v>
      </c>
      <c r="E612" s="63" t="s">
        <v>119</v>
      </c>
      <c r="F612" s="64">
        <v>335.88</v>
      </c>
    </row>
    <row r="613" spans="1:6" x14ac:dyDescent="0.25">
      <c r="A613" s="62" t="s">
        <v>4398</v>
      </c>
      <c r="B613" s="96">
        <v>111808</v>
      </c>
      <c r="C613" s="96" t="str">
        <f t="shared" si="74"/>
        <v>CPOS111808</v>
      </c>
      <c r="D613" s="95" t="s">
        <v>686</v>
      </c>
      <c r="E613" s="63" t="s">
        <v>119</v>
      </c>
      <c r="F613" s="64">
        <v>167.06</v>
      </c>
    </row>
    <row r="614" spans="1:6" x14ac:dyDescent="0.25">
      <c r="A614" s="62" t="s">
        <v>4398</v>
      </c>
      <c r="B614" s="96">
        <v>111811</v>
      </c>
      <c r="C614" s="96" t="str">
        <f t="shared" si="74"/>
        <v>CPOS111811</v>
      </c>
      <c r="D614" s="95" t="s">
        <v>687</v>
      </c>
      <c r="E614" s="63" t="s">
        <v>119</v>
      </c>
      <c r="F614" s="64">
        <v>22.68</v>
      </c>
    </row>
    <row r="615" spans="1:6" x14ac:dyDescent="0.25">
      <c r="A615" s="62" t="s">
        <v>4398</v>
      </c>
      <c r="B615" s="96">
        <v>111814</v>
      </c>
      <c r="C615" s="96" t="str">
        <f t="shared" si="74"/>
        <v>CPOS111814</v>
      </c>
      <c r="D615" s="95" t="s">
        <v>688</v>
      </c>
      <c r="E615" s="63" t="s">
        <v>119</v>
      </c>
      <c r="F615" s="64">
        <v>107.96000000000001</v>
      </c>
    </row>
    <row r="616" spans="1:6" x14ac:dyDescent="0.25">
      <c r="A616" s="62" t="s">
        <v>4398</v>
      </c>
      <c r="B616" s="96">
        <v>111815</v>
      </c>
      <c r="C616" s="96" t="str">
        <f t="shared" si="74"/>
        <v>CPOS111815</v>
      </c>
      <c r="D616" s="95" t="s">
        <v>689</v>
      </c>
      <c r="E616" s="63" t="s">
        <v>119</v>
      </c>
      <c r="F616" s="64">
        <v>116.27</v>
      </c>
    </row>
    <row r="617" spans="1:6" x14ac:dyDescent="0.25">
      <c r="A617" s="62" t="s">
        <v>4398</v>
      </c>
      <c r="B617" s="96">
        <v>111816</v>
      </c>
      <c r="C617" s="96" t="str">
        <f t="shared" si="74"/>
        <v>CPOS111816</v>
      </c>
      <c r="D617" s="95" t="s">
        <v>690</v>
      </c>
      <c r="E617" s="63" t="s">
        <v>119</v>
      </c>
      <c r="F617" s="64">
        <v>138.21</v>
      </c>
    </row>
    <row r="618" spans="1:6" x14ac:dyDescent="0.25">
      <c r="A618" s="62" t="s">
        <v>4398</v>
      </c>
      <c r="B618" s="96">
        <v>111818</v>
      </c>
      <c r="C618" s="96" t="str">
        <f t="shared" si="74"/>
        <v>CPOS111818</v>
      </c>
      <c r="D618" s="95" t="s">
        <v>691</v>
      </c>
      <c r="E618" s="63" t="s">
        <v>119</v>
      </c>
      <c r="F618" s="64">
        <v>93.12</v>
      </c>
    </row>
    <row r="619" spans="1:6" x14ac:dyDescent="0.25">
      <c r="A619" s="62" t="s">
        <v>4398</v>
      </c>
      <c r="B619" s="96">
        <v>111819</v>
      </c>
      <c r="C619" s="96" t="str">
        <f t="shared" si="74"/>
        <v>CPOS111819</v>
      </c>
      <c r="D619" s="95" t="s">
        <v>692</v>
      </c>
      <c r="E619" s="63" t="s">
        <v>119</v>
      </c>
      <c r="F619" s="64">
        <v>246.08</v>
      </c>
    </row>
    <row r="620" spans="1:6" x14ac:dyDescent="0.25">
      <c r="D620" s="94" t="s">
        <v>693</v>
      </c>
    </row>
    <row r="621" spans="1:6" x14ac:dyDescent="0.25">
      <c r="A621" s="62" t="s">
        <v>4398</v>
      </c>
      <c r="B621" s="96">
        <v>112003</v>
      </c>
      <c r="C621" s="96" t="str">
        <f t="shared" ref="C621:C625" si="75">A621&amp;B621</f>
        <v>CPOS112003</v>
      </c>
      <c r="D621" s="95" t="s">
        <v>694</v>
      </c>
      <c r="E621" s="63" t="s">
        <v>81</v>
      </c>
      <c r="F621" s="64">
        <v>3.61</v>
      </c>
    </row>
    <row r="622" spans="1:6" x14ac:dyDescent="0.25">
      <c r="A622" s="62" t="s">
        <v>4398</v>
      </c>
      <c r="B622" s="96">
        <v>112005</v>
      </c>
      <c r="C622" s="96" t="str">
        <f t="shared" si="75"/>
        <v>CPOS112005</v>
      </c>
      <c r="D622" s="95" t="s">
        <v>695</v>
      </c>
      <c r="E622" s="63" t="s">
        <v>110</v>
      </c>
      <c r="F622" s="64">
        <v>9.99</v>
      </c>
    </row>
    <row r="623" spans="1:6" x14ac:dyDescent="0.25">
      <c r="A623" s="62" t="s">
        <v>4398</v>
      </c>
      <c r="B623" s="96">
        <v>112009</v>
      </c>
      <c r="C623" s="96" t="str">
        <f t="shared" si="75"/>
        <v>CPOS112009</v>
      </c>
      <c r="D623" s="95" t="s">
        <v>696</v>
      </c>
      <c r="E623" s="63" t="s">
        <v>81</v>
      </c>
      <c r="F623" s="64">
        <v>4.59</v>
      </c>
    </row>
    <row r="624" spans="1:6" x14ac:dyDescent="0.25">
      <c r="A624" s="62" t="s">
        <v>4398</v>
      </c>
      <c r="B624" s="96">
        <v>112012</v>
      </c>
      <c r="C624" s="96" t="str">
        <f t="shared" si="75"/>
        <v>CPOS112012</v>
      </c>
      <c r="D624" s="95" t="s">
        <v>697</v>
      </c>
      <c r="E624" s="63" t="s">
        <v>119</v>
      </c>
      <c r="F624" s="64">
        <v>6396.33</v>
      </c>
    </row>
    <row r="625" spans="1:6" x14ac:dyDescent="0.25">
      <c r="A625" s="62" t="s">
        <v>4398</v>
      </c>
      <c r="B625" s="96">
        <v>112013</v>
      </c>
      <c r="C625" s="96" t="str">
        <f t="shared" si="75"/>
        <v>CPOS112013</v>
      </c>
      <c r="D625" s="95" t="s">
        <v>698</v>
      </c>
      <c r="E625" s="63" t="s">
        <v>110</v>
      </c>
      <c r="F625" s="64">
        <v>155.01</v>
      </c>
    </row>
    <row r="626" spans="1:6" x14ac:dyDescent="0.25">
      <c r="D626" s="94" t="s">
        <v>699</v>
      </c>
    </row>
    <row r="627" spans="1:6" x14ac:dyDescent="0.25">
      <c r="D627" s="94" t="s">
        <v>700</v>
      </c>
    </row>
    <row r="628" spans="1:6" x14ac:dyDescent="0.25">
      <c r="A628" s="62" t="s">
        <v>4398</v>
      </c>
      <c r="B628" s="96">
        <v>120102</v>
      </c>
      <c r="C628" s="96" t="str">
        <f t="shared" ref="C628:C630" si="76">A628&amp;B628</f>
        <v>CPOS120102</v>
      </c>
      <c r="D628" s="95" t="s">
        <v>701</v>
      </c>
      <c r="E628" s="63" t="s">
        <v>110</v>
      </c>
      <c r="F628" s="64">
        <v>38.479999999999997</v>
      </c>
    </row>
    <row r="629" spans="1:6" x14ac:dyDescent="0.25">
      <c r="A629" s="62" t="s">
        <v>4398</v>
      </c>
      <c r="B629" s="96">
        <v>120104</v>
      </c>
      <c r="C629" s="96" t="str">
        <f t="shared" si="76"/>
        <v>CPOS120104</v>
      </c>
      <c r="D629" s="95" t="s">
        <v>702</v>
      </c>
      <c r="E629" s="63" t="s">
        <v>110</v>
      </c>
      <c r="F629" s="64">
        <v>45.31</v>
      </c>
    </row>
    <row r="630" spans="1:6" x14ac:dyDescent="0.25">
      <c r="A630" s="62" t="s">
        <v>4398</v>
      </c>
      <c r="B630" s="96">
        <v>120106</v>
      </c>
      <c r="C630" s="96" t="str">
        <f t="shared" si="76"/>
        <v>CPOS120106</v>
      </c>
      <c r="D630" s="95" t="s">
        <v>703</v>
      </c>
      <c r="E630" s="63" t="s">
        <v>110</v>
      </c>
      <c r="F630" s="64">
        <v>54.95</v>
      </c>
    </row>
    <row r="631" spans="1:6" x14ac:dyDescent="0.25">
      <c r="D631" s="94" t="s">
        <v>704</v>
      </c>
    </row>
    <row r="632" spans="1:6" x14ac:dyDescent="0.25">
      <c r="A632" s="62" t="s">
        <v>4398</v>
      </c>
      <c r="B632" s="96">
        <v>120401</v>
      </c>
      <c r="C632" s="96" t="str">
        <f t="shared" ref="C632:C638" si="77">A632&amp;B632</f>
        <v>CPOS120401</v>
      </c>
      <c r="D632" s="95" t="s">
        <v>705</v>
      </c>
      <c r="E632" s="63" t="s">
        <v>79</v>
      </c>
      <c r="F632" s="64">
        <v>8820.19</v>
      </c>
    </row>
    <row r="633" spans="1:6" x14ac:dyDescent="0.25">
      <c r="A633" s="62" t="s">
        <v>4398</v>
      </c>
      <c r="B633" s="96">
        <v>120402</v>
      </c>
      <c r="C633" s="96" t="str">
        <f t="shared" si="77"/>
        <v>CPOS120402</v>
      </c>
      <c r="D633" s="95" t="s">
        <v>706</v>
      </c>
      <c r="E633" s="63" t="s">
        <v>110</v>
      </c>
      <c r="F633" s="64">
        <v>66.930000000000007</v>
      </c>
    </row>
    <row r="634" spans="1:6" x14ac:dyDescent="0.25">
      <c r="A634" s="62" t="s">
        <v>4398</v>
      </c>
      <c r="B634" s="96">
        <v>120403</v>
      </c>
      <c r="C634" s="96" t="str">
        <f t="shared" si="77"/>
        <v>CPOS120403</v>
      </c>
      <c r="D634" s="95" t="s">
        <v>707</v>
      </c>
      <c r="E634" s="63" t="s">
        <v>110</v>
      </c>
      <c r="F634" s="64">
        <v>75.239999999999995</v>
      </c>
    </row>
    <row r="635" spans="1:6" x14ac:dyDescent="0.25">
      <c r="A635" s="62" t="s">
        <v>4398</v>
      </c>
      <c r="B635" s="96">
        <v>120404</v>
      </c>
      <c r="C635" s="96" t="str">
        <f t="shared" si="77"/>
        <v>CPOS120404</v>
      </c>
      <c r="D635" s="95" t="s">
        <v>708</v>
      </c>
      <c r="E635" s="63" t="s">
        <v>110</v>
      </c>
      <c r="F635" s="64">
        <v>93.79</v>
      </c>
    </row>
    <row r="636" spans="1:6" x14ac:dyDescent="0.25">
      <c r="A636" s="62" t="s">
        <v>4398</v>
      </c>
      <c r="B636" s="96">
        <v>120405</v>
      </c>
      <c r="C636" s="96" t="str">
        <f t="shared" si="77"/>
        <v>CPOS120405</v>
      </c>
      <c r="D636" s="95" t="s">
        <v>709</v>
      </c>
      <c r="E636" s="63" t="s">
        <v>110</v>
      </c>
      <c r="F636" s="64">
        <v>118.36</v>
      </c>
    </row>
    <row r="637" spans="1:6" x14ac:dyDescent="0.25">
      <c r="A637" s="62" t="s">
        <v>4398</v>
      </c>
      <c r="B637" s="96">
        <v>120406</v>
      </c>
      <c r="C637" s="96" t="str">
        <f t="shared" si="77"/>
        <v>CPOS120406</v>
      </c>
      <c r="D637" s="95" t="s">
        <v>710</v>
      </c>
      <c r="E637" s="63" t="s">
        <v>110</v>
      </c>
      <c r="F637" s="64">
        <v>124.92</v>
      </c>
    </row>
    <row r="638" spans="1:6" x14ac:dyDescent="0.25">
      <c r="A638" s="62" t="s">
        <v>4398</v>
      </c>
      <c r="B638" s="96">
        <v>120407</v>
      </c>
      <c r="C638" s="96" t="str">
        <f t="shared" si="77"/>
        <v>CPOS120407</v>
      </c>
      <c r="D638" s="95" t="s">
        <v>711</v>
      </c>
      <c r="E638" s="63" t="s">
        <v>110</v>
      </c>
      <c r="F638" s="64">
        <v>166.06</v>
      </c>
    </row>
    <row r="639" spans="1:6" x14ac:dyDescent="0.25">
      <c r="D639" s="94" t="s">
        <v>712</v>
      </c>
    </row>
    <row r="640" spans="1:6" x14ac:dyDescent="0.25">
      <c r="A640" s="62" t="s">
        <v>4398</v>
      </c>
      <c r="B640" s="96">
        <v>120501</v>
      </c>
      <c r="C640" s="96" t="str">
        <f t="shared" ref="C640:C644" si="78">A640&amp;B640</f>
        <v>CPOS120501</v>
      </c>
      <c r="D640" s="95" t="s">
        <v>713</v>
      </c>
      <c r="E640" s="63" t="s">
        <v>79</v>
      </c>
      <c r="F640" s="64">
        <v>1445.71</v>
      </c>
    </row>
    <row r="641" spans="1:6" x14ac:dyDescent="0.25">
      <c r="A641" s="62" t="s">
        <v>4398</v>
      </c>
      <c r="B641" s="96">
        <v>120502</v>
      </c>
      <c r="C641" s="96" t="str">
        <f t="shared" si="78"/>
        <v>CPOS120502</v>
      </c>
      <c r="D641" s="95" t="s">
        <v>714</v>
      </c>
      <c r="E641" s="63" t="s">
        <v>110</v>
      </c>
      <c r="F641" s="64">
        <v>32.270000000000003</v>
      </c>
    </row>
    <row r="642" spans="1:6" x14ac:dyDescent="0.25">
      <c r="A642" s="62" t="s">
        <v>4398</v>
      </c>
      <c r="B642" s="96">
        <v>120503</v>
      </c>
      <c r="C642" s="96" t="str">
        <f t="shared" si="78"/>
        <v>CPOS120503</v>
      </c>
      <c r="D642" s="95" t="s">
        <v>715</v>
      </c>
      <c r="E642" s="63" t="s">
        <v>110</v>
      </c>
      <c r="F642" s="64">
        <v>43.86</v>
      </c>
    </row>
    <row r="643" spans="1:6" x14ac:dyDescent="0.25">
      <c r="A643" s="62" t="s">
        <v>4398</v>
      </c>
      <c r="B643" s="96">
        <v>120504</v>
      </c>
      <c r="C643" s="96" t="str">
        <f t="shared" si="78"/>
        <v>CPOS120504</v>
      </c>
      <c r="D643" s="95" t="s">
        <v>716</v>
      </c>
      <c r="E643" s="63" t="s">
        <v>110</v>
      </c>
      <c r="F643" s="64">
        <v>58</v>
      </c>
    </row>
    <row r="644" spans="1:6" x14ac:dyDescent="0.25">
      <c r="A644" s="62" t="s">
        <v>4398</v>
      </c>
      <c r="B644" s="96">
        <v>120515</v>
      </c>
      <c r="C644" s="96" t="str">
        <f t="shared" si="78"/>
        <v>CPOS120515</v>
      </c>
      <c r="D644" s="95" t="s">
        <v>717</v>
      </c>
      <c r="E644" s="63" t="s">
        <v>110</v>
      </c>
      <c r="F644" s="64">
        <v>74.69</v>
      </c>
    </row>
    <row r="645" spans="1:6" x14ac:dyDescent="0.25">
      <c r="D645" s="94" t="s">
        <v>718</v>
      </c>
    </row>
    <row r="646" spans="1:6" x14ac:dyDescent="0.25">
      <c r="A646" s="62" t="s">
        <v>4398</v>
      </c>
      <c r="B646" s="96">
        <v>120601</v>
      </c>
      <c r="C646" s="96" t="str">
        <f t="shared" ref="C646:C650" si="79">A646&amp;B646</f>
        <v>CPOS120601</v>
      </c>
      <c r="D646" s="95" t="s">
        <v>719</v>
      </c>
      <c r="E646" s="63" t="s">
        <v>79</v>
      </c>
      <c r="F646" s="64">
        <v>1609</v>
      </c>
    </row>
    <row r="647" spans="1:6" x14ac:dyDescent="0.25">
      <c r="A647" s="62" t="s">
        <v>4398</v>
      </c>
      <c r="B647" s="96">
        <v>120602</v>
      </c>
      <c r="C647" s="96" t="str">
        <f t="shared" si="79"/>
        <v>CPOS120602</v>
      </c>
      <c r="D647" s="95" t="s">
        <v>720</v>
      </c>
      <c r="E647" s="63" t="s">
        <v>110</v>
      </c>
      <c r="F647" s="64">
        <v>50.4</v>
      </c>
    </row>
    <row r="648" spans="1:6" x14ac:dyDescent="0.25">
      <c r="A648" s="62" t="s">
        <v>4398</v>
      </c>
      <c r="B648" s="96">
        <v>120603</v>
      </c>
      <c r="C648" s="96" t="str">
        <f t="shared" si="79"/>
        <v>CPOS120603</v>
      </c>
      <c r="D648" s="95" t="s">
        <v>721</v>
      </c>
      <c r="E648" s="63" t="s">
        <v>110</v>
      </c>
      <c r="F648" s="64">
        <v>63.93</v>
      </c>
    </row>
    <row r="649" spans="1:6" x14ac:dyDescent="0.25">
      <c r="A649" s="62" t="s">
        <v>4398</v>
      </c>
      <c r="B649" s="96">
        <v>120604</v>
      </c>
      <c r="C649" s="96" t="str">
        <f t="shared" si="79"/>
        <v>CPOS120604</v>
      </c>
      <c r="D649" s="95" t="s">
        <v>722</v>
      </c>
      <c r="E649" s="63" t="s">
        <v>110</v>
      </c>
      <c r="F649" s="64">
        <v>82.78</v>
      </c>
    </row>
    <row r="650" spans="1:6" x14ac:dyDescent="0.25">
      <c r="A650" s="62" t="s">
        <v>4398</v>
      </c>
      <c r="B650" s="96">
        <v>120608</v>
      </c>
      <c r="C650" s="96" t="str">
        <f t="shared" si="79"/>
        <v>CPOS120608</v>
      </c>
      <c r="D650" s="95" t="s">
        <v>723</v>
      </c>
      <c r="E650" s="63" t="s">
        <v>110</v>
      </c>
      <c r="F650" s="64">
        <v>124.13000000000001</v>
      </c>
    </row>
    <row r="651" spans="1:6" x14ac:dyDescent="0.25">
      <c r="D651" s="94" t="s">
        <v>724</v>
      </c>
    </row>
    <row r="652" spans="1:6" x14ac:dyDescent="0.25">
      <c r="A652" s="62" t="s">
        <v>4398</v>
      </c>
      <c r="B652" s="96">
        <v>120701</v>
      </c>
      <c r="C652" s="96" t="str">
        <f t="shared" ref="C652:C660" si="80">A652&amp;B652</f>
        <v>CPOS120701</v>
      </c>
      <c r="D652" s="95" t="s">
        <v>725</v>
      </c>
      <c r="E652" s="63" t="s">
        <v>79</v>
      </c>
      <c r="F652" s="64">
        <v>14972.01</v>
      </c>
    </row>
    <row r="653" spans="1:6" x14ac:dyDescent="0.25">
      <c r="A653" s="62" t="s">
        <v>4398</v>
      </c>
      <c r="B653" s="96">
        <v>120703</v>
      </c>
      <c r="C653" s="96" t="str">
        <f t="shared" si="80"/>
        <v>CPOS120703</v>
      </c>
      <c r="D653" s="95" t="s">
        <v>726</v>
      </c>
      <c r="E653" s="63" t="s">
        <v>110</v>
      </c>
      <c r="F653" s="64">
        <v>136.72</v>
      </c>
    </row>
    <row r="654" spans="1:6" x14ac:dyDescent="0.25">
      <c r="A654" s="62" t="s">
        <v>4398</v>
      </c>
      <c r="B654" s="96">
        <v>120705</v>
      </c>
      <c r="C654" s="96" t="str">
        <f t="shared" si="80"/>
        <v>CPOS120705</v>
      </c>
      <c r="D654" s="95" t="s">
        <v>727</v>
      </c>
      <c r="E654" s="63" t="s">
        <v>110</v>
      </c>
      <c r="F654" s="64">
        <v>151.47</v>
      </c>
    </row>
    <row r="655" spans="1:6" x14ac:dyDescent="0.25">
      <c r="A655" s="62" t="s">
        <v>4398</v>
      </c>
      <c r="B655" s="96">
        <v>120706</v>
      </c>
      <c r="C655" s="96" t="str">
        <f t="shared" si="80"/>
        <v>CPOS120706</v>
      </c>
      <c r="D655" s="95" t="s">
        <v>728</v>
      </c>
      <c r="E655" s="63" t="s">
        <v>110</v>
      </c>
      <c r="F655" s="64">
        <v>189.66</v>
      </c>
    </row>
    <row r="656" spans="1:6" x14ac:dyDescent="0.25">
      <c r="A656" s="62" t="s">
        <v>4398</v>
      </c>
      <c r="B656" s="96">
        <v>120707</v>
      </c>
      <c r="C656" s="96" t="str">
        <f t="shared" si="80"/>
        <v>CPOS120707</v>
      </c>
      <c r="D656" s="95" t="s">
        <v>729</v>
      </c>
      <c r="E656" s="63" t="s">
        <v>110</v>
      </c>
      <c r="F656" s="64">
        <v>216.62</v>
      </c>
    </row>
    <row r="657" spans="1:6" x14ac:dyDescent="0.25">
      <c r="A657" s="62" t="s">
        <v>4398</v>
      </c>
      <c r="B657" s="96">
        <v>120709</v>
      </c>
      <c r="C657" s="96" t="str">
        <f t="shared" si="80"/>
        <v>CPOS120709</v>
      </c>
      <c r="D657" s="95" t="s">
        <v>730</v>
      </c>
      <c r="E657" s="63" t="s">
        <v>110</v>
      </c>
      <c r="F657" s="64">
        <v>264.45</v>
      </c>
    </row>
    <row r="658" spans="1:6" x14ac:dyDescent="0.25">
      <c r="A658" s="62" t="s">
        <v>4398</v>
      </c>
      <c r="B658" s="96">
        <v>120710</v>
      </c>
      <c r="C658" s="96" t="str">
        <f t="shared" si="80"/>
        <v>CPOS120710</v>
      </c>
      <c r="D658" s="95" t="s">
        <v>731</v>
      </c>
      <c r="E658" s="63" t="s">
        <v>110</v>
      </c>
      <c r="F658" s="64">
        <v>303.38</v>
      </c>
    </row>
    <row r="659" spans="1:6" x14ac:dyDescent="0.25">
      <c r="A659" s="62" t="s">
        <v>4398</v>
      </c>
      <c r="B659" s="96">
        <v>120711</v>
      </c>
      <c r="C659" s="96" t="str">
        <f t="shared" si="80"/>
        <v>CPOS120711</v>
      </c>
      <c r="D659" s="95" t="s">
        <v>732</v>
      </c>
      <c r="E659" s="63" t="s">
        <v>110</v>
      </c>
      <c r="F659" s="64">
        <v>350.07</v>
      </c>
    </row>
    <row r="660" spans="1:6" x14ac:dyDescent="0.25">
      <c r="A660" s="62" t="s">
        <v>4398</v>
      </c>
      <c r="B660" s="96">
        <v>120713</v>
      </c>
      <c r="C660" s="96" t="str">
        <f t="shared" si="80"/>
        <v>CPOS120713</v>
      </c>
      <c r="D660" s="95" t="s">
        <v>733</v>
      </c>
      <c r="E660" s="63" t="s">
        <v>110</v>
      </c>
      <c r="F660" s="64">
        <v>441.74</v>
      </c>
    </row>
    <row r="661" spans="1:6" x14ac:dyDescent="0.25">
      <c r="D661" s="94" t="s">
        <v>734</v>
      </c>
    </row>
    <row r="662" spans="1:6" x14ac:dyDescent="0.25">
      <c r="A662" s="62" t="s">
        <v>4398</v>
      </c>
      <c r="B662" s="96">
        <v>120901</v>
      </c>
      <c r="C662" s="96" t="str">
        <f t="shared" ref="C662:C671" si="81">A662&amp;B662</f>
        <v>CPOS120901</v>
      </c>
      <c r="D662" s="95" t="s">
        <v>735</v>
      </c>
      <c r="E662" s="63" t="s">
        <v>79</v>
      </c>
      <c r="F662" s="64">
        <v>1380.67</v>
      </c>
    </row>
    <row r="663" spans="1:6" x14ac:dyDescent="0.25">
      <c r="A663" s="62" t="s">
        <v>4398</v>
      </c>
      <c r="B663" s="96">
        <v>120902</v>
      </c>
      <c r="C663" s="96" t="str">
        <f t="shared" si="81"/>
        <v>CPOS120902</v>
      </c>
      <c r="D663" s="95" t="s">
        <v>736</v>
      </c>
      <c r="E663" s="63" t="s">
        <v>110</v>
      </c>
      <c r="F663" s="64">
        <v>20.18</v>
      </c>
    </row>
    <row r="664" spans="1:6" x14ac:dyDescent="0.25">
      <c r="A664" s="62" t="s">
        <v>4398</v>
      </c>
      <c r="B664" s="96">
        <v>120904</v>
      </c>
      <c r="C664" s="96" t="str">
        <f t="shared" si="81"/>
        <v>CPOS120904</v>
      </c>
      <c r="D664" s="95" t="s">
        <v>737</v>
      </c>
      <c r="E664" s="63" t="s">
        <v>110</v>
      </c>
      <c r="F664" s="64">
        <v>24.490000000000002</v>
      </c>
    </row>
    <row r="665" spans="1:6" x14ac:dyDescent="0.25">
      <c r="A665" s="62" t="s">
        <v>4398</v>
      </c>
      <c r="B665" s="96">
        <v>120906</v>
      </c>
      <c r="C665" s="96" t="str">
        <f t="shared" si="81"/>
        <v>CPOS120906</v>
      </c>
      <c r="D665" s="95" t="s">
        <v>738</v>
      </c>
      <c r="E665" s="63" t="s">
        <v>110</v>
      </c>
      <c r="F665" s="64">
        <v>39.119999999999997</v>
      </c>
    </row>
    <row r="666" spans="1:6" x14ac:dyDescent="0.25">
      <c r="A666" s="62" t="s">
        <v>4398</v>
      </c>
      <c r="B666" s="96">
        <v>120907</v>
      </c>
      <c r="C666" s="96" t="str">
        <f t="shared" si="81"/>
        <v>CPOS120907</v>
      </c>
      <c r="D666" s="95" t="s">
        <v>739</v>
      </c>
      <c r="E666" s="63" t="s">
        <v>110</v>
      </c>
      <c r="F666" s="64">
        <v>120.69</v>
      </c>
    </row>
    <row r="667" spans="1:6" x14ac:dyDescent="0.25">
      <c r="A667" s="62" t="s">
        <v>4398</v>
      </c>
      <c r="B667" s="96">
        <v>120908</v>
      </c>
      <c r="C667" s="96" t="str">
        <f t="shared" si="81"/>
        <v>CPOS120908</v>
      </c>
      <c r="D667" s="95" t="s">
        <v>740</v>
      </c>
      <c r="E667" s="63" t="s">
        <v>110</v>
      </c>
      <c r="F667" s="64">
        <v>175.91</v>
      </c>
    </row>
    <row r="668" spans="1:6" x14ac:dyDescent="0.25">
      <c r="A668" s="62" t="s">
        <v>4398</v>
      </c>
      <c r="B668" s="96">
        <v>120910</v>
      </c>
      <c r="C668" s="96" t="str">
        <f t="shared" si="81"/>
        <v>CPOS120910</v>
      </c>
      <c r="D668" s="95" t="s">
        <v>741</v>
      </c>
      <c r="E668" s="63" t="s">
        <v>110</v>
      </c>
      <c r="F668" s="64">
        <v>261.14999999999998</v>
      </c>
    </row>
    <row r="669" spans="1:6" x14ac:dyDescent="0.25">
      <c r="A669" s="62" t="s">
        <v>4398</v>
      </c>
      <c r="B669" s="96">
        <v>120912</v>
      </c>
      <c r="C669" s="96" t="str">
        <f t="shared" si="81"/>
        <v>CPOS120912</v>
      </c>
      <c r="D669" s="95" t="s">
        <v>742</v>
      </c>
      <c r="E669" s="63" t="s">
        <v>110</v>
      </c>
      <c r="F669" s="64">
        <v>72.33</v>
      </c>
    </row>
    <row r="670" spans="1:6" x14ac:dyDescent="0.25">
      <c r="A670" s="62" t="s">
        <v>4398</v>
      </c>
      <c r="B670" s="96">
        <v>120913</v>
      </c>
      <c r="C670" s="96" t="str">
        <f t="shared" si="81"/>
        <v>CPOS120913</v>
      </c>
      <c r="D670" s="95" t="s">
        <v>743</v>
      </c>
      <c r="E670" s="63" t="s">
        <v>110</v>
      </c>
      <c r="F670" s="64">
        <v>62.4</v>
      </c>
    </row>
    <row r="671" spans="1:6" x14ac:dyDescent="0.25">
      <c r="A671" s="62" t="s">
        <v>4398</v>
      </c>
      <c r="B671" s="96">
        <v>120950</v>
      </c>
      <c r="C671" s="96" t="str">
        <f t="shared" si="81"/>
        <v>CPOS120950</v>
      </c>
      <c r="D671" s="95" t="s">
        <v>744</v>
      </c>
      <c r="E671" s="63" t="s">
        <v>119</v>
      </c>
      <c r="F671" s="64">
        <v>291.88</v>
      </c>
    </row>
    <row r="672" spans="1:6" x14ac:dyDescent="0.25">
      <c r="D672" s="94" t="s">
        <v>745</v>
      </c>
    </row>
    <row r="673" spans="1:6" x14ac:dyDescent="0.25">
      <c r="A673" s="62" t="s">
        <v>4398</v>
      </c>
      <c r="B673" s="96">
        <v>121201</v>
      </c>
      <c r="C673" s="96" t="str">
        <f t="shared" ref="C673:C682" si="82">A673&amp;B673</f>
        <v>CPOS121201</v>
      </c>
      <c r="D673" s="95" t="s">
        <v>746</v>
      </c>
      <c r="E673" s="63" t="s">
        <v>79</v>
      </c>
      <c r="F673" s="64">
        <v>25921.260000000002</v>
      </c>
    </row>
    <row r="674" spans="1:6" x14ac:dyDescent="0.25">
      <c r="A674" s="62" t="s">
        <v>4398</v>
      </c>
      <c r="B674" s="96">
        <v>121202</v>
      </c>
      <c r="C674" s="96" t="str">
        <f t="shared" si="82"/>
        <v>CPOS121202</v>
      </c>
      <c r="D674" s="95" t="s">
        <v>747</v>
      </c>
      <c r="E674" s="63" t="s">
        <v>110</v>
      </c>
      <c r="F674" s="64">
        <v>47.910000000000004</v>
      </c>
    </row>
    <row r="675" spans="1:6" x14ac:dyDescent="0.25">
      <c r="A675" s="62" t="s">
        <v>4398</v>
      </c>
      <c r="B675" s="96">
        <v>121203</v>
      </c>
      <c r="C675" s="96" t="str">
        <f t="shared" si="82"/>
        <v>CPOS121203</v>
      </c>
      <c r="D675" s="95" t="s">
        <v>748</v>
      </c>
      <c r="E675" s="63" t="s">
        <v>110</v>
      </c>
      <c r="F675" s="64">
        <v>85.13</v>
      </c>
    </row>
    <row r="676" spans="1:6" x14ac:dyDescent="0.25">
      <c r="A676" s="62" t="s">
        <v>4398</v>
      </c>
      <c r="B676" s="96">
        <v>121204</v>
      </c>
      <c r="C676" s="96" t="str">
        <f t="shared" si="82"/>
        <v>CPOS121204</v>
      </c>
      <c r="D676" s="95" t="s">
        <v>749</v>
      </c>
      <c r="E676" s="63" t="s">
        <v>110</v>
      </c>
      <c r="F676" s="64">
        <v>41.300000000000004</v>
      </c>
    </row>
    <row r="677" spans="1:6" x14ac:dyDescent="0.25">
      <c r="A677" s="62" t="s">
        <v>4398</v>
      </c>
      <c r="B677" s="96">
        <v>121205</v>
      </c>
      <c r="C677" s="96" t="str">
        <f t="shared" si="82"/>
        <v>CPOS121205</v>
      </c>
      <c r="D677" s="95" t="s">
        <v>750</v>
      </c>
      <c r="E677" s="63" t="s">
        <v>110</v>
      </c>
      <c r="F677" s="64">
        <v>24.73</v>
      </c>
    </row>
    <row r="678" spans="1:6" x14ac:dyDescent="0.25">
      <c r="A678" s="62" t="s">
        <v>4398</v>
      </c>
      <c r="B678" s="96">
        <v>121206</v>
      </c>
      <c r="C678" s="96" t="str">
        <f t="shared" si="82"/>
        <v>CPOS121206</v>
      </c>
      <c r="D678" s="95" t="s">
        <v>751</v>
      </c>
      <c r="E678" s="63" t="s">
        <v>110</v>
      </c>
      <c r="F678" s="64">
        <v>55.93</v>
      </c>
    </row>
    <row r="679" spans="1:6" x14ac:dyDescent="0.25">
      <c r="A679" s="62" t="s">
        <v>4398</v>
      </c>
      <c r="B679" s="96">
        <v>121207</v>
      </c>
      <c r="C679" s="96" t="str">
        <f t="shared" si="82"/>
        <v>CPOS121207</v>
      </c>
      <c r="D679" s="95" t="s">
        <v>752</v>
      </c>
      <c r="E679" s="63" t="s">
        <v>110</v>
      </c>
      <c r="F679" s="64">
        <v>69.2</v>
      </c>
    </row>
    <row r="680" spans="1:6" x14ac:dyDescent="0.25">
      <c r="A680" s="62" t="s">
        <v>4398</v>
      </c>
      <c r="B680" s="96">
        <v>121208</v>
      </c>
      <c r="C680" s="96" t="str">
        <f t="shared" si="82"/>
        <v>CPOS121208</v>
      </c>
      <c r="D680" s="95" t="s">
        <v>753</v>
      </c>
      <c r="E680" s="63" t="s">
        <v>110</v>
      </c>
      <c r="F680" s="64">
        <v>171.33</v>
      </c>
    </row>
    <row r="681" spans="1:6" x14ac:dyDescent="0.25">
      <c r="A681" s="62" t="s">
        <v>4398</v>
      </c>
      <c r="B681" s="96">
        <v>121209</v>
      </c>
      <c r="C681" s="96" t="str">
        <f t="shared" si="82"/>
        <v>CPOS121209</v>
      </c>
      <c r="D681" s="95" t="s">
        <v>754</v>
      </c>
      <c r="E681" s="63" t="s">
        <v>110</v>
      </c>
      <c r="F681" s="64">
        <v>99.91</v>
      </c>
    </row>
    <row r="682" spans="1:6" x14ac:dyDescent="0.25">
      <c r="A682" s="62" t="s">
        <v>4398</v>
      </c>
      <c r="B682" s="96">
        <v>121210</v>
      </c>
      <c r="C682" s="96" t="str">
        <f t="shared" si="82"/>
        <v>CPOS121210</v>
      </c>
      <c r="D682" s="95" t="s">
        <v>755</v>
      </c>
      <c r="E682" s="63" t="s">
        <v>110</v>
      </c>
      <c r="F682" s="64">
        <v>115.91</v>
      </c>
    </row>
    <row r="683" spans="1:6" x14ac:dyDescent="0.25">
      <c r="D683" s="94" t="s">
        <v>756</v>
      </c>
    </row>
    <row r="684" spans="1:6" ht="30" x14ac:dyDescent="0.25">
      <c r="A684" s="62" t="s">
        <v>4398</v>
      </c>
      <c r="B684" s="96">
        <v>121401</v>
      </c>
      <c r="C684" s="96" t="str">
        <f t="shared" ref="C684:C687" si="83">A684&amp;B684</f>
        <v>CPOS121401</v>
      </c>
      <c r="D684" s="95" t="s">
        <v>757</v>
      </c>
      <c r="E684" s="63" t="s">
        <v>79</v>
      </c>
      <c r="F684" s="64">
        <v>9520</v>
      </c>
    </row>
    <row r="685" spans="1:6" x14ac:dyDescent="0.25">
      <c r="A685" s="62" t="s">
        <v>4398</v>
      </c>
      <c r="B685" s="96">
        <v>121404</v>
      </c>
      <c r="C685" s="96" t="str">
        <f t="shared" si="83"/>
        <v>CPOS121404</v>
      </c>
      <c r="D685" s="95" t="s">
        <v>758</v>
      </c>
      <c r="E685" s="63" t="s">
        <v>110</v>
      </c>
      <c r="F685" s="64">
        <v>160.55000000000001</v>
      </c>
    </row>
    <row r="686" spans="1:6" x14ac:dyDescent="0.25">
      <c r="A686" s="62" t="s">
        <v>4398</v>
      </c>
      <c r="B686" s="96">
        <v>121405</v>
      </c>
      <c r="C686" s="96" t="str">
        <f t="shared" si="83"/>
        <v>CPOS121405</v>
      </c>
      <c r="D686" s="95" t="s">
        <v>759</v>
      </c>
      <c r="E686" s="63" t="s">
        <v>110</v>
      </c>
      <c r="F686" s="64">
        <v>192.13</v>
      </c>
    </row>
    <row r="687" spans="1:6" x14ac:dyDescent="0.25">
      <c r="A687" s="62" t="s">
        <v>4398</v>
      </c>
      <c r="B687" s="96">
        <v>121406</v>
      </c>
      <c r="C687" s="96" t="str">
        <f t="shared" si="83"/>
        <v>CPOS121406</v>
      </c>
      <c r="D687" s="95" t="s">
        <v>760</v>
      </c>
      <c r="E687" s="63" t="s">
        <v>110</v>
      </c>
      <c r="F687" s="64">
        <v>233.84</v>
      </c>
    </row>
    <row r="688" spans="1:6" x14ac:dyDescent="0.25">
      <c r="D688" s="94" t="s">
        <v>761</v>
      </c>
    </row>
    <row r="689" spans="1:6" x14ac:dyDescent="0.25">
      <c r="D689" s="94" t="s">
        <v>762</v>
      </c>
    </row>
    <row r="690" spans="1:6" ht="30" x14ac:dyDescent="0.25">
      <c r="A690" s="62" t="s">
        <v>4398</v>
      </c>
      <c r="B690" s="96">
        <v>130102</v>
      </c>
      <c r="C690" s="96" t="str">
        <f t="shared" ref="C690:C699" si="84">A690&amp;B690</f>
        <v>CPOS130102</v>
      </c>
      <c r="D690" s="95" t="s">
        <v>763</v>
      </c>
      <c r="E690" s="63" t="s">
        <v>81</v>
      </c>
      <c r="F690" s="64">
        <v>78.790000000000006</v>
      </c>
    </row>
    <row r="691" spans="1:6" ht="30" x14ac:dyDescent="0.25">
      <c r="A691" s="62" t="s">
        <v>4398</v>
      </c>
      <c r="B691" s="96">
        <v>130104</v>
      </c>
      <c r="C691" s="96" t="str">
        <f t="shared" si="84"/>
        <v>CPOS130104</v>
      </c>
      <c r="D691" s="95" t="s">
        <v>764</v>
      </c>
      <c r="E691" s="63" t="s">
        <v>81</v>
      </c>
      <c r="F691" s="64">
        <v>89.14</v>
      </c>
    </row>
    <row r="692" spans="1:6" ht="30" x14ac:dyDescent="0.25">
      <c r="A692" s="62" t="s">
        <v>4398</v>
      </c>
      <c r="B692" s="96">
        <v>130106</v>
      </c>
      <c r="C692" s="96" t="str">
        <f t="shared" si="84"/>
        <v>CPOS130106</v>
      </c>
      <c r="D692" s="95" t="s">
        <v>765</v>
      </c>
      <c r="E692" s="63" t="s">
        <v>81</v>
      </c>
      <c r="F692" s="64">
        <v>100.10000000000001</v>
      </c>
    </row>
    <row r="693" spans="1:6" ht="30" x14ac:dyDescent="0.25">
      <c r="A693" s="62" t="s">
        <v>4398</v>
      </c>
      <c r="B693" s="96">
        <v>130108</v>
      </c>
      <c r="C693" s="96" t="str">
        <f t="shared" si="84"/>
        <v>CPOS130108</v>
      </c>
      <c r="D693" s="95" t="s">
        <v>766</v>
      </c>
      <c r="E693" s="63" t="s">
        <v>81</v>
      </c>
      <c r="F693" s="64">
        <v>113.52</v>
      </c>
    </row>
    <row r="694" spans="1:6" ht="30" x14ac:dyDescent="0.25">
      <c r="A694" s="62" t="s">
        <v>4398</v>
      </c>
      <c r="B694" s="96">
        <v>130110</v>
      </c>
      <c r="C694" s="96" t="str">
        <f t="shared" si="84"/>
        <v>CPOS130110</v>
      </c>
      <c r="D694" s="95" t="s">
        <v>767</v>
      </c>
      <c r="E694" s="63" t="s">
        <v>81</v>
      </c>
      <c r="F694" s="64">
        <v>135.52000000000001</v>
      </c>
    </row>
    <row r="695" spans="1:6" ht="30" x14ac:dyDescent="0.25">
      <c r="A695" s="62" t="s">
        <v>4398</v>
      </c>
      <c r="B695" s="96">
        <v>130112</v>
      </c>
      <c r="C695" s="96" t="str">
        <f t="shared" si="84"/>
        <v>CPOS130112</v>
      </c>
      <c r="D695" s="95" t="s">
        <v>768</v>
      </c>
      <c r="E695" s="63" t="s">
        <v>81</v>
      </c>
      <c r="F695" s="64">
        <v>79.33</v>
      </c>
    </row>
    <row r="696" spans="1:6" ht="30" x14ac:dyDescent="0.25">
      <c r="A696" s="62" t="s">
        <v>4398</v>
      </c>
      <c r="B696" s="96">
        <v>130114</v>
      </c>
      <c r="C696" s="96" t="str">
        <f t="shared" si="84"/>
        <v>CPOS130114</v>
      </c>
      <c r="D696" s="95" t="s">
        <v>769</v>
      </c>
      <c r="E696" s="63" t="s">
        <v>81</v>
      </c>
      <c r="F696" s="64">
        <v>89.68</v>
      </c>
    </row>
    <row r="697" spans="1:6" ht="30" x14ac:dyDescent="0.25">
      <c r="A697" s="62" t="s">
        <v>4398</v>
      </c>
      <c r="B697" s="96">
        <v>130116</v>
      </c>
      <c r="C697" s="96" t="str">
        <f t="shared" si="84"/>
        <v>CPOS130116</v>
      </c>
      <c r="D697" s="95" t="s">
        <v>770</v>
      </c>
      <c r="E697" s="63" t="s">
        <v>81</v>
      </c>
      <c r="F697" s="64">
        <v>100.64</v>
      </c>
    </row>
    <row r="698" spans="1:6" ht="30" x14ac:dyDescent="0.25">
      <c r="A698" s="62" t="s">
        <v>4398</v>
      </c>
      <c r="B698" s="96">
        <v>130118</v>
      </c>
      <c r="C698" s="96" t="str">
        <f t="shared" si="84"/>
        <v>CPOS130118</v>
      </c>
      <c r="D698" s="95" t="s">
        <v>771</v>
      </c>
      <c r="E698" s="63" t="s">
        <v>81</v>
      </c>
      <c r="F698" s="64">
        <v>114.06</v>
      </c>
    </row>
    <row r="699" spans="1:6" ht="30" x14ac:dyDescent="0.25">
      <c r="A699" s="62" t="s">
        <v>4398</v>
      </c>
      <c r="B699" s="96">
        <v>130120</v>
      </c>
      <c r="C699" s="96" t="str">
        <f t="shared" si="84"/>
        <v>CPOS130120</v>
      </c>
      <c r="D699" s="95" t="s">
        <v>772</v>
      </c>
      <c r="E699" s="63" t="s">
        <v>81</v>
      </c>
      <c r="F699" s="64">
        <v>136.33000000000001</v>
      </c>
    </row>
    <row r="700" spans="1:6" x14ac:dyDescent="0.25">
      <c r="D700" s="94" t="s">
        <v>773</v>
      </c>
    </row>
    <row r="701" spans="1:6" ht="30" x14ac:dyDescent="0.25">
      <c r="A701" s="62" t="s">
        <v>4398</v>
      </c>
      <c r="B701" s="96">
        <v>130202</v>
      </c>
      <c r="C701" s="96" t="str">
        <f t="shared" ref="C701:C710" si="85">A701&amp;B701</f>
        <v>CPOS130202</v>
      </c>
      <c r="D701" s="95" t="s">
        <v>774</v>
      </c>
      <c r="E701" s="63" t="s">
        <v>81</v>
      </c>
      <c r="F701" s="64">
        <v>89.94</v>
      </c>
    </row>
    <row r="702" spans="1:6" ht="30" x14ac:dyDescent="0.25">
      <c r="A702" s="62" t="s">
        <v>4398</v>
      </c>
      <c r="B702" s="96">
        <v>130204</v>
      </c>
      <c r="C702" s="96" t="str">
        <f t="shared" si="85"/>
        <v>CPOS130204</v>
      </c>
      <c r="D702" s="95" t="s">
        <v>775</v>
      </c>
      <c r="E702" s="63" t="s">
        <v>81</v>
      </c>
      <c r="F702" s="64">
        <v>91.75</v>
      </c>
    </row>
    <row r="703" spans="1:6" ht="30" x14ac:dyDescent="0.25">
      <c r="A703" s="62" t="s">
        <v>4398</v>
      </c>
      <c r="B703" s="96">
        <v>130206</v>
      </c>
      <c r="C703" s="96" t="str">
        <f t="shared" si="85"/>
        <v>CPOS130206</v>
      </c>
      <c r="D703" s="95" t="s">
        <v>776</v>
      </c>
      <c r="E703" s="63" t="s">
        <v>81</v>
      </c>
      <c r="F703" s="64">
        <v>100.35000000000001</v>
      </c>
    </row>
    <row r="704" spans="1:6" ht="30" x14ac:dyDescent="0.25">
      <c r="A704" s="62" t="s">
        <v>4398</v>
      </c>
      <c r="B704" s="96">
        <v>130208</v>
      </c>
      <c r="C704" s="96" t="str">
        <f t="shared" si="85"/>
        <v>CPOS130208</v>
      </c>
      <c r="D704" s="95" t="s">
        <v>777</v>
      </c>
      <c r="E704" s="63" t="s">
        <v>81</v>
      </c>
      <c r="F704" s="64">
        <v>109.36</v>
      </c>
    </row>
    <row r="705" spans="1:6" ht="30" x14ac:dyDescent="0.25">
      <c r="A705" s="62" t="s">
        <v>4398</v>
      </c>
      <c r="B705" s="96">
        <v>130210</v>
      </c>
      <c r="C705" s="96" t="str">
        <f t="shared" si="85"/>
        <v>CPOS130210</v>
      </c>
      <c r="D705" s="95" t="s">
        <v>778</v>
      </c>
      <c r="E705" s="63" t="s">
        <v>81</v>
      </c>
      <c r="F705" s="64">
        <v>121.98</v>
      </c>
    </row>
    <row r="706" spans="1:6" ht="30" x14ac:dyDescent="0.25">
      <c r="A706" s="62" t="s">
        <v>4398</v>
      </c>
      <c r="B706" s="96">
        <v>130212</v>
      </c>
      <c r="C706" s="96" t="str">
        <f t="shared" si="85"/>
        <v>CPOS130212</v>
      </c>
      <c r="D706" s="95" t="s">
        <v>779</v>
      </c>
      <c r="E706" s="63" t="s">
        <v>81</v>
      </c>
      <c r="F706" s="64">
        <v>90.48</v>
      </c>
    </row>
    <row r="707" spans="1:6" ht="30" x14ac:dyDescent="0.25">
      <c r="A707" s="62" t="s">
        <v>4398</v>
      </c>
      <c r="B707" s="96">
        <v>130214</v>
      </c>
      <c r="C707" s="96" t="str">
        <f t="shared" si="85"/>
        <v>CPOS130214</v>
      </c>
      <c r="D707" s="95" t="s">
        <v>780</v>
      </c>
      <c r="E707" s="63" t="s">
        <v>81</v>
      </c>
      <c r="F707" s="64">
        <v>92.29</v>
      </c>
    </row>
    <row r="708" spans="1:6" ht="30" x14ac:dyDescent="0.25">
      <c r="A708" s="62" t="s">
        <v>4398</v>
      </c>
      <c r="B708" s="96">
        <v>130216</v>
      </c>
      <c r="C708" s="96" t="str">
        <f t="shared" si="85"/>
        <v>CPOS130216</v>
      </c>
      <c r="D708" s="95" t="s">
        <v>781</v>
      </c>
      <c r="E708" s="63" t="s">
        <v>81</v>
      </c>
      <c r="F708" s="64">
        <v>100.89</v>
      </c>
    </row>
    <row r="709" spans="1:6" ht="30" x14ac:dyDescent="0.25">
      <c r="A709" s="62" t="s">
        <v>4398</v>
      </c>
      <c r="B709" s="96">
        <v>130218</v>
      </c>
      <c r="C709" s="96" t="str">
        <f t="shared" si="85"/>
        <v>CPOS130218</v>
      </c>
      <c r="D709" s="95" t="s">
        <v>782</v>
      </c>
      <c r="E709" s="63" t="s">
        <v>81</v>
      </c>
      <c r="F709" s="64">
        <v>109.9</v>
      </c>
    </row>
    <row r="710" spans="1:6" ht="30" x14ac:dyDescent="0.25">
      <c r="A710" s="62" t="s">
        <v>4398</v>
      </c>
      <c r="B710" s="96">
        <v>130220</v>
      </c>
      <c r="C710" s="96" t="str">
        <f t="shared" si="85"/>
        <v>CPOS130220</v>
      </c>
      <c r="D710" s="95" t="s">
        <v>783</v>
      </c>
      <c r="E710" s="63" t="s">
        <v>81</v>
      </c>
      <c r="F710" s="64">
        <v>123.45</v>
      </c>
    </row>
    <row r="711" spans="1:6" x14ac:dyDescent="0.25">
      <c r="D711" s="94" t="s">
        <v>784</v>
      </c>
    </row>
    <row r="712" spans="1:6" x14ac:dyDescent="0.25">
      <c r="A712" s="62" t="s">
        <v>4398</v>
      </c>
      <c r="B712" s="96">
        <v>130311</v>
      </c>
      <c r="C712" s="96" t="str">
        <f t="shared" ref="C712:C716" si="86">A712&amp;B712</f>
        <v>CPOS130311</v>
      </c>
      <c r="D712" s="95" t="s">
        <v>785</v>
      </c>
      <c r="E712" s="63" t="s">
        <v>81</v>
      </c>
      <c r="F712" s="64">
        <v>140.74</v>
      </c>
    </row>
    <row r="713" spans="1:6" x14ac:dyDescent="0.25">
      <c r="A713" s="62" t="s">
        <v>4398</v>
      </c>
      <c r="B713" s="96">
        <v>130313</v>
      </c>
      <c r="C713" s="96" t="str">
        <f t="shared" si="86"/>
        <v>CPOS130313</v>
      </c>
      <c r="D713" s="95" t="s">
        <v>786</v>
      </c>
      <c r="E713" s="63" t="s">
        <v>81</v>
      </c>
      <c r="F713" s="64">
        <v>150.74</v>
      </c>
    </row>
    <row r="714" spans="1:6" x14ac:dyDescent="0.25">
      <c r="A714" s="62" t="s">
        <v>4398</v>
      </c>
      <c r="B714" s="96">
        <v>130315</v>
      </c>
      <c r="C714" s="96" t="str">
        <f t="shared" si="86"/>
        <v>CPOS130315</v>
      </c>
      <c r="D714" s="95" t="s">
        <v>787</v>
      </c>
      <c r="E714" s="63" t="s">
        <v>81</v>
      </c>
      <c r="F714" s="64">
        <v>196.44</v>
      </c>
    </row>
    <row r="715" spans="1:6" x14ac:dyDescent="0.25">
      <c r="A715" s="62" t="s">
        <v>4398</v>
      </c>
      <c r="B715" s="96">
        <v>130316</v>
      </c>
      <c r="C715" s="96" t="str">
        <f t="shared" si="86"/>
        <v>CPOS130316</v>
      </c>
      <c r="D715" s="95" t="s">
        <v>788</v>
      </c>
      <c r="E715" s="63" t="s">
        <v>81</v>
      </c>
      <c r="F715" s="64">
        <v>234.18</v>
      </c>
    </row>
    <row r="716" spans="1:6" x14ac:dyDescent="0.25">
      <c r="A716" s="62" t="s">
        <v>4398</v>
      </c>
      <c r="B716" s="96">
        <v>130317</v>
      </c>
      <c r="C716" s="96" t="str">
        <f t="shared" si="86"/>
        <v>CPOS130317</v>
      </c>
      <c r="D716" s="95" t="s">
        <v>789</v>
      </c>
      <c r="E716" s="63" t="s">
        <v>81</v>
      </c>
      <c r="F716" s="64">
        <v>172.91</v>
      </c>
    </row>
    <row r="717" spans="1:6" x14ac:dyDescent="0.25">
      <c r="D717" s="94" t="s">
        <v>790</v>
      </c>
    </row>
    <row r="718" spans="1:6" x14ac:dyDescent="0.25">
      <c r="A718" s="62" t="s">
        <v>4398</v>
      </c>
      <c r="B718" s="96">
        <v>130505</v>
      </c>
      <c r="C718" s="96" t="str">
        <f t="shared" ref="C718:C728" si="87">A718&amp;B718</f>
        <v>CPOS130505</v>
      </c>
      <c r="D718" s="95" t="s">
        <v>791</v>
      </c>
      <c r="E718" s="63" t="s">
        <v>81</v>
      </c>
      <c r="F718" s="64">
        <v>100.71000000000001</v>
      </c>
    </row>
    <row r="719" spans="1:6" x14ac:dyDescent="0.25">
      <c r="A719" s="62" t="s">
        <v>4398</v>
      </c>
      <c r="B719" s="96">
        <v>130506</v>
      </c>
      <c r="C719" s="96" t="str">
        <f t="shared" si="87"/>
        <v>CPOS130506</v>
      </c>
      <c r="D719" s="95" t="s">
        <v>792</v>
      </c>
      <c r="E719" s="63" t="s">
        <v>81</v>
      </c>
      <c r="F719" s="64">
        <v>91.210000000000008</v>
      </c>
    </row>
    <row r="720" spans="1:6" x14ac:dyDescent="0.25">
      <c r="A720" s="62" t="s">
        <v>4398</v>
      </c>
      <c r="B720" s="96">
        <v>130507</v>
      </c>
      <c r="C720" s="96" t="str">
        <f t="shared" si="87"/>
        <v>CPOS130507</v>
      </c>
      <c r="D720" s="95" t="s">
        <v>793</v>
      </c>
      <c r="E720" s="63" t="s">
        <v>81</v>
      </c>
      <c r="F720" s="64">
        <v>76.069999999999993</v>
      </c>
    </row>
    <row r="721" spans="1:6" x14ac:dyDescent="0.25">
      <c r="A721" s="62" t="s">
        <v>4398</v>
      </c>
      <c r="B721" s="96">
        <v>130508</v>
      </c>
      <c r="C721" s="96" t="str">
        <f t="shared" si="87"/>
        <v>CPOS130508</v>
      </c>
      <c r="D721" s="95" t="s">
        <v>794</v>
      </c>
      <c r="E721" s="63" t="s">
        <v>81</v>
      </c>
      <c r="F721" s="64">
        <v>69.08</v>
      </c>
    </row>
    <row r="722" spans="1:6" x14ac:dyDescent="0.25">
      <c r="A722" s="62" t="s">
        <v>4398</v>
      </c>
      <c r="B722" s="96">
        <v>130509</v>
      </c>
      <c r="C722" s="96" t="str">
        <f t="shared" si="87"/>
        <v>CPOS130509</v>
      </c>
      <c r="D722" s="95" t="s">
        <v>795</v>
      </c>
      <c r="E722" s="63" t="s">
        <v>81</v>
      </c>
      <c r="F722" s="64">
        <v>84.350000000000009</v>
      </c>
    </row>
    <row r="723" spans="1:6" x14ac:dyDescent="0.25">
      <c r="A723" s="62" t="s">
        <v>4398</v>
      </c>
      <c r="B723" s="96">
        <v>130510</v>
      </c>
      <c r="C723" s="96" t="str">
        <f t="shared" si="87"/>
        <v>CPOS130510</v>
      </c>
      <c r="D723" s="95" t="s">
        <v>796</v>
      </c>
      <c r="E723" s="63" t="s">
        <v>81</v>
      </c>
      <c r="F723" s="64">
        <v>66.78</v>
      </c>
    </row>
    <row r="724" spans="1:6" x14ac:dyDescent="0.25">
      <c r="A724" s="62" t="s">
        <v>4398</v>
      </c>
      <c r="B724" s="96">
        <v>130511</v>
      </c>
      <c r="C724" s="96" t="str">
        <f t="shared" si="87"/>
        <v>CPOS130511</v>
      </c>
      <c r="D724" s="95" t="s">
        <v>797</v>
      </c>
      <c r="E724" s="63" t="s">
        <v>81</v>
      </c>
      <c r="F724" s="64">
        <v>72.37</v>
      </c>
    </row>
    <row r="725" spans="1:6" x14ac:dyDescent="0.25">
      <c r="A725" s="62" t="s">
        <v>4398</v>
      </c>
      <c r="B725" s="96">
        <v>130514</v>
      </c>
      <c r="C725" s="96" t="str">
        <f t="shared" si="87"/>
        <v>CPOS130514</v>
      </c>
      <c r="D725" s="95" t="s">
        <v>798</v>
      </c>
      <c r="E725" s="63" t="s">
        <v>81</v>
      </c>
      <c r="F725" s="64">
        <v>70.66</v>
      </c>
    </row>
    <row r="726" spans="1:6" x14ac:dyDescent="0.25">
      <c r="A726" s="62" t="s">
        <v>4398</v>
      </c>
      <c r="B726" s="96">
        <v>130515</v>
      </c>
      <c r="C726" s="96" t="str">
        <f t="shared" si="87"/>
        <v>CPOS130515</v>
      </c>
      <c r="D726" s="95" t="s">
        <v>799</v>
      </c>
      <c r="E726" s="63" t="s">
        <v>81</v>
      </c>
      <c r="F726" s="64">
        <v>80.09</v>
      </c>
    </row>
    <row r="727" spans="1:6" x14ac:dyDescent="0.25">
      <c r="A727" s="62" t="s">
        <v>4398</v>
      </c>
      <c r="B727" s="96">
        <v>130516</v>
      </c>
      <c r="C727" s="96" t="str">
        <f t="shared" si="87"/>
        <v>CPOS130516</v>
      </c>
      <c r="D727" s="95" t="s">
        <v>800</v>
      </c>
      <c r="E727" s="63" t="s">
        <v>81</v>
      </c>
      <c r="F727" s="64">
        <v>86.51</v>
      </c>
    </row>
    <row r="728" spans="1:6" x14ac:dyDescent="0.25">
      <c r="A728" s="62" t="s">
        <v>4398</v>
      </c>
      <c r="B728" s="96">
        <v>130517</v>
      </c>
      <c r="C728" s="96" t="str">
        <f t="shared" si="87"/>
        <v>CPOS130517</v>
      </c>
      <c r="D728" s="95" t="s">
        <v>801</v>
      </c>
      <c r="E728" s="63" t="s">
        <v>81</v>
      </c>
      <c r="F728" s="64">
        <v>90.570000000000007</v>
      </c>
    </row>
    <row r="729" spans="1:6" x14ac:dyDescent="0.25">
      <c r="D729" s="94" t="s">
        <v>802</v>
      </c>
    </row>
    <row r="730" spans="1:6" x14ac:dyDescent="0.25">
      <c r="D730" s="94" t="s">
        <v>803</v>
      </c>
    </row>
    <row r="731" spans="1:6" x14ac:dyDescent="0.25">
      <c r="A731" s="62" t="s">
        <v>4398</v>
      </c>
      <c r="B731" s="96">
        <v>140102</v>
      </c>
      <c r="C731" s="96" t="str">
        <f t="shared" ref="C731:C733" si="88">A731&amp;B731</f>
        <v>CPOS140102</v>
      </c>
      <c r="D731" s="95" t="s">
        <v>804</v>
      </c>
      <c r="E731" s="63" t="s">
        <v>119</v>
      </c>
      <c r="F731" s="64">
        <v>509.82</v>
      </c>
    </row>
    <row r="732" spans="1:6" x14ac:dyDescent="0.25">
      <c r="A732" s="62" t="s">
        <v>4398</v>
      </c>
      <c r="B732" s="96">
        <v>140105</v>
      </c>
      <c r="C732" s="96" t="str">
        <f t="shared" si="88"/>
        <v>CPOS140105</v>
      </c>
      <c r="D732" s="95" t="s">
        <v>805</v>
      </c>
      <c r="E732" s="63" t="s">
        <v>81</v>
      </c>
      <c r="F732" s="64">
        <v>54.52</v>
      </c>
    </row>
    <row r="733" spans="1:6" x14ac:dyDescent="0.25">
      <c r="A733" s="62" t="s">
        <v>4398</v>
      </c>
      <c r="B733" s="96">
        <v>140106</v>
      </c>
      <c r="C733" s="96" t="str">
        <f t="shared" si="88"/>
        <v>CPOS140106</v>
      </c>
      <c r="D733" s="95" t="s">
        <v>806</v>
      </c>
      <c r="E733" s="63" t="s">
        <v>81</v>
      </c>
      <c r="F733" s="64">
        <v>67.459999999999994</v>
      </c>
    </row>
    <row r="734" spans="1:6" x14ac:dyDescent="0.25">
      <c r="D734" s="94" t="s">
        <v>807</v>
      </c>
    </row>
    <row r="735" spans="1:6" x14ac:dyDescent="0.25">
      <c r="A735" s="62" t="s">
        <v>4398</v>
      </c>
      <c r="B735" s="96">
        <v>140202</v>
      </c>
      <c r="C735" s="96" t="str">
        <f t="shared" ref="C735:C740" si="89">A735&amp;B735</f>
        <v>CPOS140202</v>
      </c>
      <c r="D735" s="95" t="s">
        <v>808</v>
      </c>
      <c r="E735" s="63" t="s">
        <v>81</v>
      </c>
      <c r="F735" s="64">
        <v>44.2</v>
      </c>
    </row>
    <row r="736" spans="1:6" x14ac:dyDescent="0.25">
      <c r="A736" s="62" t="s">
        <v>4398</v>
      </c>
      <c r="B736" s="96">
        <v>140203</v>
      </c>
      <c r="C736" s="96" t="str">
        <f t="shared" si="89"/>
        <v>CPOS140203</v>
      </c>
      <c r="D736" s="95" t="s">
        <v>809</v>
      </c>
      <c r="E736" s="63" t="s">
        <v>81</v>
      </c>
      <c r="F736" s="64">
        <v>66.28</v>
      </c>
    </row>
    <row r="737" spans="1:6" x14ac:dyDescent="0.25">
      <c r="A737" s="62" t="s">
        <v>4398</v>
      </c>
      <c r="B737" s="96">
        <v>140204</v>
      </c>
      <c r="C737" s="96" t="str">
        <f t="shared" si="89"/>
        <v>CPOS140204</v>
      </c>
      <c r="D737" s="95" t="s">
        <v>810</v>
      </c>
      <c r="E737" s="63" t="s">
        <v>81</v>
      </c>
      <c r="F737" s="64">
        <v>122.39</v>
      </c>
    </row>
    <row r="738" spans="1:6" x14ac:dyDescent="0.25">
      <c r="A738" s="62" t="s">
        <v>4398</v>
      </c>
      <c r="B738" s="96">
        <v>140205</v>
      </c>
      <c r="C738" s="96" t="str">
        <f t="shared" si="89"/>
        <v>CPOS140205</v>
      </c>
      <c r="D738" s="95" t="s">
        <v>811</v>
      </c>
      <c r="E738" s="63" t="s">
        <v>81</v>
      </c>
      <c r="F738" s="64">
        <v>163.03</v>
      </c>
    </row>
    <row r="739" spans="1:6" x14ac:dyDescent="0.25">
      <c r="A739" s="62" t="s">
        <v>4398</v>
      </c>
      <c r="B739" s="96">
        <v>140207</v>
      </c>
      <c r="C739" s="96" t="str">
        <f t="shared" si="89"/>
        <v>CPOS140207</v>
      </c>
      <c r="D739" s="95" t="s">
        <v>812</v>
      </c>
      <c r="E739" s="63" t="s">
        <v>81</v>
      </c>
      <c r="F739" s="64">
        <v>111.17</v>
      </c>
    </row>
    <row r="740" spans="1:6" x14ac:dyDescent="0.25">
      <c r="A740" s="62" t="s">
        <v>4398</v>
      </c>
      <c r="B740" s="96">
        <v>140208</v>
      </c>
      <c r="C740" s="96" t="str">
        <f t="shared" si="89"/>
        <v>CPOS140208</v>
      </c>
      <c r="D740" s="95" t="s">
        <v>813</v>
      </c>
      <c r="E740" s="63" t="s">
        <v>81</v>
      </c>
      <c r="F740" s="64">
        <v>225.57</v>
      </c>
    </row>
    <row r="741" spans="1:6" x14ac:dyDescent="0.25">
      <c r="D741" s="94" t="s">
        <v>814</v>
      </c>
    </row>
    <row r="742" spans="1:6" x14ac:dyDescent="0.25">
      <c r="A742" s="62" t="s">
        <v>4398</v>
      </c>
      <c r="B742" s="96">
        <v>140302</v>
      </c>
      <c r="C742" s="96" t="str">
        <f t="shared" ref="C742:C744" si="90">A742&amp;B742</f>
        <v>CPOS140302</v>
      </c>
      <c r="D742" s="95" t="s">
        <v>815</v>
      </c>
      <c r="E742" s="63" t="s">
        <v>81</v>
      </c>
      <c r="F742" s="64">
        <v>86.67</v>
      </c>
    </row>
    <row r="743" spans="1:6" x14ac:dyDescent="0.25">
      <c r="A743" s="62" t="s">
        <v>4398</v>
      </c>
      <c r="B743" s="96">
        <v>140304</v>
      </c>
      <c r="C743" s="96" t="str">
        <f t="shared" si="90"/>
        <v>CPOS140304</v>
      </c>
      <c r="D743" s="95" t="s">
        <v>816</v>
      </c>
      <c r="E743" s="63" t="s">
        <v>81</v>
      </c>
      <c r="F743" s="64">
        <v>163.51</v>
      </c>
    </row>
    <row r="744" spans="1:6" x14ac:dyDescent="0.25">
      <c r="A744" s="62" t="s">
        <v>4398</v>
      </c>
      <c r="B744" s="96">
        <v>140306</v>
      </c>
      <c r="C744" s="96" t="str">
        <f t="shared" si="90"/>
        <v>CPOS140306</v>
      </c>
      <c r="D744" s="95" t="s">
        <v>817</v>
      </c>
      <c r="E744" s="63" t="s">
        <v>81</v>
      </c>
      <c r="F744" s="64">
        <v>293.64</v>
      </c>
    </row>
    <row r="745" spans="1:6" x14ac:dyDescent="0.25">
      <c r="D745" s="94" t="s">
        <v>818</v>
      </c>
    </row>
    <row r="746" spans="1:6" x14ac:dyDescent="0.25">
      <c r="A746" s="62" t="s">
        <v>4398</v>
      </c>
      <c r="B746" s="96">
        <v>140420</v>
      </c>
      <c r="C746" s="96" t="str">
        <f t="shared" ref="C746:C748" si="91">A746&amp;B746</f>
        <v>CPOS140420</v>
      </c>
      <c r="D746" s="95" t="s">
        <v>819</v>
      </c>
      <c r="E746" s="63" t="s">
        <v>81</v>
      </c>
      <c r="F746" s="64">
        <v>39.020000000000003</v>
      </c>
    </row>
    <row r="747" spans="1:6" x14ac:dyDescent="0.25">
      <c r="A747" s="62" t="s">
        <v>4398</v>
      </c>
      <c r="B747" s="96">
        <v>140421</v>
      </c>
      <c r="C747" s="96" t="str">
        <f t="shared" si="91"/>
        <v>CPOS140421</v>
      </c>
      <c r="D747" s="95" t="s">
        <v>820</v>
      </c>
      <c r="E747" s="63" t="s">
        <v>81</v>
      </c>
      <c r="F747" s="64">
        <v>46.07</v>
      </c>
    </row>
    <row r="748" spans="1:6" x14ac:dyDescent="0.25">
      <c r="A748" s="62" t="s">
        <v>4398</v>
      </c>
      <c r="B748" s="96">
        <v>140422</v>
      </c>
      <c r="C748" s="96" t="str">
        <f t="shared" si="91"/>
        <v>CPOS140422</v>
      </c>
      <c r="D748" s="95" t="s">
        <v>821</v>
      </c>
      <c r="E748" s="63" t="s">
        <v>81</v>
      </c>
      <c r="F748" s="64">
        <v>54.04</v>
      </c>
    </row>
    <row r="749" spans="1:6" x14ac:dyDescent="0.25">
      <c r="D749" s="94" t="s">
        <v>822</v>
      </c>
    </row>
    <row r="750" spans="1:6" x14ac:dyDescent="0.25">
      <c r="A750" s="62" t="s">
        <v>4398</v>
      </c>
      <c r="B750" s="96">
        <v>140505</v>
      </c>
      <c r="C750" s="96" t="str">
        <f t="shared" ref="C750:C751" si="92">A750&amp;B750</f>
        <v>CPOS140505</v>
      </c>
      <c r="D750" s="95" t="s">
        <v>823</v>
      </c>
      <c r="E750" s="63" t="s">
        <v>81</v>
      </c>
      <c r="F750" s="64">
        <v>50.53</v>
      </c>
    </row>
    <row r="751" spans="1:6" x14ac:dyDescent="0.25">
      <c r="A751" s="62" t="s">
        <v>4398</v>
      </c>
      <c r="B751" s="96">
        <v>140506</v>
      </c>
      <c r="C751" s="96" t="str">
        <f t="shared" si="92"/>
        <v>CPOS140506</v>
      </c>
      <c r="D751" s="95" t="s">
        <v>824</v>
      </c>
      <c r="E751" s="63" t="s">
        <v>81</v>
      </c>
      <c r="F751" s="64">
        <v>59.32</v>
      </c>
    </row>
    <row r="752" spans="1:6" x14ac:dyDescent="0.25">
      <c r="D752" s="94" t="s">
        <v>825</v>
      </c>
    </row>
    <row r="753" spans="1:6" x14ac:dyDescent="0.25">
      <c r="A753" s="62" t="s">
        <v>4398</v>
      </c>
      <c r="B753" s="96">
        <v>141010</v>
      </c>
      <c r="C753" s="96" t="str">
        <f t="shared" ref="C753:C758" si="93">A753&amp;B753</f>
        <v>CPOS141010</v>
      </c>
      <c r="D753" s="95" t="s">
        <v>826</v>
      </c>
      <c r="E753" s="63" t="s">
        <v>81</v>
      </c>
      <c r="F753" s="64">
        <v>38.76</v>
      </c>
    </row>
    <row r="754" spans="1:6" x14ac:dyDescent="0.25">
      <c r="A754" s="62" t="s">
        <v>4398</v>
      </c>
      <c r="B754" s="96">
        <v>141011</v>
      </c>
      <c r="C754" s="96" t="str">
        <f t="shared" si="93"/>
        <v>CPOS141011</v>
      </c>
      <c r="D754" s="95" t="s">
        <v>827</v>
      </c>
      <c r="E754" s="63" t="s">
        <v>81</v>
      </c>
      <c r="F754" s="64">
        <v>45.5</v>
      </c>
    </row>
    <row r="755" spans="1:6" x14ac:dyDescent="0.25">
      <c r="A755" s="62" t="s">
        <v>4398</v>
      </c>
      <c r="B755" s="96">
        <v>141012</v>
      </c>
      <c r="C755" s="96" t="str">
        <f t="shared" si="93"/>
        <v>CPOS141012</v>
      </c>
      <c r="D755" s="95" t="s">
        <v>828</v>
      </c>
      <c r="E755" s="63" t="s">
        <v>81</v>
      </c>
      <c r="F755" s="64">
        <v>53</v>
      </c>
    </row>
    <row r="756" spans="1:6" x14ac:dyDescent="0.25">
      <c r="A756" s="62" t="s">
        <v>4398</v>
      </c>
      <c r="B756" s="96">
        <v>141013</v>
      </c>
      <c r="C756" s="96" t="str">
        <f t="shared" si="93"/>
        <v>CPOS141013</v>
      </c>
      <c r="D756" s="95" t="s">
        <v>829</v>
      </c>
      <c r="E756" s="63" t="s">
        <v>81</v>
      </c>
      <c r="F756" s="64">
        <v>44.02</v>
      </c>
    </row>
    <row r="757" spans="1:6" x14ac:dyDescent="0.25">
      <c r="A757" s="62" t="s">
        <v>4398</v>
      </c>
      <c r="B757" s="96">
        <v>141014</v>
      </c>
      <c r="C757" s="96" t="str">
        <f t="shared" si="93"/>
        <v>CPOS141014</v>
      </c>
      <c r="D757" s="95" t="s">
        <v>830</v>
      </c>
      <c r="E757" s="63" t="s">
        <v>81</v>
      </c>
      <c r="F757" s="64">
        <v>51.88</v>
      </c>
    </row>
    <row r="758" spans="1:6" x14ac:dyDescent="0.25">
      <c r="A758" s="62" t="s">
        <v>4398</v>
      </c>
      <c r="B758" s="96">
        <v>141015</v>
      </c>
      <c r="C758" s="96" t="str">
        <f t="shared" si="93"/>
        <v>CPOS141015</v>
      </c>
      <c r="D758" s="95" t="s">
        <v>831</v>
      </c>
      <c r="E758" s="63" t="s">
        <v>81</v>
      </c>
      <c r="F758" s="64">
        <v>60.77</v>
      </c>
    </row>
    <row r="759" spans="1:6" x14ac:dyDescent="0.25">
      <c r="D759" s="94" t="s">
        <v>832</v>
      </c>
    </row>
    <row r="760" spans="1:6" x14ac:dyDescent="0.25">
      <c r="A760" s="62" t="s">
        <v>4398</v>
      </c>
      <c r="B760" s="96">
        <v>141122</v>
      </c>
      <c r="C760" s="96" t="str">
        <f t="shared" ref="C760:C765" si="94">A760&amp;B760</f>
        <v>CPOS141122</v>
      </c>
      <c r="D760" s="95" t="s">
        <v>833</v>
      </c>
      <c r="E760" s="63" t="s">
        <v>81</v>
      </c>
      <c r="F760" s="64">
        <v>53.6</v>
      </c>
    </row>
    <row r="761" spans="1:6" x14ac:dyDescent="0.25">
      <c r="A761" s="62" t="s">
        <v>4398</v>
      </c>
      <c r="B761" s="96">
        <v>141123</v>
      </c>
      <c r="C761" s="96" t="str">
        <f t="shared" si="94"/>
        <v>CPOS141123</v>
      </c>
      <c r="D761" s="95" t="s">
        <v>834</v>
      </c>
      <c r="E761" s="63" t="s">
        <v>81</v>
      </c>
      <c r="F761" s="64">
        <v>63.81</v>
      </c>
    </row>
    <row r="762" spans="1:6" x14ac:dyDescent="0.25">
      <c r="A762" s="62" t="s">
        <v>4398</v>
      </c>
      <c r="B762" s="96">
        <v>141124</v>
      </c>
      <c r="C762" s="96" t="str">
        <f t="shared" si="94"/>
        <v>CPOS141124</v>
      </c>
      <c r="D762" s="95" t="s">
        <v>835</v>
      </c>
      <c r="E762" s="63" t="s">
        <v>81</v>
      </c>
      <c r="F762" s="64">
        <v>60.22</v>
      </c>
    </row>
    <row r="763" spans="1:6" x14ac:dyDescent="0.25">
      <c r="A763" s="62" t="s">
        <v>4398</v>
      </c>
      <c r="B763" s="96">
        <v>141125</v>
      </c>
      <c r="C763" s="96" t="str">
        <f t="shared" si="94"/>
        <v>CPOS141125</v>
      </c>
      <c r="D763" s="95" t="s">
        <v>836</v>
      </c>
      <c r="E763" s="63" t="s">
        <v>81</v>
      </c>
      <c r="F763" s="64">
        <v>71.180000000000007</v>
      </c>
    </row>
    <row r="764" spans="1:6" x14ac:dyDescent="0.25">
      <c r="A764" s="62" t="s">
        <v>4398</v>
      </c>
      <c r="B764" s="96">
        <v>141126</v>
      </c>
      <c r="C764" s="96" t="str">
        <f t="shared" si="94"/>
        <v>CPOS141126</v>
      </c>
      <c r="D764" s="95" t="s">
        <v>837</v>
      </c>
      <c r="E764" s="63" t="s">
        <v>81</v>
      </c>
      <c r="F764" s="64">
        <v>65.16</v>
      </c>
    </row>
    <row r="765" spans="1:6" x14ac:dyDescent="0.25">
      <c r="A765" s="62" t="s">
        <v>4398</v>
      </c>
      <c r="B765" s="96">
        <v>141127</v>
      </c>
      <c r="C765" s="96" t="str">
        <f t="shared" si="94"/>
        <v>CPOS141127</v>
      </c>
      <c r="D765" s="95" t="s">
        <v>838</v>
      </c>
      <c r="E765" s="63" t="s">
        <v>81</v>
      </c>
      <c r="F765" s="64">
        <v>80.02</v>
      </c>
    </row>
    <row r="766" spans="1:6" x14ac:dyDescent="0.25">
      <c r="D766" s="94" t="s">
        <v>839</v>
      </c>
    </row>
    <row r="767" spans="1:6" ht="30" x14ac:dyDescent="0.25">
      <c r="A767" s="62" t="s">
        <v>4398</v>
      </c>
      <c r="B767" s="96">
        <v>141506</v>
      </c>
      <c r="C767" s="96" t="str">
        <f t="shared" ref="C767:C770" si="95">A767&amp;B767</f>
        <v>CPOS141506</v>
      </c>
      <c r="D767" s="95" t="s">
        <v>840</v>
      </c>
      <c r="E767" s="63" t="s">
        <v>81</v>
      </c>
      <c r="F767" s="64">
        <v>64.7</v>
      </c>
    </row>
    <row r="768" spans="1:6" ht="30" x14ac:dyDescent="0.25">
      <c r="A768" s="62" t="s">
        <v>4398</v>
      </c>
      <c r="B768" s="96">
        <v>141510</v>
      </c>
      <c r="C768" s="96" t="str">
        <f t="shared" si="95"/>
        <v>CPOS141510</v>
      </c>
      <c r="D768" s="95" t="s">
        <v>841</v>
      </c>
      <c r="E768" s="63" t="s">
        <v>81</v>
      </c>
      <c r="F768" s="64">
        <v>77.849999999999994</v>
      </c>
    </row>
    <row r="769" spans="1:6" ht="30" x14ac:dyDescent="0.25">
      <c r="A769" s="62" t="s">
        <v>4398</v>
      </c>
      <c r="B769" s="96">
        <v>141512</v>
      </c>
      <c r="C769" s="96" t="str">
        <f t="shared" si="95"/>
        <v>CPOS141512</v>
      </c>
      <c r="D769" s="95" t="s">
        <v>842</v>
      </c>
      <c r="E769" s="63" t="s">
        <v>81</v>
      </c>
      <c r="F769" s="64">
        <v>95</v>
      </c>
    </row>
    <row r="770" spans="1:6" ht="30" x14ac:dyDescent="0.25">
      <c r="A770" s="62" t="s">
        <v>4398</v>
      </c>
      <c r="B770" s="96">
        <v>141514</v>
      </c>
      <c r="C770" s="96" t="str">
        <f t="shared" si="95"/>
        <v>CPOS141514</v>
      </c>
      <c r="D770" s="95" t="s">
        <v>843</v>
      </c>
      <c r="E770" s="63" t="s">
        <v>81</v>
      </c>
      <c r="F770" s="64">
        <v>125.93</v>
      </c>
    </row>
    <row r="771" spans="1:6" x14ac:dyDescent="0.25">
      <c r="D771" s="94" t="s">
        <v>844</v>
      </c>
    </row>
    <row r="772" spans="1:6" x14ac:dyDescent="0.25">
      <c r="A772" s="62" t="s">
        <v>4398</v>
      </c>
      <c r="B772" s="96">
        <v>142001</v>
      </c>
      <c r="C772" s="96" t="str">
        <f t="shared" ref="C772:C773" si="96">A772&amp;B772</f>
        <v>CPOS142001</v>
      </c>
      <c r="D772" s="95" t="s">
        <v>845</v>
      </c>
      <c r="E772" s="63" t="s">
        <v>119</v>
      </c>
      <c r="F772" s="64">
        <v>961.83</v>
      </c>
    </row>
    <row r="773" spans="1:6" x14ac:dyDescent="0.25">
      <c r="A773" s="62" t="s">
        <v>4398</v>
      </c>
      <c r="B773" s="96">
        <v>142002</v>
      </c>
      <c r="C773" s="96" t="str">
        <f t="shared" si="96"/>
        <v>CPOS142002</v>
      </c>
      <c r="D773" s="95" t="s">
        <v>846</v>
      </c>
      <c r="E773" s="63" t="s">
        <v>110</v>
      </c>
      <c r="F773" s="64">
        <v>6.3900000000000006</v>
      </c>
    </row>
    <row r="774" spans="1:6" x14ac:dyDescent="0.25">
      <c r="D774" s="94" t="s">
        <v>847</v>
      </c>
    </row>
    <row r="775" spans="1:6" x14ac:dyDescent="0.25">
      <c r="A775" s="62" t="s">
        <v>4398</v>
      </c>
      <c r="B775" s="96">
        <v>142504</v>
      </c>
      <c r="C775" s="96" t="str">
        <f>A775&amp;B775</f>
        <v>CPOS142504</v>
      </c>
      <c r="D775" s="95" t="s">
        <v>848</v>
      </c>
      <c r="E775" s="63" t="s">
        <v>81</v>
      </c>
      <c r="F775" s="64">
        <v>506.45</v>
      </c>
    </row>
    <row r="776" spans="1:6" x14ac:dyDescent="0.25">
      <c r="D776" s="94" t="s">
        <v>849</v>
      </c>
    </row>
    <row r="777" spans="1:6" x14ac:dyDescent="0.25">
      <c r="A777" s="62" t="s">
        <v>4398</v>
      </c>
      <c r="B777" s="96">
        <v>142803</v>
      </c>
      <c r="C777" s="96" t="str">
        <f t="shared" ref="C777:C782" si="97">A777&amp;B777</f>
        <v>CPOS142803</v>
      </c>
      <c r="D777" s="95" t="s">
        <v>850</v>
      </c>
      <c r="E777" s="63" t="s">
        <v>81</v>
      </c>
      <c r="F777" s="64">
        <v>116.24000000000001</v>
      </c>
    </row>
    <row r="778" spans="1:6" x14ac:dyDescent="0.25">
      <c r="A778" s="62" t="s">
        <v>4398</v>
      </c>
      <c r="B778" s="96">
        <v>142806</v>
      </c>
      <c r="C778" s="96" t="str">
        <f t="shared" si="97"/>
        <v>CPOS142806</v>
      </c>
      <c r="D778" s="95" t="s">
        <v>851</v>
      </c>
      <c r="E778" s="63" t="s">
        <v>81</v>
      </c>
      <c r="F778" s="64">
        <v>199.29</v>
      </c>
    </row>
    <row r="779" spans="1:6" x14ac:dyDescent="0.25">
      <c r="A779" s="62" t="s">
        <v>4398</v>
      </c>
      <c r="B779" s="96">
        <v>142810</v>
      </c>
      <c r="C779" s="96" t="str">
        <f t="shared" si="97"/>
        <v>CPOS142810</v>
      </c>
      <c r="D779" s="95" t="s">
        <v>852</v>
      </c>
      <c r="E779" s="63" t="s">
        <v>81</v>
      </c>
      <c r="F779" s="64">
        <v>1096.81</v>
      </c>
    </row>
    <row r="780" spans="1:6" x14ac:dyDescent="0.25">
      <c r="A780" s="62" t="s">
        <v>4398</v>
      </c>
      <c r="B780" s="96">
        <v>142811</v>
      </c>
      <c r="C780" s="96" t="str">
        <f t="shared" si="97"/>
        <v>CPOS142811</v>
      </c>
      <c r="D780" s="95" t="s">
        <v>853</v>
      </c>
      <c r="E780" s="63" t="s">
        <v>81</v>
      </c>
      <c r="F780" s="64">
        <v>166.6</v>
      </c>
    </row>
    <row r="781" spans="1:6" x14ac:dyDescent="0.25">
      <c r="A781" s="62" t="s">
        <v>4398</v>
      </c>
      <c r="B781" s="96">
        <v>142812</v>
      </c>
      <c r="C781" s="96" t="str">
        <f t="shared" si="97"/>
        <v>CPOS142812</v>
      </c>
      <c r="D781" s="95" t="s">
        <v>854</v>
      </c>
      <c r="E781" s="63" t="s">
        <v>81</v>
      </c>
      <c r="F781" s="64">
        <v>988.81000000000006</v>
      </c>
    </row>
    <row r="782" spans="1:6" x14ac:dyDescent="0.25">
      <c r="A782" s="62" t="s">
        <v>4398</v>
      </c>
      <c r="B782" s="96">
        <v>142814</v>
      </c>
      <c r="C782" s="96" t="str">
        <f t="shared" si="97"/>
        <v>CPOS142814</v>
      </c>
      <c r="D782" s="95" t="s">
        <v>855</v>
      </c>
      <c r="E782" s="63" t="s">
        <v>81</v>
      </c>
      <c r="F782" s="64">
        <v>585.75</v>
      </c>
    </row>
    <row r="783" spans="1:6" x14ac:dyDescent="0.25">
      <c r="D783" s="94" t="s">
        <v>856</v>
      </c>
    </row>
    <row r="784" spans="1:6" x14ac:dyDescent="0.25">
      <c r="A784" s="62" t="s">
        <v>4398</v>
      </c>
      <c r="B784" s="96">
        <v>143001</v>
      </c>
      <c r="C784" s="96" t="str">
        <f t="shared" ref="C784:C806" si="98">A784&amp;B784</f>
        <v>CPOS143001</v>
      </c>
      <c r="D784" s="95" t="s">
        <v>857</v>
      </c>
      <c r="E784" s="63" t="s">
        <v>81</v>
      </c>
      <c r="F784" s="64">
        <v>679.7</v>
      </c>
    </row>
    <row r="785" spans="1:6" x14ac:dyDescent="0.25">
      <c r="A785" s="62" t="s">
        <v>4398</v>
      </c>
      <c r="B785" s="96">
        <v>143002</v>
      </c>
      <c r="C785" s="96" t="str">
        <f t="shared" si="98"/>
        <v>CPOS143002</v>
      </c>
      <c r="D785" s="95" t="s">
        <v>858</v>
      </c>
      <c r="E785" s="63" t="s">
        <v>81</v>
      </c>
      <c r="F785" s="64">
        <v>164.8</v>
      </c>
    </row>
    <row r="786" spans="1:6" x14ac:dyDescent="0.25">
      <c r="A786" s="62" t="s">
        <v>4398</v>
      </c>
      <c r="B786" s="96">
        <v>143004</v>
      </c>
      <c r="C786" s="96" t="str">
        <f t="shared" si="98"/>
        <v>CPOS143004</v>
      </c>
      <c r="D786" s="95" t="s">
        <v>859</v>
      </c>
      <c r="E786" s="63" t="s">
        <v>81</v>
      </c>
      <c r="F786" s="64">
        <v>306.45</v>
      </c>
    </row>
    <row r="787" spans="1:6" ht="30" x14ac:dyDescent="0.25">
      <c r="A787" s="62" t="s">
        <v>4398</v>
      </c>
      <c r="B787" s="96">
        <v>143007</v>
      </c>
      <c r="C787" s="96" t="str">
        <f t="shared" si="98"/>
        <v>CPOS143007</v>
      </c>
      <c r="D787" s="95" t="s">
        <v>860</v>
      </c>
      <c r="E787" s="63" t="s">
        <v>81</v>
      </c>
      <c r="F787" s="64">
        <v>431.29</v>
      </c>
    </row>
    <row r="788" spans="1:6" x14ac:dyDescent="0.25">
      <c r="A788" s="62" t="s">
        <v>4398</v>
      </c>
      <c r="B788" s="96">
        <v>143008</v>
      </c>
      <c r="C788" s="96" t="str">
        <f t="shared" si="98"/>
        <v>CPOS143008</v>
      </c>
      <c r="D788" s="95" t="s">
        <v>861</v>
      </c>
      <c r="E788" s="63" t="s">
        <v>81</v>
      </c>
      <c r="F788" s="64">
        <v>752.06000000000006</v>
      </c>
    </row>
    <row r="789" spans="1:6" ht="30" x14ac:dyDescent="0.25">
      <c r="A789" s="62" t="s">
        <v>4398</v>
      </c>
      <c r="B789" s="96">
        <v>143011</v>
      </c>
      <c r="C789" s="96" t="str">
        <f t="shared" si="98"/>
        <v>CPOS143011</v>
      </c>
      <c r="D789" s="95" t="s">
        <v>862</v>
      </c>
      <c r="E789" s="63" t="s">
        <v>81</v>
      </c>
      <c r="F789" s="64">
        <v>79.22</v>
      </c>
    </row>
    <row r="790" spans="1:6" ht="30" x14ac:dyDescent="0.25">
      <c r="A790" s="62" t="s">
        <v>4398</v>
      </c>
      <c r="B790" s="96">
        <v>143016</v>
      </c>
      <c r="C790" s="96" t="str">
        <f t="shared" si="98"/>
        <v>CPOS143016</v>
      </c>
      <c r="D790" s="95" t="s">
        <v>863</v>
      </c>
      <c r="E790" s="63" t="s">
        <v>81</v>
      </c>
      <c r="F790" s="64">
        <v>130.44999999999999</v>
      </c>
    </row>
    <row r="791" spans="1:6" ht="30" x14ac:dyDescent="0.25">
      <c r="A791" s="62" t="s">
        <v>4398</v>
      </c>
      <c r="B791" s="96">
        <v>143019</v>
      </c>
      <c r="C791" s="96" t="str">
        <f t="shared" si="98"/>
        <v>CPOS143019</v>
      </c>
      <c r="D791" s="95" t="s">
        <v>864</v>
      </c>
      <c r="E791" s="63" t="s">
        <v>81</v>
      </c>
      <c r="F791" s="64">
        <v>110.2</v>
      </c>
    </row>
    <row r="792" spans="1:6" ht="30" x14ac:dyDescent="0.25">
      <c r="A792" s="62" t="s">
        <v>4398</v>
      </c>
      <c r="B792" s="96">
        <v>143023</v>
      </c>
      <c r="C792" s="96" t="str">
        <f t="shared" si="98"/>
        <v>CPOS143023</v>
      </c>
      <c r="D792" s="95" t="s">
        <v>865</v>
      </c>
      <c r="E792" s="63" t="s">
        <v>81</v>
      </c>
      <c r="F792" s="64">
        <v>107.89</v>
      </c>
    </row>
    <row r="793" spans="1:6" x14ac:dyDescent="0.25">
      <c r="A793" s="62" t="s">
        <v>4398</v>
      </c>
      <c r="B793" s="96">
        <v>143024</v>
      </c>
      <c r="C793" s="96" t="str">
        <f t="shared" si="98"/>
        <v>CPOS143024</v>
      </c>
      <c r="D793" s="95" t="s">
        <v>866</v>
      </c>
      <c r="E793" s="63" t="s">
        <v>81</v>
      </c>
      <c r="F793" s="64">
        <v>190.47</v>
      </c>
    </row>
    <row r="794" spans="1:6" ht="30" x14ac:dyDescent="0.25">
      <c r="A794" s="62" t="s">
        <v>4398</v>
      </c>
      <c r="B794" s="96">
        <v>143026</v>
      </c>
      <c r="C794" s="96" t="str">
        <f t="shared" si="98"/>
        <v>CPOS143026</v>
      </c>
      <c r="D794" s="95" t="s">
        <v>867</v>
      </c>
      <c r="E794" s="63" t="s">
        <v>81</v>
      </c>
      <c r="F794" s="64">
        <v>94.03</v>
      </c>
    </row>
    <row r="795" spans="1:6" ht="30" x14ac:dyDescent="0.25">
      <c r="A795" s="62" t="s">
        <v>4398</v>
      </c>
      <c r="B795" s="96">
        <v>143027</v>
      </c>
      <c r="C795" s="96" t="str">
        <f t="shared" si="98"/>
        <v>CPOS143027</v>
      </c>
      <c r="D795" s="95" t="s">
        <v>868</v>
      </c>
      <c r="E795" s="63" t="s">
        <v>81</v>
      </c>
      <c r="F795" s="64">
        <v>113.81</v>
      </c>
    </row>
    <row r="796" spans="1:6" ht="30" x14ac:dyDescent="0.25">
      <c r="A796" s="62" t="s">
        <v>4398</v>
      </c>
      <c r="B796" s="96">
        <v>143030</v>
      </c>
      <c r="C796" s="96" t="str">
        <f t="shared" si="98"/>
        <v>CPOS143030</v>
      </c>
      <c r="D796" s="95" t="s">
        <v>869</v>
      </c>
      <c r="E796" s="63" t="s">
        <v>81</v>
      </c>
      <c r="F796" s="64">
        <v>109.95</v>
      </c>
    </row>
    <row r="797" spans="1:6" ht="30" x14ac:dyDescent="0.25">
      <c r="A797" s="62" t="s">
        <v>4398</v>
      </c>
      <c r="B797" s="96">
        <v>143031</v>
      </c>
      <c r="C797" s="96" t="str">
        <f t="shared" si="98"/>
        <v>CPOS143031</v>
      </c>
      <c r="D797" s="95" t="s">
        <v>870</v>
      </c>
      <c r="E797" s="63" t="s">
        <v>81</v>
      </c>
      <c r="F797" s="64">
        <v>115.31</v>
      </c>
    </row>
    <row r="798" spans="1:6" ht="30" x14ac:dyDescent="0.25">
      <c r="A798" s="62" t="s">
        <v>4398</v>
      </c>
      <c r="B798" s="96">
        <v>143041</v>
      </c>
      <c r="C798" s="96" t="str">
        <f t="shared" si="98"/>
        <v>CPOS143041</v>
      </c>
      <c r="D798" s="95" t="s">
        <v>871</v>
      </c>
      <c r="E798" s="63" t="s">
        <v>81</v>
      </c>
      <c r="F798" s="64">
        <v>143.71</v>
      </c>
    </row>
    <row r="799" spans="1:6" ht="30" x14ac:dyDescent="0.25">
      <c r="A799" s="62" t="s">
        <v>4398</v>
      </c>
      <c r="B799" s="96">
        <v>143044</v>
      </c>
      <c r="C799" s="96" t="str">
        <f t="shared" si="98"/>
        <v>CPOS143044</v>
      </c>
      <c r="D799" s="95" t="s">
        <v>872</v>
      </c>
      <c r="E799" s="63" t="s">
        <v>81</v>
      </c>
      <c r="F799" s="64">
        <v>188.99</v>
      </c>
    </row>
    <row r="800" spans="1:6" x14ac:dyDescent="0.25">
      <c r="A800" s="62" t="s">
        <v>4398</v>
      </c>
      <c r="B800" s="96">
        <v>143086</v>
      </c>
      <c r="C800" s="96" t="str">
        <f t="shared" si="98"/>
        <v>CPOS143086</v>
      </c>
      <c r="D800" s="95" t="s">
        <v>873</v>
      </c>
      <c r="E800" s="63" t="s">
        <v>81</v>
      </c>
      <c r="F800" s="64">
        <v>229.53</v>
      </c>
    </row>
    <row r="801" spans="1:6" ht="30" x14ac:dyDescent="0.25">
      <c r="A801" s="62" t="s">
        <v>4398</v>
      </c>
      <c r="B801" s="96">
        <v>143087</v>
      </c>
      <c r="C801" s="96" t="str">
        <f t="shared" si="98"/>
        <v>CPOS143087</v>
      </c>
      <c r="D801" s="95" t="s">
        <v>874</v>
      </c>
      <c r="E801" s="63" t="s">
        <v>81</v>
      </c>
      <c r="F801" s="64">
        <v>204.24</v>
      </c>
    </row>
    <row r="802" spans="1:6" ht="30" x14ac:dyDescent="0.25">
      <c r="A802" s="62" t="s">
        <v>4398</v>
      </c>
      <c r="B802" s="96">
        <v>143088</v>
      </c>
      <c r="C802" s="96" t="str">
        <f t="shared" si="98"/>
        <v>CPOS143088</v>
      </c>
      <c r="D802" s="95" t="s">
        <v>875</v>
      </c>
      <c r="E802" s="63" t="s">
        <v>81</v>
      </c>
      <c r="F802" s="64">
        <v>159.84</v>
      </c>
    </row>
    <row r="803" spans="1:6" ht="30" x14ac:dyDescent="0.25">
      <c r="A803" s="62" t="s">
        <v>4398</v>
      </c>
      <c r="B803" s="96">
        <v>143089</v>
      </c>
      <c r="C803" s="96" t="str">
        <f t="shared" si="98"/>
        <v>CPOS143089</v>
      </c>
      <c r="D803" s="95" t="s">
        <v>876</v>
      </c>
      <c r="E803" s="63" t="s">
        <v>81</v>
      </c>
      <c r="F803" s="64">
        <v>162.99</v>
      </c>
    </row>
    <row r="804" spans="1:6" ht="30" x14ac:dyDescent="0.25">
      <c r="A804" s="62" t="s">
        <v>4398</v>
      </c>
      <c r="B804" s="96">
        <v>143090</v>
      </c>
      <c r="C804" s="96" t="str">
        <f t="shared" si="98"/>
        <v>CPOS143090</v>
      </c>
      <c r="D804" s="95" t="s">
        <v>877</v>
      </c>
      <c r="E804" s="63" t="s">
        <v>81</v>
      </c>
      <c r="F804" s="64">
        <v>171.89000000000001</v>
      </c>
    </row>
    <row r="805" spans="1:6" ht="30" x14ac:dyDescent="0.25">
      <c r="A805" s="62" t="s">
        <v>4398</v>
      </c>
      <c r="B805" s="96">
        <v>143091</v>
      </c>
      <c r="C805" s="96" t="str">
        <f t="shared" si="98"/>
        <v>CPOS143091</v>
      </c>
      <c r="D805" s="95" t="s">
        <v>878</v>
      </c>
      <c r="E805" s="63" t="s">
        <v>81</v>
      </c>
      <c r="F805" s="64">
        <v>198.82</v>
      </c>
    </row>
    <row r="806" spans="1:6" ht="30" x14ac:dyDescent="0.25">
      <c r="A806" s="62" t="s">
        <v>4398</v>
      </c>
      <c r="B806" s="96">
        <v>143092</v>
      </c>
      <c r="C806" s="96" t="str">
        <f t="shared" si="98"/>
        <v>CPOS143092</v>
      </c>
      <c r="D806" s="95" t="s">
        <v>879</v>
      </c>
      <c r="E806" s="63" t="s">
        <v>81</v>
      </c>
      <c r="F806" s="64">
        <v>184.59</v>
      </c>
    </row>
    <row r="807" spans="1:6" x14ac:dyDescent="0.25">
      <c r="D807" s="94" t="s">
        <v>880</v>
      </c>
    </row>
    <row r="808" spans="1:6" x14ac:dyDescent="0.25">
      <c r="A808" s="62" t="s">
        <v>4398</v>
      </c>
      <c r="B808" s="96">
        <v>143103</v>
      </c>
      <c r="C808" s="96" t="str">
        <f>A808&amp;B808</f>
        <v>CPOS143103</v>
      </c>
      <c r="D808" s="95" t="s">
        <v>881</v>
      </c>
      <c r="E808" s="63" t="s">
        <v>81</v>
      </c>
      <c r="F808" s="64">
        <v>119.82000000000001</v>
      </c>
    </row>
    <row r="809" spans="1:6" x14ac:dyDescent="0.25">
      <c r="D809" s="94" t="s">
        <v>693</v>
      </c>
    </row>
    <row r="810" spans="1:6" x14ac:dyDescent="0.25">
      <c r="A810" s="62" t="s">
        <v>4398</v>
      </c>
      <c r="B810" s="96">
        <v>144004</v>
      </c>
      <c r="C810" s="96" t="str">
        <f t="shared" ref="C810:C815" si="99">A810&amp;B810</f>
        <v>CPOS144004</v>
      </c>
      <c r="D810" s="95" t="s">
        <v>882</v>
      </c>
      <c r="E810" s="63" t="s">
        <v>81</v>
      </c>
      <c r="F810" s="64">
        <v>24.37</v>
      </c>
    </row>
    <row r="811" spans="1:6" x14ac:dyDescent="0.25">
      <c r="A811" s="62" t="s">
        <v>4398</v>
      </c>
      <c r="B811" s="96">
        <v>144006</v>
      </c>
      <c r="C811" s="96" t="str">
        <f t="shared" si="99"/>
        <v>CPOS144006</v>
      </c>
      <c r="D811" s="95" t="s">
        <v>883</v>
      </c>
      <c r="E811" s="63" t="s">
        <v>58</v>
      </c>
      <c r="F811" s="64">
        <v>4.25</v>
      </c>
    </row>
    <row r="812" spans="1:6" x14ac:dyDescent="0.25">
      <c r="A812" s="62" t="s">
        <v>4398</v>
      </c>
      <c r="B812" s="96">
        <v>144007</v>
      </c>
      <c r="C812" s="96" t="str">
        <f t="shared" si="99"/>
        <v>CPOS144007</v>
      </c>
      <c r="D812" s="95" t="s">
        <v>884</v>
      </c>
      <c r="E812" s="63" t="s">
        <v>58</v>
      </c>
      <c r="F812" s="64">
        <v>4.4400000000000004</v>
      </c>
    </row>
    <row r="813" spans="1:6" x14ac:dyDescent="0.25">
      <c r="A813" s="62" t="s">
        <v>4398</v>
      </c>
      <c r="B813" s="96">
        <v>144008</v>
      </c>
      <c r="C813" s="96" t="str">
        <f t="shared" si="99"/>
        <v>CPOS144008</v>
      </c>
      <c r="D813" s="95" t="s">
        <v>885</v>
      </c>
      <c r="E813" s="63" t="s">
        <v>58</v>
      </c>
      <c r="F813" s="64">
        <v>4.6500000000000004</v>
      </c>
    </row>
    <row r="814" spans="1:6" x14ac:dyDescent="0.25">
      <c r="A814" s="62" t="s">
        <v>4398</v>
      </c>
      <c r="B814" s="96">
        <v>144009</v>
      </c>
      <c r="C814" s="96" t="str">
        <f t="shared" si="99"/>
        <v>CPOS144009</v>
      </c>
      <c r="D814" s="95" t="s">
        <v>886</v>
      </c>
      <c r="E814" s="63" t="s">
        <v>58</v>
      </c>
      <c r="F814" s="64">
        <v>4.7300000000000004</v>
      </c>
    </row>
    <row r="815" spans="1:6" x14ac:dyDescent="0.25">
      <c r="A815" s="62" t="s">
        <v>4398</v>
      </c>
      <c r="B815" s="96">
        <v>144010</v>
      </c>
      <c r="C815" s="96" t="str">
        <f t="shared" si="99"/>
        <v>CPOS144010</v>
      </c>
      <c r="D815" s="95" t="s">
        <v>887</v>
      </c>
      <c r="E815" s="63" t="s">
        <v>58</v>
      </c>
      <c r="F815" s="64">
        <v>5.19</v>
      </c>
    </row>
    <row r="816" spans="1:6" x14ac:dyDescent="0.25">
      <c r="D816" s="94" t="s">
        <v>888</v>
      </c>
    </row>
    <row r="817" spans="1:6" x14ac:dyDescent="0.25">
      <c r="D817" s="94" t="s">
        <v>889</v>
      </c>
    </row>
    <row r="818" spans="1:6" x14ac:dyDescent="0.25">
      <c r="A818" s="62" t="s">
        <v>4398</v>
      </c>
      <c r="B818" s="96">
        <v>150101</v>
      </c>
      <c r="C818" s="96" t="str">
        <f t="shared" ref="C818:C830" si="100">A818&amp;B818</f>
        <v>CPOS150101</v>
      </c>
      <c r="D818" s="95" t="s">
        <v>890</v>
      </c>
      <c r="E818" s="63" t="s">
        <v>81</v>
      </c>
      <c r="F818" s="64">
        <v>79.5</v>
      </c>
    </row>
    <row r="819" spans="1:6" x14ac:dyDescent="0.25">
      <c r="A819" s="62" t="s">
        <v>4398</v>
      </c>
      <c r="B819" s="96">
        <v>150102</v>
      </c>
      <c r="C819" s="96" t="str">
        <f t="shared" si="100"/>
        <v>CPOS150102</v>
      </c>
      <c r="D819" s="95" t="s">
        <v>891</v>
      </c>
      <c r="E819" s="63" t="s">
        <v>81</v>
      </c>
      <c r="F819" s="64">
        <v>84.26</v>
      </c>
    </row>
    <row r="820" spans="1:6" x14ac:dyDescent="0.25">
      <c r="A820" s="62" t="s">
        <v>4398</v>
      </c>
      <c r="B820" s="96">
        <v>150103</v>
      </c>
      <c r="C820" s="96" t="str">
        <f t="shared" si="100"/>
        <v>CPOS150103</v>
      </c>
      <c r="D820" s="95" t="s">
        <v>892</v>
      </c>
      <c r="E820" s="63" t="s">
        <v>81</v>
      </c>
      <c r="F820" s="64">
        <v>89.04</v>
      </c>
    </row>
    <row r="821" spans="1:6" x14ac:dyDescent="0.25">
      <c r="A821" s="62" t="s">
        <v>4398</v>
      </c>
      <c r="B821" s="96">
        <v>150104</v>
      </c>
      <c r="C821" s="96" t="str">
        <f t="shared" si="100"/>
        <v>CPOS150104</v>
      </c>
      <c r="D821" s="95" t="s">
        <v>893</v>
      </c>
      <c r="E821" s="63" t="s">
        <v>81</v>
      </c>
      <c r="F821" s="64">
        <v>96.92</v>
      </c>
    </row>
    <row r="822" spans="1:6" x14ac:dyDescent="0.25">
      <c r="A822" s="62" t="s">
        <v>4398</v>
      </c>
      <c r="B822" s="96">
        <v>150111</v>
      </c>
      <c r="C822" s="96" t="str">
        <f t="shared" si="100"/>
        <v>CPOS150111</v>
      </c>
      <c r="D822" s="95" t="s">
        <v>894</v>
      </c>
      <c r="E822" s="63" t="s">
        <v>81</v>
      </c>
      <c r="F822" s="64">
        <v>56.870000000000005</v>
      </c>
    </row>
    <row r="823" spans="1:6" x14ac:dyDescent="0.25">
      <c r="A823" s="62" t="s">
        <v>4398</v>
      </c>
      <c r="B823" s="96">
        <v>150112</v>
      </c>
      <c r="C823" s="96" t="str">
        <f t="shared" si="100"/>
        <v>CPOS150112</v>
      </c>
      <c r="D823" s="95" t="s">
        <v>895</v>
      </c>
      <c r="E823" s="63" t="s">
        <v>81</v>
      </c>
      <c r="F823" s="64">
        <v>61.65</v>
      </c>
    </row>
    <row r="824" spans="1:6" x14ac:dyDescent="0.25">
      <c r="A824" s="62" t="s">
        <v>4398</v>
      </c>
      <c r="B824" s="96">
        <v>150113</v>
      </c>
      <c r="C824" s="96" t="str">
        <f t="shared" si="100"/>
        <v>CPOS150113</v>
      </c>
      <c r="D824" s="95" t="s">
        <v>896</v>
      </c>
      <c r="E824" s="63" t="s">
        <v>81</v>
      </c>
      <c r="F824" s="64">
        <v>66.430000000000007</v>
      </c>
    </row>
    <row r="825" spans="1:6" x14ac:dyDescent="0.25">
      <c r="A825" s="62" t="s">
        <v>4398</v>
      </c>
      <c r="B825" s="96">
        <v>150114</v>
      </c>
      <c r="C825" s="96" t="str">
        <f t="shared" si="100"/>
        <v>CPOS150114</v>
      </c>
      <c r="D825" s="95" t="s">
        <v>897</v>
      </c>
      <c r="E825" s="63" t="s">
        <v>81</v>
      </c>
      <c r="F825" s="64">
        <v>72.61</v>
      </c>
    </row>
    <row r="826" spans="1:6" x14ac:dyDescent="0.25">
      <c r="A826" s="62" t="s">
        <v>4398</v>
      </c>
      <c r="B826" s="96">
        <v>150121</v>
      </c>
      <c r="C826" s="96" t="str">
        <f t="shared" si="100"/>
        <v>CPOS150121</v>
      </c>
      <c r="D826" s="95" t="s">
        <v>898</v>
      </c>
      <c r="E826" s="63" t="s">
        <v>81</v>
      </c>
      <c r="F826" s="64">
        <v>65.94</v>
      </c>
    </row>
    <row r="827" spans="1:6" x14ac:dyDescent="0.25">
      <c r="A827" s="62" t="s">
        <v>4398</v>
      </c>
      <c r="B827" s="96">
        <v>150122</v>
      </c>
      <c r="C827" s="96" t="str">
        <f t="shared" si="100"/>
        <v>CPOS150122</v>
      </c>
      <c r="D827" s="95" t="s">
        <v>899</v>
      </c>
      <c r="E827" s="63" t="s">
        <v>81</v>
      </c>
      <c r="F827" s="64">
        <v>49.57</v>
      </c>
    </row>
    <row r="828" spans="1:6" x14ac:dyDescent="0.25">
      <c r="A828" s="62" t="s">
        <v>4398</v>
      </c>
      <c r="B828" s="96">
        <v>150131</v>
      </c>
      <c r="C828" s="96" t="str">
        <f t="shared" si="100"/>
        <v>CPOS150131</v>
      </c>
      <c r="D828" s="95" t="s">
        <v>900</v>
      </c>
      <c r="E828" s="63" t="s">
        <v>81</v>
      </c>
      <c r="F828" s="64">
        <v>49.93</v>
      </c>
    </row>
    <row r="829" spans="1:6" x14ac:dyDescent="0.25">
      <c r="A829" s="62" t="s">
        <v>4398</v>
      </c>
      <c r="B829" s="96">
        <v>150132</v>
      </c>
      <c r="C829" s="96" t="str">
        <f t="shared" si="100"/>
        <v>CPOS150132</v>
      </c>
      <c r="D829" s="95" t="s">
        <v>901</v>
      </c>
      <c r="E829" s="63" t="s">
        <v>81</v>
      </c>
      <c r="F829" s="64">
        <v>13.5</v>
      </c>
    </row>
    <row r="830" spans="1:6" x14ac:dyDescent="0.25">
      <c r="A830" s="62" t="s">
        <v>4398</v>
      </c>
      <c r="B830" s="96">
        <v>150133</v>
      </c>
      <c r="C830" s="96" t="str">
        <f t="shared" si="100"/>
        <v>CPOS150133</v>
      </c>
      <c r="D830" s="95" t="s">
        <v>902</v>
      </c>
      <c r="E830" s="63" t="s">
        <v>81</v>
      </c>
      <c r="F830" s="64">
        <v>9.6199999999999992</v>
      </c>
    </row>
    <row r="831" spans="1:6" x14ac:dyDescent="0.25">
      <c r="D831" s="94" t="s">
        <v>903</v>
      </c>
    </row>
    <row r="832" spans="1:6" x14ac:dyDescent="0.25">
      <c r="A832" s="62" t="s">
        <v>4398</v>
      </c>
      <c r="B832" s="96">
        <v>150303</v>
      </c>
      <c r="C832" s="96" t="str">
        <f t="shared" ref="C832:C834" si="101">A832&amp;B832</f>
        <v>CPOS150303</v>
      </c>
      <c r="D832" s="95" t="s">
        <v>904</v>
      </c>
      <c r="E832" s="63" t="s">
        <v>329</v>
      </c>
      <c r="F832" s="64">
        <v>13</v>
      </c>
    </row>
    <row r="833" spans="1:6" x14ac:dyDescent="0.25">
      <c r="A833" s="62" t="s">
        <v>4398</v>
      </c>
      <c r="B833" s="96">
        <v>150309</v>
      </c>
      <c r="C833" s="96" t="str">
        <f t="shared" si="101"/>
        <v>CPOS150309</v>
      </c>
      <c r="D833" s="95" t="s">
        <v>905</v>
      </c>
      <c r="E833" s="63" t="s">
        <v>329</v>
      </c>
      <c r="F833" s="64">
        <v>3.2</v>
      </c>
    </row>
    <row r="834" spans="1:6" x14ac:dyDescent="0.25">
      <c r="A834" s="62" t="s">
        <v>4398</v>
      </c>
      <c r="B834" s="96">
        <v>150311</v>
      </c>
      <c r="C834" s="96" t="str">
        <f t="shared" si="101"/>
        <v>CPOS150311</v>
      </c>
      <c r="D834" s="95" t="s">
        <v>906</v>
      </c>
      <c r="E834" s="63" t="s">
        <v>329</v>
      </c>
      <c r="F834" s="64">
        <v>16.64</v>
      </c>
    </row>
    <row r="835" spans="1:6" x14ac:dyDescent="0.25">
      <c r="D835" s="94" t="s">
        <v>907</v>
      </c>
    </row>
    <row r="836" spans="1:6" x14ac:dyDescent="0.25">
      <c r="A836" s="62" t="s">
        <v>4398</v>
      </c>
      <c r="B836" s="96">
        <v>150529</v>
      </c>
      <c r="C836" s="96" t="str">
        <f t="shared" ref="C836:C840" si="102">A836&amp;B836</f>
        <v>CPOS150529</v>
      </c>
      <c r="D836" s="95" t="s">
        <v>908</v>
      </c>
      <c r="E836" s="63" t="s">
        <v>119</v>
      </c>
      <c r="F836" s="64">
        <v>1845.24</v>
      </c>
    </row>
    <row r="837" spans="1:6" x14ac:dyDescent="0.25">
      <c r="A837" s="62" t="s">
        <v>4398</v>
      </c>
      <c r="B837" s="96">
        <v>150530</v>
      </c>
      <c r="C837" s="96" t="str">
        <f t="shared" si="102"/>
        <v>CPOS150530</v>
      </c>
      <c r="D837" s="95" t="s">
        <v>909</v>
      </c>
      <c r="E837" s="63" t="s">
        <v>119</v>
      </c>
      <c r="F837" s="64">
        <v>1885.03</v>
      </c>
    </row>
    <row r="838" spans="1:6" x14ac:dyDescent="0.25">
      <c r="A838" s="62" t="s">
        <v>4398</v>
      </c>
      <c r="B838" s="96">
        <v>150552</v>
      </c>
      <c r="C838" s="96" t="str">
        <f t="shared" si="102"/>
        <v>CPOS150552</v>
      </c>
      <c r="D838" s="95" t="s">
        <v>910</v>
      </c>
      <c r="E838" s="63" t="s">
        <v>119</v>
      </c>
      <c r="F838" s="64">
        <v>1660.25</v>
      </c>
    </row>
    <row r="839" spans="1:6" x14ac:dyDescent="0.25">
      <c r="A839" s="62" t="s">
        <v>4398</v>
      </c>
      <c r="B839" s="96">
        <v>150553</v>
      </c>
      <c r="C839" s="96" t="str">
        <f t="shared" si="102"/>
        <v>CPOS150553</v>
      </c>
      <c r="D839" s="95" t="s">
        <v>911</v>
      </c>
      <c r="E839" s="63" t="s">
        <v>119</v>
      </c>
      <c r="F839" s="64">
        <v>1521.94</v>
      </c>
    </row>
    <row r="840" spans="1:6" x14ac:dyDescent="0.25">
      <c r="A840" s="62" t="s">
        <v>4398</v>
      </c>
      <c r="B840" s="96">
        <v>150554</v>
      </c>
      <c r="C840" s="96" t="str">
        <f t="shared" si="102"/>
        <v>CPOS150554</v>
      </c>
      <c r="D840" s="95" t="s">
        <v>912</v>
      </c>
      <c r="E840" s="63" t="s">
        <v>119</v>
      </c>
      <c r="F840" s="64">
        <v>1669.71</v>
      </c>
    </row>
    <row r="841" spans="1:6" x14ac:dyDescent="0.25">
      <c r="D841" s="94" t="s">
        <v>693</v>
      </c>
    </row>
    <row r="842" spans="1:6" x14ac:dyDescent="0.25">
      <c r="A842" s="62" t="s">
        <v>4398</v>
      </c>
      <c r="B842" s="96">
        <v>152002</v>
      </c>
      <c r="C842" s="96" t="str">
        <f t="shared" ref="C842:C844" si="103">A842&amp;B842</f>
        <v>CPOS152002</v>
      </c>
      <c r="D842" s="95" t="s">
        <v>913</v>
      </c>
      <c r="E842" s="63" t="s">
        <v>119</v>
      </c>
      <c r="F842" s="64">
        <v>2435.5300000000002</v>
      </c>
    </row>
    <row r="843" spans="1:6" x14ac:dyDescent="0.25">
      <c r="A843" s="62" t="s">
        <v>4398</v>
      </c>
      <c r="B843" s="96">
        <v>152004</v>
      </c>
      <c r="C843" s="96" t="str">
        <f t="shared" si="103"/>
        <v>CPOS152004</v>
      </c>
      <c r="D843" s="95" t="s">
        <v>914</v>
      </c>
      <c r="E843" s="63" t="s">
        <v>110</v>
      </c>
      <c r="F843" s="64">
        <v>3.46</v>
      </c>
    </row>
    <row r="844" spans="1:6" x14ac:dyDescent="0.25">
      <c r="A844" s="62" t="s">
        <v>4398</v>
      </c>
      <c r="B844" s="96">
        <v>152006</v>
      </c>
      <c r="C844" s="96" t="str">
        <f t="shared" si="103"/>
        <v>CPOS152006</v>
      </c>
      <c r="D844" s="95" t="s">
        <v>915</v>
      </c>
      <c r="E844" s="63" t="s">
        <v>110</v>
      </c>
      <c r="F844" s="64">
        <v>9.15</v>
      </c>
    </row>
    <row r="845" spans="1:6" x14ac:dyDescent="0.25">
      <c r="D845" s="94" t="s">
        <v>916</v>
      </c>
    </row>
    <row r="846" spans="1:6" x14ac:dyDescent="0.25">
      <c r="D846" s="94" t="s">
        <v>917</v>
      </c>
    </row>
    <row r="847" spans="1:6" x14ac:dyDescent="0.25">
      <c r="A847" s="62" t="s">
        <v>4398</v>
      </c>
      <c r="B847" s="96">
        <v>160201</v>
      </c>
      <c r="C847" s="96" t="str">
        <f t="shared" ref="C847:C853" si="104">A847&amp;B847</f>
        <v>CPOS160201</v>
      </c>
      <c r="D847" s="95" t="s">
        <v>918</v>
      </c>
      <c r="E847" s="63" t="s">
        <v>81</v>
      </c>
      <c r="F847" s="64">
        <v>37.04</v>
      </c>
    </row>
    <row r="848" spans="1:6" x14ac:dyDescent="0.25">
      <c r="A848" s="62" t="s">
        <v>4398</v>
      </c>
      <c r="B848" s="96">
        <v>160202</v>
      </c>
      <c r="C848" s="96" t="str">
        <f t="shared" si="104"/>
        <v>CPOS160202</v>
      </c>
      <c r="D848" s="95" t="s">
        <v>919</v>
      </c>
      <c r="E848" s="63" t="s">
        <v>81</v>
      </c>
      <c r="F848" s="64">
        <v>46.160000000000004</v>
      </c>
    </row>
    <row r="849" spans="1:6" x14ac:dyDescent="0.25">
      <c r="A849" s="62" t="s">
        <v>4398</v>
      </c>
      <c r="B849" s="96">
        <v>160203</v>
      </c>
      <c r="C849" s="96" t="str">
        <f t="shared" si="104"/>
        <v>CPOS160203</v>
      </c>
      <c r="D849" s="95" t="s">
        <v>920</v>
      </c>
      <c r="E849" s="63" t="s">
        <v>81</v>
      </c>
      <c r="F849" s="64">
        <v>35.92</v>
      </c>
    </row>
    <row r="850" spans="1:6" x14ac:dyDescent="0.25">
      <c r="A850" s="62" t="s">
        <v>4398</v>
      </c>
      <c r="B850" s="96">
        <v>160206</v>
      </c>
      <c r="C850" s="96" t="str">
        <f t="shared" si="104"/>
        <v>CPOS160206</v>
      </c>
      <c r="D850" s="95" t="s">
        <v>921</v>
      </c>
      <c r="E850" s="63" t="s">
        <v>81</v>
      </c>
      <c r="F850" s="64">
        <v>71.62</v>
      </c>
    </row>
    <row r="851" spans="1:6" x14ac:dyDescent="0.25">
      <c r="A851" s="62" t="s">
        <v>4398</v>
      </c>
      <c r="B851" s="96">
        <v>160212</v>
      </c>
      <c r="C851" s="96" t="str">
        <f t="shared" si="104"/>
        <v>CPOS160212</v>
      </c>
      <c r="D851" s="95" t="s">
        <v>922</v>
      </c>
      <c r="E851" s="63" t="s">
        <v>110</v>
      </c>
      <c r="F851" s="64">
        <v>8.51</v>
      </c>
    </row>
    <row r="852" spans="1:6" x14ac:dyDescent="0.25">
      <c r="A852" s="62" t="s">
        <v>4398</v>
      </c>
      <c r="B852" s="96">
        <v>160223</v>
      </c>
      <c r="C852" s="96" t="str">
        <f t="shared" si="104"/>
        <v>CPOS160223</v>
      </c>
      <c r="D852" s="95" t="s">
        <v>923</v>
      </c>
      <c r="E852" s="63" t="s">
        <v>110</v>
      </c>
      <c r="F852" s="64">
        <v>17.079999999999998</v>
      </c>
    </row>
    <row r="853" spans="1:6" x14ac:dyDescent="0.25">
      <c r="A853" s="62" t="s">
        <v>4398</v>
      </c>
      <c r="B853" s="96">
        <v>160227</v>
      </c>
      <c r="C853" s="96" t="str">
        <f t="shared" si="104"/>
        <v>CPOS160227</v>
      </c>
      <c r="D853" s="95" t="s">
        <v>924</v>
      </c>
      <c r="E853" s="63" t="s">
        <v>110</v>
      </c>
      <c r="F853" s="64">
        <v>20.82</v>
      </c>
    </row>
    <row r="854" spans="1:6" x14ac:dyDescent="0.25">
      <c r="D854" s="94" t="s">
        <v>925</v>
      </c>
    </row>
    <row r="855" spans="1:6" ht="30" x14ac:dyDescent="0.25">
      <c r="A855" s="62" t="s">
        <v>4398</v>
      </c>
      <c r="B855" s="96">
        <v>160301</v>
      </c>
      <c r="C855" s="96" t="str">
        <f t="shared" ref="C855:C865" si="105">A855&amp;B855</f>
        <v>CPOS160301</v>
      </c>
      <c r="D855" s="95" t="s">
        <v>926</v>
      </c>
      <c r="E855" s="63" t="s">
        <v>81</v>
      </c>
      <c r="F855" s="64">
        <v>31.470000000000002</v>
      </c>
    </row>
    <row r="856" spans="1:6" ht="30" x14ac:dyDescent="0.25">
      <c r="A856" s="62" t="s">
        <v>4398</v>
      </c>
      <c r="B856" s="96">
        <v>160302</v>
      </c>
      <c r="C856" s="96" t="str">
        <f t="shared" si="105"/>
        <v>CPOS160302</v>
      </c>
      <c r="D856" s="95" t="s">
        <v>927</v>
      </c>
      <c r="E856" s="63" t="s">
        <v>81</v>
      </c>
      <c r="F856" s="64">
        <v>38.29</v>
      </c>
    </row>
    <row r="857" spans="1:6" ht="30" x14ac:dyDescent="0.25">
      <c r="A857" s="62" t="s">
        <v>4398</v>
      </c>
      <c r="B857" s="96">
        <v>160303</v>
      </c>
      <c r="C857" s="96" t="str">
        <f t="shared" si="105"/>
        <v>CPOS160303</v>
      </c>
      <c r="D857" s="95" t="s">
        <v>928</v>
      </c>
      <c r="E857" s="63" t="s">
        <v>81</v>
      </c>
      <c r="F857" s="64">
        <v>71.97</v>
      </c>
    </row>
    <row r="858" spans="1:6" x14ac:dyDescent="0.25">
      <c r="A858" s="62" t="s">
        <v>4398</v>
      </c>
      <c r="B858" s="96">
        <v>160304</v>
      </c>
      <c r="C858" s="96" t="str">
        <f t="shared" si="105"/>
        <v>CPOS160304</v>
      </c>
      <c r="D858" s="95" t="s">
        <v>929</v>
      </c>
      <c r="E858" s="63" t="s">
        <v>81</v>
      </c>
      <c r="F858" s="64">
        <v>71.34</v>
      </c>
    </row>
    <row r="859" spans="1:6" x14ac:dyDescent="0.25">
      <c r="A859" s="62" t="s">
        <v>4398</v>
      </c>
      <c r="B859" s="96">
        <v>160330</v>
      </c>
      <c r="C859" s="96" t="str">
        <f t="shared" si="105"/>
        <v>CPOS160330</v>
      </c>
      <c r="D859" s="95" t="s">
        <v>930</v>
      </c>
      <c r="E859" s="63" t="s">
        <v>110</v>
      </c>
      <c r="F859" s="64">
        <v>41.51</v>
      </c>
    </row>
    <row r="860" spans="1:6" x14ac:dyDescent="0.25">
      <c r="A860" s="62" t="s">
        <v>4398</v>
      </c>
      <c r="B860" s="96">
        <v>160331</v>
      </c>
      <c r="C860" s="96" t="str">
        <f t="shared" si="105"/>
        <v>CPOS160331</v>
      </c>
      <c r="D860" s="95" t="s">
        <v>931</v>
      </c>
      <c r="E860" s="63" t="s">
        <v>110</v>
      </c>
      <c r="F860" s="64">
        <v>36.35</v>
      </c>
    </row>
    <row r="861" spans="1:6" ht="30" x14ac:dyDescent="0.25">
      <c r="A861" s="62" t="s">
        <v>4398</v>
      </c>
      <c r="B861" s="96">
        <v>160332</v>
      </c>
      <c r="C861" s="96" t="str">
        <f t="shared" si="105"/>
        <v>CPOS160332</v>
      </c>
      <c r="D861" s="95" t="s">
        <v>932</v>
      </c>
      <c r="E861" s="63" t="s">
        <v>110</v>
      </c>
      <c r="F861" s="64">
        <v>51.43</v>
      </c>
    </row>
    <row r="862" spans="1:6" x14ac:dyDescent="0.25">
      <c r="A862" s="62" t="s">
        <v>4398</v>
      </c>
      <c r="B862" s="96">
        <v>160333</v>
      </c>
      <c r="C862" s="96" t="str">
        <f t="shared" si="105"/>
        <v>CPOS160333</v>
      </c>
      <c r="D862" s="95" t="s">
        <v>933</v>
      </c>
      <c r="E862" s="63" t="s">
        <v>110</v>
      </c>
      <c r="F862" s="64">
        <v>73.33</v>
      </c>
    </row>
    <row r="863" spans="1:6" x14ac:dyDescent="0.25">
      <c r="A863" s="62" t="s">
        <v>4398</v>
      </c>
      <c r="B863" s="96">
        <v>160336</v>
      </c>
      <c r="C863" s="96" t="str">
        <f t="shared" si="105"/>
        <v>CPOS160336</v>
      </c>
      <c r="D863" s="95" t="s">
        <v>934</v>
      </c>
      <c r="E863" s="63" t="s">
        <v>110</v>
      </c>
      <c r="F863" s="64">
        <v>28.22</v>
      </c>
    </row>
    <row r="864" spans="1:6" x14ac:dyDescent="0.25">
      <c r="A864" s="62" t="s">
        <v>4398</v>
      </c>
      <c r="B864" s="96">
        <v>160337</v>
      </c>
      <c r="C864" s="96" t="str">
        <f t="shared" si="105"/>
        <v>CPOS160337</v>
      </c>
      <c r="D864" s="95" t="s">
        <v>935</v>
      </c>
      <c r="E864" s="63" t="s">
        <v>110</v>
      </c>
      <c r="F864" s="64">
        <v>36.76</v>
      </c>
    </row>
    <row r="865" spans="1:6" x14ac:dyDescent="0.25">
      <c r="A865" s="62" t="s">
        <v>4398</v>
      </c>
      <c r="B865" s="96">
        <v>160340</v>
      </c>
      <c r="C865" s="96" t="str">
        <f t="shared" si="105"/>
        <v>CPOS160340</v>
      </c>
      <c r="D865" s="95" t="s">
        <v>936</v>
      </c>
      <c r="E865" s="63" t="s">
        <v>110</v>
      </c>
      <c r="F865" s="64">
        <v>31.16</v>
      </c>
    </row>
    <row r="866" spans="1:6" x14ac:dyDescent="0.25">
      <c r="D866" s="94" t="s">
        <v>937</v>
      </c>
    </row>
    <row r="867" spans="1:6" x14ac:dyDescent="0.25">
      <c r="A867" s="62" t="s">
        <v>4398</v>
      </c>
      <c r="B867" s="96">
        <v>161002</v>
      </c>
      <c r="C867" s="96" t="str">
        <f t="shared" ref="C867:C868" si="106">A867&amp;B867</f>
        <v>CPOS161002</v>
      </c>
      <c r="D867" s="95" t="s">
        <v>938</v>
      </c>
      <c r="E867" s="63" t="s">
        <v>81</v>
      </c>
      <c r="F867" s="64">
        <v>52.53</v>
      </c>
    </row>
    <row r="868" spans="1:6" x14ac:dyDescent="0.25">
      <c r="A868" s="62" t="s">
        <v>4398</v>
      </c>
      <c r="B868" s="96">
        <v>161010</v>
      </c>
      <c r="C868" s="96" t="str">
        <f t="shared" si="106"/>
        <v>CPOS161010</v>
      </c>
      <c r="D868" s="95" t="s">
        <v>939</v>
      </c>
      <c r="E868" s="63" t="s">
        <v>110</v>
      </c>
      <c r="F868" s="64">
        <v>66.81</v>
      </c>
    </row>
    <row r="869" spans="1:6" x14ac:dyDescent="0.25">
      <c r="D869" s="94" t="s">
        <v>940</v>
      </c>
    </row>
    <row r="870" spans="1:6" ht="30" x14ac:dyDescent="0.25">
      <c r="A870" s="62" t="s">
        <v>4398</v>
      </c>
      <c r="B870" s="96">
        <v>161202</v>
      </c>
      <c r="C870" s="96" t="str">
        <f t="shared" ref="C870:C875" si="107">A870&amp;B870</f>
        <v>CPOS161202</v>
      </c>
      <c r="D870" s="95" t="s">
        <v>941</v>
      </c>
      <c r="E870" s="63" t="s">
        <v>81</v>
      </c>
      <c r="F870" s="64">
        <v>57.11</v>
      </c>
    </row>
    <row r="871" spans="1:6" ht="30" x14ac:dyDescent="0.25">
      <c r="A871" s="62" t="s">
        <v>4398</v>
      </c>
      <c r="B871" s="96">
        <v>161204</v>
      </c>
      <c r="C871" s="96" t="str">
        <f t="shared" si="107"/>
        <v>CPOS161204</v>
      </c>
      <c r="D871" s="95" t="s">
        <v>942</v>
      </c>
      <c r="E871" s="63" t="s">
        <v>81</v>
      </c>
      <c r="F871" s="64">
        <v>89.74</v>
      </c>
    </row>
    <row r="872" spans="1:6" ht="30" x14ac:dyDescent="0.25">
      <c r="A872" s="62" t="s">
        <v>4398</v>
      </c>
      <c r="B872" s="96">
        <v>161205</v>
      </c>
      <c r="C872" s="96" t="str">
        <f t="shared" si="107"/>
        <v>CPOS161205</v>
      </c>
      <c r="D872" s="95" t="s">
        <v>943</v>
      </c>
      <c r="E872" s="63" t="s">
        <v>81</v>
      </c>
      <c r="F872" s="64">
        <v>73.209999999999994</v>
      </c>
    </row>
    <row r="873" spans="1:6" ht="30" x14ac:dyDescent="0.25">
      <c r="A873" s="62" t="s">
        <v>4398</v>
      </c>
      <c r="B873" s="96">
        <v>161206</v>
      </c>
      <c r="C873" s="96" t="str">
        <f t="shared" si="107"/>
        <v>CPOS161206</v>
      </c>
      <c r="D873" s="95" t="s">
        <v>944</v>
      </c>
      <c r="E873" s="63" t="s">
        <v>81</v>
      </c>
      <c r="F873" s="64">
        <v>57.24</v>
      </c>
    </row>
    <row r="874" spans="1:6" ht="30" x14ac:dyDescent="0.25">
      <c r="A874" s="62" t="s">
        <v>4398</v>
      </c>
      <c r="B874" s="96">
        <v>161220</v>
      </c>
      <c r="C874" s="96" t="str">
        <f t="shared" si="107"/>
        <v>CPOS161220</v>
      </c>
      <c r="D874" s="95" t="s">
        <v>945</v>
      </c>
      <c r="E874" s="63" t="s">
        <v>110</v>
      </c>
      <c r="F874" s="64">
        <v>39.6</v>
      </c>
    </row>
    <row r="875" spans="1:6" ht="30" x14ac:dyDescent="0.25">
      <c r="A875" s="62" t="s">
        <v>4398</v>
      </c>
      <c r="B875" s="96">
        <v>161222</v>
      </c>
      <c r="C875" s="96" t="str">
        <f t="shared" si="107"/>
        <v>CPOS161222</v>
      </c>
      <c r="D875" s="95" t="s">
        <v>946</v>
      </c>
      <c r="E875" s="63" t="s">
        <v>110</v>
      </c>
      <c r="F875" s="64">
        <v>41.39</v>
      </c>
    </row>
    <row r="876" spans="1:6" x14ac:dyDescent="0.25">
      <c r="D876" s="94" t="s">
        <v>947</v>
      </c>
    </row>
    <row r="877" spans="1:6" ht="30" x14ac:dyDescent="0.25">
      <c r="A877" s="62" t="s">
        <v>4398</v>
      </c>
      <c r="B877" s="96">
        <v>161306</v>
      </c>
      <c r="C877" s="96" t="str">
        <f t="shared" ref="C877:C880" si="108">A877&amp;B877</f>
        <v>CPOS161306</v>
      </c>
      <c r="D877" s="95" t="s">
        <v>948</v>
      </c>
      <c r="E877" s="63" t="s">
        <v>81</v>
      </c>
      <c r="F877" s="64">
        <v>107.46000000000001</v>
      </c>
    </row>
    <row r="878" spans="1:6" ht="30" x14ac:dyDescent="0.25">
      <c r="A878" s="62" t="s">
        <v>4398</v>
      </c>
      <c r="B878" s="96">
        <v>161307</v>
      </c>
      <c r="C878" s="96" t="str">
        <f t="shared" si="108"/>
        <v>CPOS161307</v>
      </c>
      <c r="D878" s="95" t="s">
        <v>949</v>
      </c>
      <c r="E878" s="63" t="s">
        <v>81</v>
      </c>
      <c r="F878" s="64">
        <v>87.68</v>
      </c>
    </row>
    <row r="879" spans="1:6" ht="30" x14ac:dyDescent="0.25">
      <c r="A879" s="62" t="s">
        <v>4398</v>
      </c>
      <c r="B879" s="96">
        <v>161313</v>
      </c>
      <c r="C879" s="96" t="str">
        <f t="shared" si="108"/>
        <v>CPOS161313</v>
      </c>
      <c r="D879" s="95" t="s">
        <v>950</v>
      </c>
      <c r="E879" s="63" t="s">
        <v>81</v>
      </c>
      <c r="F879" s="64">
        <v>83.61</v>
      </c>
    </row>
    <row r="880" spans="1:6" ht="30" x14ac:dyDescent="0.25">
      <c r="A880" s="62" t="s">
        <v>4398</v>
      </c>
      <c r="B880" s="96">
        <v>161314</v>
      </c>
      <c r="C880" s="96" t="str">
        <f t="shared" si="108"/>
        <v>CPOS161314</v>
      </c>
      <c r="D880" s="95" t="s">
        <v>951</v>
      </c>
      <c r="E880" s="63" t="s">
        <v>81</v>
      </c>
      <c r="F880" s="64">
        <v>56.45</v>
      </c>
    </row>
    <row r="881" spans="1:6" x14ac:dyDescent="0.25">
      <c r="D881" s="94" t="s">
        <v>952</v>
      </c>
    </row>
    <row r="882" spans="1:6" x14ac:dyDescent="0.25">
      <c r="A882" s="62" t="s">
        <v>4398</v>
      </c>
      <c r="B882" s="96">
        <v>161604</v>
      </c>
      <c r="C882" s="96" t="str">
        <f t="shared" ref="C882:C886" si="109">A882&amp;B882</f>
        <v>CPOS161604</v>
      </c>
      <c r="D882" s="95" t="s">
        <v>953</v>
      </c>
      <c r="E882" s="63" t="s">
        <v>81</v>
      </c>
      <c r="F882" s="64">
        <v>47.78</v>
      </c>
    </row>
    <row r="883" spans="1:6" x14ac:dyDescent="0.25">
      <c r="A883" s="62" t="s">
        <v>4398</v>
      </c>
      <c r="B883" s="96">
        <v>161616</v>
      </c>
      <c r="C883" s="96" t="str">
        <f t="shared" si="109"/>
        <v>CPOS161616</v>
      </c>
      <c r="D883" s="95" t="s">
        <v>954</v>
      </c>
      <c r="E883" s="63" t="s">
        <v>81</v>
      </c>
      <c r="F883" s="64">
        <v>88.45</v>
      </c>
    </row>
    <row r="884" spans="1:6" x14ac:dyDescent="0.25">
      <c r="A884" s="62" t="s">
        <v>4398</v>
      </c>
      <c r="B884" s="96">
        <v>161618</v>
      </c>
      <c r="C884" s="96" t="str">
        <f t="shared" si="109"/>
        <v>CPOS161618</v>
      </c>
      <c r="D884" s="95" t="s">
        <v>955</v>
      </c>
      <c r="E884" s="63" t="s">
        <v>81</v>
      </c>
      <c r="F884" s="64">
        <v>96.47</v>
      </c>
    </row>
    <row r="885" spans="1:6" x14ac:dyDescent="0.25">
      <c r="A885" s="62" t="s">
        <v>4398</v>
      </c>
      <c r="B885" s="96">
        <v>161640</v>
      </c>
      <c r="C885" s="96" t="str">
        <f t="shared" si="109"/>
        <v>CPOS161640</v>
      </c>
      <c r="D885" s="95" t="s">
        <v>956</v>
      </c>
      <c r="E885" s="63" t="s">
        <v>110</v>
      </c>
      <c r="F885" s="64">
        <v>112.67</v>
      </c>
    </row>
    <row r="886" spans="1:6" x14ac:dyDescent="0.25">
      <c r="A886" s="62" t="s">
        <v>4398</v>
      </c>
      <c r="B886" s="96">
        <v>161642</v>
      </c>
      <c r="C886" s="96" t="str">
        <f t="shared" si="109"/>
        <v>CPOS161642</v>
      </c>
      <c r="D886" s="95" t="s">
        <v>957</v>
      </c>
      <c r="E886" s="63" t="s">
        <v>110</v>
      </c>
      <c r="F886" s="64">
        <v>243.26</v>
      </c>
    </row>
    <row r="887" spans="1:6" x14ac:dyDescent="0.25">
      <c r="D887" s="94" t="s">
        <v>958</v>
      </c>
    </row>
    <row r="888" spans="1:6" x14ac:dyDescent="0.25">
      <c r="A888" s="62" t="s">
        <v>4398</v>
      </c>
      <c r="B888" s="96">
        <v>162002</v>
      </c>
      <c r="C888" s="96" t="str">
        <f t="shared" ref="C888:C890" si="110">A888&amp;B888</f>
        <v>CPOS162002</v>
      </c>
      <c r="D888" s="95" t="s">
        <v>959</v>
      </c>
      <c r="E888" s="63" t="s">
        <v>58</v>
      </c>
      <c r="F888" s="64">
        <v>39.700000000000003</v>
      </c>
    </row>
    <row r="889" spans="1:6" x14ac:dyDescent="0.25">
      <c r="A889" s="62" t="s">
        <v>4398</v>
      </c>
      <c r="B889" s="96">
        <v>162003</v>
      </c>
      <c r="C889" s="96" t="str">
        <f t="shared" si="110"/>
        <v>CPOS162003</v>
      </c>
      <c r="D889" s="95" t="s">
        <v>960</v>
      </c>
      <c r="E889" s="63" t="s">
        <v>58</v>
      </c>
      <c r="F889" s="64">
        <v>46.42</v>
      </c>
    </row>
    <row r="890" spans="1:6" x14ac:dyDescent="0.25">
      <c r="A890" s="62" t="s">
        <v>4398</v>
      </c>
      <c r="B890" s="96">
        <v>162004</v>
      </c>
      <c r="C890" s="96" t="str">
        <f t="shared" si="110"/>
        <v>CPOS162004</v>
      </c>
      <c r="D890" s="95" t="s">
        <v>961</v>
      </c>
      <c r="E890" s="63" t="s">
        <v>58</v>
      </c>
      <c r="F890" s="64">
        <v>39.700000000000003</v>
      </c>
    </row>
    <row r="891" spans="1:6" x14ac:dyDescent="0.25">
      <c r="D891" s="94" t="s">
        <v>962</v>
      </c>
    </row>
    <row r="892" spans="1:6" x14ac:dyDescent="0.25">
      <c r="A892" s="62" t="s">
        <v>4398</v>
      </c>
      <c r="B892" s="96">
        <v>163002</v>
      </c>
      <c r="C892" s="96" t="str">
        <f>A892&amp;B892</f>
        <v>CPOS163002</v>
      </c>
      <c r="D892" s="95" t="s">
        <v>963</v>
      </c>
      <c r="E892" s="63" t="s">
        <v>81</v>
      </c>
      <c r="F892" s="64">
        <v>405.47</v>
      </c>
    </row>
    <row r="893" spans="1:6" x14ac:dyDescent="0.25">
      <c r="D893" s="94" t="s">
        <v>964</v>
      </c>
    </row>
    <row r="894" spans="1:6" x14ac:dyDescent="0.25">
      <c r="A894" s="62" t="s">
        <v>4398</v>
      </c>
      <c r="B894" s="96">
        <v>163207</v>
      </c>
      <c r="C894" s="96" t="str">
        <f t="shared" ref="C894:C896" si="111">A894&amp;B894</f>
        <v>CPOS163207</v>
      </c>
      <c r="D894" s="95" t="s">
        <v>965</v>
      </c>
      <c r="E894" s="63" t="s">
        <v>81</v>
      </c>
      <c r="F894" s="64">
        <v>125.99000000000001</v>
      </c>
    </row>
    <row r="895" spans="1:6" x14ac:dyDescent="0.25">
      <c r="A895" s="62" t="s">
        <v>4398</v>
      </c>
      <c r="B895" s="96">
        <v>163212</v>
      </c>
      <c r="C895" s="96" t="str">
        <f t="shared" si="111"/>
        <v>CPOS163212</v>
      </c>
      <c r="D895" s="95" t="s">
        <v>966</v>
      </c>
      <c r="E895" s="63" t="s">
        <v>81</v>
      </c>
      <c r="F895" s="64">
        <v>156.62</v>
      </c>
    </row>
    <row r="896" spans="1:6" x14ac:dyDescent="0.25">
      <c r="A896" s="62" t="s">
        <v>4398</v>
      </c>
      <c r="B896" s="96">
        <v>163213</v>
      </c>
      <c r="C896" s="96" t="str">
        <f t="shared" si="111"/>
        <v>CPOS163213</v>
      </c>
      <c r="D896" s="95" t="s">
        <v>967</v>
      </c>
      <c r="E896" s="63" t="s">
        <v>81</v>
      </c>
      <c r="F896" s="64">
        <v>166.76</v>
      </c>
    </row>
    <row r="897" spans="1:6" x14ac:dyDescent="0.25">
      <c r="D897" s="94" t="s">
        <v>968</v>
      </c>
    </row>
    <row r="898" spans="1:6" x14ac:dyDescent="0.25">
      <c r="A898" s="62" t="s">
        <v>4398</v>
      </c>
      <c r="B898" s="96">
        <v>163302</v>
      </c>
      <c r="C898" s="96" t="str">
        <f t="shared" ref="C898:C904" si="112">A898&amp;B898</f>
        <v>CPOS163302</v>
      </c>
      <c r="D898" s="95" t="s">
        <v>969</v>
      </c>
      <c r="E898" s="63" t="s">
        <v>110</v>
      </c>
      <c r="F898" s="64">
        <v>52.9</v>
      </c>
    </row>
    <row r="899" spans="1:6" x14ac:dyDescent="0.25">
      <c r="A899" s="62" t="s">
        <v>4398</v>
      </c>
      <c r="B899" s="96">
        <v>163304</v>
      </c>
      <c r="C899" s="96" t="str">
        <f t="shared" si="112"/>
        <v>CPOS163304</v>
      </c>
      <c r="D899" s="95" t="s">
        <v>970</v>
      </c>
      <c r="E899" s="63" t="s">
        <v>110</v>
      </c>
      <c r="F899" s="64">
        <v>73.459999999999994</v>
      </c>
    </row>
    <row r="900" spans="1:6" x14ac:dyDescent="0.25">
      <c r="A900" s="62" t="s">
        <v>4398</v>
      </c>
      <c r="B900" s="96">
        <v>163306</v>
      </c>
      <c r="C900" s="96" t="str">
        <f t="shared" si="112"/>
        <v>CPOS163306</v>
      </c>
      <c r="D900" s="95" t="s">
        <v>971</v>
      </c>
      <c r="E900" s="63" t="s">
        <v>110</v>
      </c>
      <c r="F900" s="64">
        <v>116.19</v>
      </c>
    </row>
    <row r="901" spans="1:6" x14ac:dyDescent="0.25">
      <c r="A901" s="62" t="s">
        <v>4398</v>
      </c>
      <c r="B901" s="96">
        <v>163308</v>
      </c>
      <c r="C901" s="96" t="str">
        <f t="shared" si="112"/>
        <v>CPOS163308</v>
      </c>
      <c r="D901" s="95" t="s">
        <v>972</v>
      </c>
      <c r="E901" s="63" t="s">
        <v>110</v>
      </c>
      <c r="F901" s="64">
        <v>49.120000000000005</v>
      </c>
    </row>
    <row r="902" spans="1:6" x14ac:dyDescent="0.25">
      <c r="A902" s="62" t="s">
        <v>4398</v>
      </c>
      <c r="B902" s="96">
        <v>163310</v>
      </c>
      <c r="C902" s="96" t="str">
        <f t="shared" si="112"/>
        <v>CPOS163310</v>
      </c>
      <c r="D902" s="95" t="s">
        <v>973</v>
      </c>
      <c r="E902" s="63" t="s">
        <v>110</v>
      </c>
      <c r="F902" s="64">
        <v>67.84</v>
      </c>
    </row>
    <row r="903" spans="1:6" x14ac:dyDescent="0.25">
      <c r="A903" s="62" t="s">
        <v>4398</v>
      </c>
      <c r="B903" s="96">
        <v>163340</v>
      </c>
      <c r="C903" s="96" t="str">
        <f t="shared" si="112"/>
        <v>CPOS163340</v>
      </c>
      <c r="D903" s="95" t="s">
        <v>974</v>
      </c>
      <c r="E903" s="63" t="s">
        <v>58</v>
      </c>
      <c r="F903" s="64">
        <v>8.1300000000000008</v>
      </c>
    </row>
    <row r="904" spans="1:6" x14ac:dyDescent="0.25">
      <c r="A904" s="62" t="s">
        <v>4398</v>
      </c>
      <c r="B904" s="96">
        <v>163341</v>
      </c>
      <c r="C904" s="96" t="str">
        <f t="shared" si="112"/>
        <v>CPOS163341</v>
      </c>
      <c r="D904" s="95" t="s">
        <v>975</v>
      </c>
      <c r="E904" s="63" t="s">
        <v>58</v>
      </c>
      <c r="F904" s="64">
        <v>9.5500000000000007</v>
      </c>
    </row>
    <row r="905" spans="1:6" x14ac:dyDescent="0.25">
      <c r="D905" s="94" t="s">
        <v>693</v>
      </c>
    </row>
    <row r="906" spans="1:6" x14ac:dyDescent="0.25">
      <c r="A906" s="62" t="s">
        <v>4398</v>
      </c>
      <c r="B906" s="96">
        <v>164004</v>
      </c>
      <c r="C906" s="96" t="str">
        <f t="shared" ref="C906:C912" si="113">A906&amp;B906</f>
        <v>CPOS164004</v>
      </c>
      <c r="D906" s="95" t="s">
        <v>976</v>
      </c>
      <c r="E906" s="63" t="s">
        <v>110</v>
      </c>
      <c r="F906" s="64">
        <v>11.3</v>
      </c>
    </row>
    <row r="907" spans="1:6" x14ac:dyDescent="0.25">
      <c r="A907" s="62" t="s">
        <v>4398</v>
      </c>
      <c r="B907" s="96">
        <v>164006</v>
      </c>
      <c r="C907" s="96" t="str">
        <f t="shared" si="113"/>
        <v>CPOS164006</v>
      </c>
      <c r="D907" s="95" t="s">
        <v>977</v>
      </c>
      <c r="E907" s="63" t="s">
        <v>81</v>
      </c>
      <c r="F907" s="64">
        <v>27.310000000000002</v>
      </c>
    </row>
    <row r="908" spans="1:6" x14ac:dyDescent="0.25">
      <c r="A908" s="62" t="s">
        <v>4398</v>
      </c>
      <c r="B908" s="96">
        <v>164008</v>
      </c>
      <c r="C908" s="96" t="str">
        <f t="shared" si="113"/>
        <v>CPOS164008</v>
      </c>
      <c r="D908" s="95" t="s">
        <v>978</v>
      </c>
      <c r="E908" s="63" t="s">
        <v>81</v>
      </c>
      <c r="F908" s="64">
        <v>27.310000000000002</v>
      </c>
    </row>
    <row r="909" spans="1:6" x14ac:dyDescent="0.25">
      <c r="A909" s="62" t="s">
        <v>4398</v>
      </c>
      <c r="B909" s="96">
        <v>164009</v>
      </c>
      <c r="C909" s="96" t="str">
        <f t="shared" si="113"/>
        <v>CPOS164009</v>
      </c>
      <c r="D909" s="95" t="s">
        <v>979</v>
      </c>
      <c r="E909" s="63" t="s">
        <v>81</v>
      </c>
      <c r="F909" s="64">
        <v>12.540000000000001</v>
      </c>
    </row>
    <row r="910" spans="1:6" x14ac:dyDescent="0.25">
      <c r="A910" s="62" t="s">
        <v>4398</v>
      </c>
      <c r="B910" s="96">
        <v>164012</v>
      </c>
      <c r="C910" s="96" t="str">
        <f t="shared" si="113"/>
        <v>CPOS164012</v>
      </c>
      <c r="D910" s="95" t="s">
        <v>980</v>
      </c>
      <c r="E910" s="63" t="s">
        <v>81</v>
      </c>
      <c r="F910" s="64">
        <v>18.21</v>
      </c>
    </row>
    <row r="911" spans="1:6" x14ac:dyDescent="0.25">
      <c r="A911" s="62" t="s">
        <v>4398</v>
      </c>
      <c r="B911" s="96">
        <v>164014</v>
      </c>
      <c r="C911" s="96" t="str">
        <f t="shared" si="113"/>
        <v>CPOS164014</v>
      </c>
      <c r="D911" s="95" t="s">
        <v>981</v>
      </c>
      <c r="E911" s="63" t="s">
        <v>81</v>
      </c>
      <c r="F911" s="64">
        <v>11.08</v>
      </c>
    </row>
    <row r="912" spans="1:6" ht="30" x14ac:dyDescent="0.25">
      <c r="A912" s="62" t="s">
        <v>4398</v>
      </c>
      <c r="B912" s="96">
        <v>164015</v>
      </c>
      <c r="C912" s="96" t="str">
        <f t="shared" si="113"/>
        <v>CPOS164015</v>
      </c>
      <c r="D912" s="95" t="s">
        <v>982</v>
      </c>
      <c r="E912" s="63" t="s">
        <v>81</v>
      </c>
      <c r="F912" s="64">
        <v>13.74</v>
      </c>
    </row>
    <row r="913" spans="1:6" x14ac:dyDescent="0.25">
      <c r="D913" s="94" t="s">
        <v>983</v>
      </c>
    </row>
    <row r="914" spans="1:6" x14ac:dyDescent="0.25">
      <c r="D914" s="94" t="s">
        <v>984</v>
      </c>
    </row>
    <row r="915" spans="1:6" x14ac:dyDescent="0.25">
      <c r="A915" s="62" t="s">
        <v>4398</v>
      </c>
      <c r="B915" s="96">
        <v>170101</v>
      </c>
      <c r="C915" s="96" t="str">
        <f t="shared" ref="C915:C921" si="114">A915&amp;B915</f>
        <v>CPOS170101</v>
      </c>
      <c r="D915" s="95" t="s">
        <v>985</v>
      </c>
      <c r="E915" s="63" t="s">
        <v>119</v>
      </c>
      <c r="F915" s="64">
        <v>673.02</v>
      </c>
    </row>
    <row r="916" spans="1:6" x14ac:dyDescent="0.25">
      <c r="A916" s="62" t="s">
        <v>4398</v>
      </c>
      <c r="B916" s="96">
        <v>170102</v>
      </c>
      <c r="C916" s="96" t="str">
        <f t="shared" si="114"/>
        <v>CPOS170102</v>
      </c>
      <c r="D916" s="95" t="s">
        <v>986</v>
      </c>
      <c r="E916" s="63" t="s">
        <v>119</v>
      </c>
      <c r="F916" s="64">
        <v>470.38</v>
      </c>
    </row>
    <row r="917" spans="1:6" x14ac:dyDescent="0.25">
      <c r="A917" s="62" t="s">
        <v>4398</v>
      </c>
      <c r="B917" s="96">
        <v>170103</v>
      </c>
      <c r="C917" s="96" t="str">
        <f t="shared" si="114"/>
        <v>CPOS170103</v>
      </c>
      <c r="D917" s="95" t="s">
        <v>987</v>
      </c>
      <c r="E917" s="63" t="s">
        <v>119</v>
      </c>
      <c r="F917" s="64">
        <v>533.94000000000005</v>
      </c>
    </row>
    <row r="918" spans="1:6" x14ac:dyDescent="0.25">
      <c r="A918" s="62" t="s">
        <v>4398</v>
      </c>
      <c r="B918" s="96">
        <v>170104</v>
      </c>
      <c r="C918" s="96" t="str">
        <f t="shared" si="114"/>
        <v>CPOS170104</v>
      </c>
      <c r="D918" s="95" t="s">
        <v>988</v>
      </c>
      <c r="E918" s="63" t="s">
        <v>119</v>
      </c>
      <c r="F918" s="64">
        <v>409.95</v>
      </c>
    </row>
    <row r="919" spans="1:6" x14ac:dyDescent="0.25">
      <c r="A919" s="62" t="s">
        <v>4398</v>
      </c>
      <c r="B919" s="96">
        <v>170105</v>
      </c>
      <c r="C919" s="96" t="str">
        <f t="shared" si="114"/>
        <v>CPOS170105</v>
      </c>
      <c r="D919" s="95" t="s">
        <v>989</v>
      </c>
      <c r="E919" s="63" t="s">
        <v>81</v>
      </c>
      <c r="F919" s="64">
        <v>16.2</v>
      </c>
    </row>
    <row r="920" spans="1:6" x14ac:dyDescent="0.25">
      <c r="A920" s="62" t="s">
        <v>4398</v>
      </c>
      <c r="B920" s="96">
        <v>170106</v>
      </c>
      <c r="C920" s="96" t="str">
        <f t="shared" si="114"/>
        <v>CPOS170106</v>
      </c>
      <c r="D920" s="95" t="s">
        <v>990</v>
      </c>
      <c r="E920" s="63" t="s">
        <v>81</v>
      </c>
      <c r="F920" s="64">
        <v>18.64</v>
      </c>
    </row>
    <row r="921" spans="1:6" x14ac:dyDescent="0.25">
      <c r="A921" s="62" t="s">
        <v>4398</v>
      </c>
      <c r="B921" s="96">
        <v>170112</v>
      </c>
      <c r="C921" s="96" t="str">
        <f t="shared" si="114"/>
        <v>CPOS170112</v>
      </c>
      <c r="D921" s="95" t="s">
        <v>991</v>
      </c>
      <c r="E921" s="63" t="s">
        <v>119</v>
      </c>
      <c r="F921" s="64">
        <v>914.28</v>
      </c>
    </row>
    <row r="922" spans="1:6" x14ac:dyDescent="0.25">
      <c r="D922" s="94" t="s">
        <v>992</v>
      </c>
    </row>
    <row r="923" spans="1:6" x14ac:dyDescent="0.25">
      <c r="A923" s="62" t="s">
        <v>4398</v>
      </c>
      <c r="B923" s="96">
        <v>170202</v>
      </c>
      <c r="C923" s="96" t="str">
        <f t="shared" ref="C923:C932" si="115">A923&amp;B923</f>
        <v>CPOS170202</v>
      </c>
      <c r="D923" s="95" t="s">
        <v>993</v>
      </c>
      <c r="E923" s="63" t="s">
        <v>81</v>
      </c>
      <c r="F923" s="64">
        <v>4.0999999999999996</v>
      </c>
    </row>
    <row r="924" spans="1:6" x14ac:dyDescent="0.25">
      <c r="A924" s="62" t="s">
        <v>4398</v>
      </c>
      <c r="B924" s="96">
        <v>170204</v>
      </c>
      <c r="C924" s="96" t="str">
        <f t="shared" si="115"/>
        <v>CPOS170204</v>
      </c>
      <c r="D924" s="95" t="s">
        <v>994</v>
      </c>
      <c r="E924" s="63" t="s">
        <v>81</v>
      </c>
      <c r="F924" s="64">
        <v>6.63</v>
      </c>
    </row>
    <row r="925" spans="1:6" x14ac:dyDescent="0.25">
      <c r="A925" s="62" t="s">
        <v>4398</v>
      </c>
      <c r="B925" s="96">
        <v>170206</v>
      </c>
      <c r="C925" s="96" t="str">
        <f t="shared" si="115"/>
        <v>CPOS170206</v>
      </c>
      <c r="D925" s="95" t="s">
        <v>995</v>
      </c>
      <c r="E925" s="63" t="s">
        <v>81</v>
      </c>
      <c r="F925" s="64">
        <v>5.34</v>
      </c>
    </row>
    <row r="926" spans="1:6" x14ac:dyDescent="0.25">
      <c r="A926" s="62" t="s">
        <v>4398</v>
      </c>
      <c r="B926" s="96">
        <v>170208</v>
      </c>
      <c r="C926" s="96" t="str">
        <f t="shared" si="115"/>
        <v>CPOS170208</v>
      </c>
      <c r="D926" s="95" t="s">
        <v>996</v>
      </c>
      <c r="E926" s="63" t="s">
        <v>81</v>
      </c>
      <c r="F926" s="64">
        <v>6.5600000000000005</v>
      </c>
    </row>
    <row r="927" spans="1:6" x14ac:dyDescent="0.25">
      <c r="A927" s="62" t="s">
        <v>4398</v>
      </c>
      <c r="B927" s="96">
        <v>170212</v>
      </c>
      <c r="C927" s="96" t="str">
        <f t="shared" si="115"/>
        <v>CPOS170212</v>
      </c>
      <c r="D927" s="95" t="s">
        <v>997</v>
      </c>
      <c r="E927" s="63" t="s">
        <v>81</v>
      </c>
      <c r="F927" s="64">
        <v>12.25</v>
      </c>
    </row>
    <row r="928" spans="1:6" x14ac:dyDescent="0.25">
      <c r="A928" s="62" t="s">
        <v>4398</v>
      </c>
      <c r="B928" s="96">
        <v>170214</v>
      </c>
      <c r="C928" s="96" t="str">
        <f t="shared" si="115"/>
        <v>CPOS170214</v>
      </c>
      <c r="D928" s="95" t="s">
        <v>998</v>
      </c>
      <c r="E928" s="63" t="s">
        <v>81</v>
      </c>
      <c r="F928" s="64">
        <v>14.99</v>
      </c>
    </row>
    <row r="929" spans="1:6" x14ac:dyDescent="0.25">
      <c r="A929" s="62" t="s">
        <v>4398</v>
      </c>
      <c r="B929" s="96">
        <v>170222</v>
      </c>
      <c r="C929" s="96" t="str">
        <f t="shared" si="115"/>
        <v>CPOS170222</v>
      </c>
      <c r="D929" s="95" t="s">
        <v>999</v>
      </c>
      <c r="E929" s="63" t="s">
        <v>81</v>
      </c>
      <c r="F929" s="64">
        <v>7.25</v>
      </c>
    </row>
    <row r="930" spans="1:6" x14ac:dyDescent="0.25">
      <c r="A930" s="62" t="s">
        <v>4398</v>
      </c>
      <c r="B930" s="96">
        <v>170225</v>
      </c>
      <c r="C930" s="96" t="str">
        <f t="shared" si="115"/>
        <v>CPOS170225</v>
      </c>
      <c r="D930" s="95" t="s">
        <v>1000</v>
      </c>
      <c r="E930" s="63" t="s">
        <v>81</v>
      </c>
      <c r="F930" s="64">
        <v>47.61</v>
      </c>
    </row>
    <row r="931" spans="1:6" x14ac:dyDescent="0.25">
      <c r="A931" s="62" t="s">
        <v>4398</v>
      </c>
      <c r="B931" s="96">
        <v>170226</v>
      </c>
      <c r="C931" s="96" t="str">
        <f t="shared" si="115"/>
        <v>CPOS170226</v>
      </c>
      <c r="D931" s="95" t="s">
        <v>1001</v>
      </c>
      <c r="E931" s="63" t="s">
        <v>81</v>
      </c>
      <c r="F931" s="64">
        <v>22.28</v>
      </c>
    </row>
    <row r="932" spans="1:6" x14ac:dyDescent="0.25">
      <c r="A932" s="62" t="s">
        <v>4398</v>
      </c>
      <c r="B932" s="96">
        <v>170233</v>
      </c>
      <c r="C932" s="96" t="str">
        <f t="shared" si="115"/>
        <v>CPOS170233</v>
      </c>
      <c r="D932" s="95" t="s">
        <v>1002</v>
      </c>
      <c r="E932" s="63" t="s">
        <v>81</v>
      </c>
      <c r="F932" s="64">
        <v>7.1400000000000006</v>
      </c>
    </row>
    <row r="933" spans="1:6" x14ac:dyDescent="0.25">
      <c r="D933" s="94" t="s">
        <v>1003</v>
      </c>
    </row>
    <row r="934" spans="1:6" x14ac:dyDescent="0.25">
      <c r="A934" s="62" t="s">
        <v>4398</v>
      </c>
      <c r="B934" s="96">
        <v>170302</v>
      </c>
      <c r="C934" s="96" t="str">
        <f t="shared" ref="C934:C943" si="116">A934&amp;B934</f>
        <v>CPOS170302</v>
      </c>
      <c r="D934" s="95" t="s">
        <v>1004</v>
      </c>
      <c r="E934" s="63" t="s">
        <v>81</v>
      </c>
      <c r="F934" s="64">
        <v>19.62</v>
      </c>
    </row>
    <row r="935" spans="1:6" x14ac:dyDescent="0.25">
      <c r="A935" s="62" t="s">
        <v>4398</v>
      </c>
      <c r="B935" s="96">
        <v>170304</v>
      </c>
      <c r="C935" s="96" t="str">
        <f t="shared" si="116"/>
        <v>CPOS170304</v>
      </c>
      <c r="D935" s="95" t="s">
        <v>1005</v>
      </c>
      <c r="E935" s="63" t="s">
        <v>81</v>
      </c>
      <c r="F935" s="64">
        <v>22.580000000000002</v>
      </c>
    </row>
    <row r="936" spans="1:6" x14ac:dyDescent="0.25">
      <c r="A936" s="62" t="s">
        <v>4398</v>
      </c>
      <c r="B936" s="96">
        <v>170306</v>
      </c>
      <c r="C936" s="96" t="str">
        <f t="shared" si="116"/>
        <v>CPOS170306</v>
      </c>
      <c r="D936" s="95" t="s">
        <v>1006</v>
      </c>
      <c r="E936" s="63" t="s">
        <v>81</v>
      </c>
      <c r="F936" s="64">
        <v>31.27</v>
      </c>
    </row>
    <row r="937" spans="1:6" x14ac:dyDescent="0.25">
      <c r="A937" s="62" t="s">
        <v>4398</v>
      </c>
      <c r="B937" s="96">
        <v>170308</v>
      </c>
      <c r="C937" s="96" t="str">
        <f t="shared" si="116"/>
        <v>CPOS170308</v>
      </c>
      <c r="D937" s="95" t="s">
        <v>1007</v>
      </c>
      <c r="E937" s="63" t="s">
        <v>81</v>
      </c>
      <c r="F937" s="64">
        <v>15.860000000000001</v>
      </c>
    </row>
    <row r="938" spans="1:6" x14ac:dyDescent="0.25">
      <c r="A938" s="62" t="s">
        <v>4398</v>
      </c>
      <c r="B938" s="96">
        <v>170310</v>
      </c>
      <c r="C938" s="96" t="str">
        <f t="shared" si="116"/>
        <v>CPOS170310</v>
      </c>
      <c r="D938" s="95" t="s">
        <v>1008</v>
      </c>
      <c r="E938" s="63" t="s">
        <v>81</v>
      </c>
      <c r="F938" s="64">
        <v>23.38</v>
      </c>
    </row>
    <row r="939" spans="1:6" x14ac:dyDescent="0.25">
      <c r="A939" s="62" t="s">
        <v>4398</v>
      </c>
      <c r="B939" s="96">
        <v>170320</v>
      </c>
      <c r="C939" s="96" t="str">
        <f t="shared" si="116"/>
        <v>CPOS170320</v>
      </c>
      <c r="D939" s="95" t="s">
        <v>1009</v>
      </c>
      <c r="E939" s="63" t="s">
        <v>110</v>
      </c>
      <c r="F939" s="64">
        <v>32.590000000000003</v>
      </c>
    </row>
    <row r="940" spans="1:6" x14ac:dyDescent="0.25">
      <c r="A940" s="62" t="s">
        <v>4398</v>
      </c>
      <c r="B940" s="96">
        <v>170330</v>
      </c>
      <c r="C940" s="96" t="str">
        <f t="shared" si="116"/>
        <v>CPOS170330</v>
      </c>
      <c r="D940" s="95" t="s">
        <v>1010</v>
      </c>
      <c r="E940" s="63" t="s">
        <v>110</v>
      </c>
      <c r="F940" s="64">
        <v>13.86</v>
      </c>
    </row>
    <row r="941" spans="1:6" x14ac:dyDescent="0.25">
      <c r="A941" s="62" t="s">
        <v>4398</v>
      </c>
      <c r="B941" s="96">
        <v>170331</v>
      </c>
      <c r="C941" s="96" t="str">
        <f t="shared" si="116"/>
        <v>CPOS170331</v>
      </c>
      <c r="D941" s="95" t="s">
        <v>1011</v>
      </c>
      <c r="E941" s="63" t="s">
        <v>110</v>
      </c>
      <c r="F941" s="64">
        <v>13.98</v>
      </c>
    </row>
    <row r="942" spans="1:6" x14ac:dyDescent="0.25">
      <c r="A942" s="62" t="s">
        <v>4398</v>
      </c>
      <c r="B942" s="96">
        <v>170332</v>
      </c>
      <c r="C942" s="96" t="str">
        <f t="shared" si="116"/>
        <v>CPOS170332</v>
      </c>
      <c r="D942" s="95" t="s">
        <v>1012</v>
      </c>
      <c r="E942" s="63" t="s">
        <v>110</v>
      </c>
      <c r="F942" s="64">
        <v>14.13</v>
      </c>
    </row>
    <row r="943" spans="1:6" x14ac:dyDescent="0.25">
      <c r="A943" s="62" t="s">
        <v>4398</v>
      </c>
      <c r="B943" s="96">
        <v>170333</v>
      </c>
      <c r="C943" s="96" t="str">
        <f t="shared" si="116"/>
        <v>CPOS170333</v>
      </c>
      <c r="D943" s="95" t="s">
        <v>1013</v>
      </c>
      <c r="E943" s="63" t="s">
        <v>110</v>
      </c>
      <c r="F943" s="64">
        <v>14.41</v>
      </c>
    </row>
    <row r="944" spans="1:6" x14ac:dyDescent="0.25">
      <c r="D944" s="94" t="s">
        <v>1014</v>
      </c>
    </row>
    <row r="945" spans="1:6" x14ac:dyDescent="0.25">
      <c r="A945" s="62" t="s">
        <v>4398</v>
      </c>
      <c r="B945" s="96">
        <v>170402</v>
      </c>
      <c r="C945" s="96" t="str">
        <f t="shared" ref="C945:C946" si="117">A945&amp;B945</f>
        <v>CPOS170402</v>
      </c>
      <c r="D945" s="95" t="s">
        <v>1015</v>
      </c>
      <c r="E945" s="63" t="s">
        <v>81</v>
      </c>
      <c r="F945" s="64">
        <v>10.88</v>
      </c>
    </row>
    <row r="946" spans="1:6" x14ac:dyDescent="0.25">
      <c r="A946" s="62" t="s">
        <v>4398</v>
      </c>
      <c r="B946" s="96">
        <v>170404</v>
      </c>
      <c r="C946" s="96" t="str">
        <f t="shared" si="117"/>
        <v>CPOS170404</v>
      </c>
      <c r="D946" s="95" t="s">
        <v>1016</v>
      </c>
      <c r="E946" s="63" t="s">
        <v>81</v>
      </c>
      <c r="F946" s="64">
        <v>12.02</v>
      </c>
    </row>
    <row r="947" spans="1:6" x14ac:dyDescent="0.25">
      <c r="D947" s="94" t="s">
        <v>1017</v>
      </c>
    </row>
    <row r="948" spans="1:6" x14ac:dyDescent="0.25">
      <c r="A948" s="62" t="s">
        <v>4398</v>
      </c>
      <c r="B948" s="96">
        <v>170502</v>
      </c>
      <c r="C948" s="96" t="str">
        <f t="shared" ref="C948:C953" si="118">A948&amp;B948</f>
        <v>CPOS170502</v>
      </c>
      <c r="D948" s="95" t="s">
        <v>1018</v>
      </c>
      <c r="E948" s="63" t="s">
        <v>119</v>
      </c>
      <c r="F948" s="64">
        <v>503.02000000000004</v>
      </c>
    </row>
    <row r="949" spans="1:6" x14ac:dyDescent="0.25">
      <c r="A949" s="62" t="s">
        <v>4398</v>
      </c>
      <c r="B949" s="96">
        <v>170507</v>
      </c>
      <c r="C949" s="96" t="str">
        <f t="shared" si="118"/>
        <v>CPOS170507</v>
      </c>
      <c r="D949" s="95" t="s">
        <v>1019</v>
      </c>
      <c r="E949" s="63" t="s">
        <v>119</v>
      </c>
      <c r="F949" s="64">
        <v>549.96</v>
      </c>
    </row>
    <row r="950" spans="1:6" x14ac:dyDescent="0.25">
      <c r="A950" s="62" t="s">
        <v>4398</v>
      </c>
      <c r="B950" s="96">
        <v>170508</v>
      </c>
      <c r="C950" s="96" t="str">
        <f t="shared" si="118"/>
        <v>CPOS170508</v>
      </c>
      <c r="D950" s="95" t="s">
        <v>1020</v>
      </c>
      <c r="E950" s="63" t="s">
        <v>81</v>
      </c>
      <c r="F950" s="64">
        <v>38.799999999999997</v>
      </c>
    </row>
    <row r="951" spans="1:6" x14ac:dyDescent="0.25">
      <c r="A951" s="62" t="s">
        <v>4398</v>
      </c>
      <c r="B951" s="96">
        <v>170510</v>
      </c>
      <c r="C951" s="96" t="str">
        <f t="shared" si="118"/>
        <v>CPOS170510</v>
      </c>
      <c r="D951" s="95" t="s">
        <v>1021</v>
      </c>
      <c r="E951" s="63" t="s">
        <v>119</v>
      </c>
      <c r="F951" s="64">
        <v>575.04</v>
      </c>
    </row>
    <row r="952" spans="1:6" x14ac:dyDescent="0.25">
      <c r="A952" s="62" t="s">
        <v>4398</v>
      </c>
      <c r="B952" s="96">
        <v>170532</v>
      </c>
      <c r="C952" s="96" t="str">
        <f t="shared" si="118"/>
        <v>CPOS170532</v>
      </c>
      <c r="D952" s="95" t="s">
        <v>1022</v>
      </c>
      <c r="E952" s="63" t="s">
        <v>110</v>
      </c>
      <c r="F952" s="64">
        <v>41.59</v>
      </c>
    </row>
    <row r="953" spans="1:6" x14ac:dyDescent="0.25">
      <c r="A953" s="62" t="s">
        <v>4398</v>
      </c>
      <c r="B953" s="96">
        <v>170542</v>
      </c>
      <c r="C953" s="96" t="str">
        <f t="shared" si="118"/>
        <v>CPOS170542</v>
      </c>
      <c r="D953" s="95" t="s">
        <v>1023</v>
      </c>
      <c r="E953" s="63" t="s">
        <v>110</v>
      </c>
      <c r="F953" s="64">
        <v>44.65</v>
      </c>
    </row>
    <row r="954" spans="1:6" x14ac:dyDescent="0.25">
      <c r="D954" s="94" t="s">
        <v>1024</v>
      </c>
    </row>
    <row r="955" spans="1:6" x14ac:dyDescent="0.25">
      <c r="A955" s="62" t="s">
        <v>4398</v>
      </c>
      <c r="B955" s="96">
        <v>171002</v>
      </c>
      <c r="C955" s="96" t="str">
        <f t="shared" ref="C955:C961" si="119">A955&amp;B955</f>
        <v>CPOS171002</v>
      </c>
      <c r="D955" s="95" t="s">
        <v>1025</v>
      </c>
      <c r="E955" s="63" t="s">
        <v>81</v>
      </c>
      <c r="F955" s="64">
        <v>56.46</v>
      </c>
    </row>
    <row r="956" spans="1:6" x14ac:dyDescent="0.25">
      <c r="A956" s="62" t="s">
        <v>4398</v>
      </c>
      <c r="B956" s="96">
        <v>171010</v>
      </c>
      <c r="C956" s="96" t="str">
        <f t="shared" si="119"/>
        <v>CPOS171010</v>
      </c>
      <c r="D956" s="95" t="s">
        <v>1026</v>
      </c>
      <c r="E956" s="63" t="s">
        <v>110</v>
      </c>
      <c r="F956" s="64">
        <v>33.07</v>
      </c>
    </row>
    <row r="957" spans="1:6" x14ac:dyDescent="0.25">
      <c r="A957" s="62" t="s">
        <v>4398</v>
      </c>
      <c r="B957" s="96">
        <v>171012</v>
      </c>
      <c r="C957" s="96" t="str">
        <f t="shared" si="119"/>
        <v>CPOS171012</v>
      </c>
      <c r="D957" s="95" t="s">
        <v>1027</v>
      </c>
      <c r="E957" s="63" t="s">
        <v>110</v>
      </c>
      <c r="F957" s="64">
        <v>50.65</v>
      </c>
    </row>
    <row r="958" spans="1:6" x14ac:dyDescent="0.25">
      <c r="A958" s="62" t="s">
        <v>4398</v>
      </c>
      <c r="B958" s="96">
        <v>171020</v>
      </c>
      <c r="C958" s="96" t="str">
        <f t="shared" si="119"/>
        <v>CPOS171020</v>
      </c>
      <c r="D958" s="95" t="s">
        <v>1028</v>
      </c>
      <c r="E958" s="63" t="s">
        <v>110</v>
      </c>
      <c r="F958" s="64">
        <v>27.61</v>
      </c>
    </row>
    <row r="959" spans="1:6" x14ac:dyDescent="0.25">
      <c r="A959" s="62" t="s">
        <v>4398</v>
      </c>
      <c r="B959" s="96">
        <v>171041</v>
      </c>
      <c r="C959" s="96" t="str">
        <f t="shared" si="119"/>
        <v>CPOS171041</v>
      </c>
      <c r="D959" s="95" t="s">
        <v>1029</v>
      </c>
      <c r="E959" s="63" t="s">
        <v>110</v>
      </c>
      <c r="F959" s="64">
        <v>67.650000000000006</v>
      </c>
    </row>
    <row r="960" spans="1:6" x14ac:dyDescent="0.25">
      <c r="A960" s="62" t="s">
        <v>4398</v>
      </c>
      <c r="B960" s="96">
        <v>171042</v>
      </c>
      <c r="C960" s="96" t="str">
        <f t="shared" si="119"/>
        <v>CPOS171042</v>
      </c>
      <c r="D960" s="95" t="s">
        <v>1030</v>
      </c>
      <c r="E960" s="63" t="s">
        <v>110</v>
      </c>
      <c r="F960" s="64">
        <v>69.95</v>
      </c>
    </row>
    <row r="961" spans="1:6" x14ac:dyDescent="0.25">
      <c r="A961" s="62" t="s">
        <v>4398</v>
      </c>
      <c r="B961" s="96">
        <v>171043</v>
      </c>
      <c r="C961" s="96" t="str">
        <f t="shared" si="119"/>
        <v>CPOS171043</v>
      </c>
      <c r="D961" s="95" t="s">
        <v>1031</v>
      </c>
      <c r="E961" s="63" t="s">
        <v>81</v>
      </c>
      <c r="F961" s="64">
        <v>144.46</v>
      </c>
    </row>
    <row r="962" spans="1:6" x14ac:dyDescent="0.25">
      <c r="D962" s="94" t="s">
        <v>1032</v>
      </c>
    </row>
    <row r="963" spans="1:6" x14ac:dyDescent="0.25">
      <c r="A963" s="62" t="s">
        <v>4398</v>
      </c>
      <c r="B963" s="96">
        <v>171202</v>
      </c>
      <c r="C963" s="96" t="str">
        <f t="shared" ref="C963:C968" si="120">A963&amp;B963</f>
        <v>CPOS171202</v>
      </c>
      <c r="D963" s="95" t="s">
        <v>1033</v>
      </c>
      <c r="E963" s="63" t="s">
        <v>81</v>
      </c>
      <c r="F963" s="64">
        <v>57.13</v>
      </c>
    </row>
    <row r="964" spans="1:6" x14ac:dyDescent="0.25">
      <c r="A964" s="62" t="s">
        <v>4398</v>
      </c>
      <c r="B964" s="96">
        <v>171206</v>
      </c>
      <c r="C964" s="96" t="str">
        <f t="shared" si="120"/>
        <v>CPOS171206</v>
      </c>
      <c r="D964" s="95" t="s">
        <v>1034</v>
      </c>
      <c r="E964" s="63" t="s">
        <v>81</v>
      </c>
      <c r="F964" s="64">
        <v>57.83</v>
      </c>
    </row>
    <row r="965" spans="1:6" x14ac:dyDescent="0.25">
      <c r="A965" s="62" t="s">
        <v>4398</v>
      </c>
      <c r="B965" s="96">
        <v>171210</v>
      </c>
      <c r="C965" s="96" t="str">
        <f t="shared" si="120"/>
        <v>CPOS171210</v>
      </c>
      <c r="D965" s="95" t="s">
        <v>1035</v>
      </c>
      <c r="E965" s="63" t="s">
        <v>110</v>
      </c>
      <c r="F965" s="64">
        <v>26.95</v>
      </c>
    </row>
    <row r="966" spans="1:6" x14ac:dyDescent="0.25">
      <c r="A966" s="62" t="s">
        <v>4398</v>
      </c>
      <c r="B966" s="96">
        <v>171212</v>
      </c>
      <c r="C966" s="96" t="str">
        <f t="shared" si="120"/>
        <v>CPOS171212</v>
      </c>
      <c r="D966" s="95" t="s">
        <v>1036</v>
      </c>
      <c r="E966" s="63" t="s">
        <v>110</v>
      </c>
      <c r="F966" s="64">
        <v>49.08</v>
      </c>
    </row>
    <row r="967" spans="1:6" x14ac:dyDescent="0.25">
      <c r="A967" s="62" t="s">
        <v>4398</v>
      </c>
      <c r="B967" s="96">
        <v>171214</v>
      </c>
      <c r="C967" s="96" t="str">
        <f t="shared" si="120"/>
        <v>CPOS171214</v>
      </c>
      <c r="D967" s="95" t="s">
        <v>1037</v>
      </c>
      <c r="E967" s="63" t="s">
        <v>110</v>
      </c>
      <c r="F967" s="64">
        <v>52.28</v>
      </c>
    </row>
    <row r="968" spans="1:6" x14ac:dyDescent="0.25">
      <c r="A968" s="62" t="s">
        <v>4398</v>
      </c>
      <c r="B968" s="96">
        <v>171224</v>
      </c>
      <c r="C968" s="96" t="str">
        <f t="shared" si="120"/>
        <v>CPOS171224</v>
      </c>
      <c r="D968" s="95" t="s">
        <v>1038</v>
      </c>
      <c r="E968" s="63" t="s">
        <v>110</v>
      </c>
      <c r="F968" s="64">
        <v>26</v>
      </c>
    </row>
    <row r="969" spans="1:6" x14ac:dyDescent="0.25">
      <c r="D969" s="94" t="s">
        <v>1039</v>
      </c>
    </row>
    <row r="970" spans="1:6" x14ac:dyDescent="0.25">
      <c r="A970" s="62" t="s">
        <v>4398</v>
      </c>
      <c r="B970" s="96">
        <v>172002</v>
      </c>
      <c r="C970" s="96" t="str">
        <f t="shared" ref="C970:C974" si="121">A970&amp;B970</f>
        <v>CPOS172002</v>
      </c>
      <c r="D970" s="95" t="s">
        <v>1040</v>
      </c>
      <c r="E970" s="63" t="s">
        <v>81</v>
      </c>
      <c r="F970" s="64">
        <v>74.489999999999995</v>
      </c>
    </row>
    <row r="971" spans="1:6" x14ac:dyDescent="0.25">
      <c r="A971" s="62" t="s">
        <v>4398</v>
      </c>
      <c r="B971" s="96">
        <v>172004</v>
      </c>
      <c r="C971" s="96" t="str">
        <f t="shared" si="121"/>
        <v>CPOS172004</v>
      </c>
      <c r="D971" s="95" t="s">
        <v>1041</v>
      </c>
      <c r="E971" s="63" t="s">
        <v>110</v>
      </c>
      <c r="F971" s="64">
        <v>52.58</v>
      </c>
    </row>
    <row r="972" spans="1:6" x14ac:dyDescent="0.25">
      <c r="A972" s="62" t="s">
        <v>4398</v>
      </c>
      <c r="B972" s="96">
        <v>172005</v>
      </c>
      <c r="C972" s="96" t="str">
        <f t="shared" si="121"/>
        <v>CPOS172005</v>
      </c>
      <c r="D972" s="95" t="s">
        <v>1042</v>
      </c>
      <c r="E972" s="63" t="s">
        <v>110</v>
      </c>
      <c r="F972" s="64">
        <v>5.4</v>
      </c>
    </row>
    <row r="973" spans="1:6" x14ac:dyDescent="0.25">
      <c r="A973" s="62" t="s">
        <v>4398</v>
      </c>
      <c r="B973" s="96">
        <v>172006</v>
      </c>
      <c r="C973" s="96" t="str">
        <f t="shared" si="121"/>
        <v>CPOS172006</v>
      </c>
      <c r="D973" s="95" t="s">
        <v>1043</v>
      </c>
      <c r="E973" s="63" t="s">
        <v>81</v>
      </c>
      <c r="F973" s="64">
        <v>92.88</v>
      </c>
    </row>
    <row r="974" spans="1:6" x14ac:dyDescent="0.25">
      <c r="A974" s="62" t="s">
        <v>4398</v>
      </c>
      <c r="B974" s="96">
        <v>172014</v>
      </c>
      <c r="C974" s="96" t="str">
        <f t="shared" si="121"/>
        <v>CPOS172014</v>
      </c>
      <c r="D974" s="95" t="s">
        <v>1044</v>
      </c>
      <c r="E974" s="63" t="s">
        <v>81</v>
      </c>
      <c r="F974" s="64">
        <v>16.13</v>
      </c>
    </row>
    <row r="975" spans="1:6" x14ac:dyDescent="0.25">
      <c r="D975" s="94" t="s">
        <v>1045</v>
      </c>
    </row>
    <row r="976" spans="1:6" x14ac:dyDescent="0.25">
      <c r="A976" s="62" t="s">
        <v>4398</v>
      </c>
      <c r="B976" s="96">
        <v>174001</v>
      </c>
      <c r="C976" s="96" t="str">
        <f t="shared" ref="C976:C987" si="122">A976&amp;B976</f>
        <v>CPOS174001</v>
      </c>
      <c r="D976" s="95" t="s">
        <v>1046</v>
      </c>
      <c r="E976" s="63" t="s">
        <v>81</v>
      </c>
      <c r="F976" s="64">
        <v>25.67</v>
      </c>
    </row>
    <row r="977" spans="1:6" x14ac:dyDescent="0.25">
      <c r="A977" s="62" t="s">
        <v>4398</v>
      </c>
      <c r="B977" s="96">
        <v>174002</v>
      </c>
      <c r="C977" s="96" t="str">
        <f t="shared" si="122"/>
        <v>CPOS174002</v>
      </c>
      <c r="D977" s="95" t="s">
        <v>1047</v>
      </c>
      <c r="E977" s="63" t="s">
        <v>81</v>
      </c>
      <c r="F977" s="64">
        <v>22</v>
      </c>
    </row>
    <row r="978" spans="1:6" x14ac:dyDescent="0.25">
      <c r="A978" s="62" t="s">
        <v>4398</v>
      </c>
      <c r="B978" s="96">
        <v>174003</v>
      </c>
      <c r="C978" s="96" t="str">
        <f t="shared" si="122"/>
        <v>CPOS174003</v>
      </c>
      <c r="D978" s="95" t="s">
        <v>1048</v>
      </c>
      <c r="E978" s="63" t="s">
        <v>110</v>
      </c>
      <c r="F978" s="64">
        <v>29.05</v>
      </c>
    </row>
    <row r="979" spans="1:6" x14ac:dyDescent="0.25">
      <c r="A979" s="62" t="s">
        <v>4398</v>
      </c>
      <c r="B979" s="96">
        <v>174005</v>
      </c>
      <c r="C979" s="96" t="str">
        <f t="shared" si="122"/>
        <v>CPOS174005</v>
      </c>
      <c r="D979" s="95" t="s">
        <v>1049</v>
      </c>
      <c r="E979" s="63" t="s">
        <v>110</v>
      </c>
      <c r="F979" s="64">
        <v>15.77</v>
      </c>
    </row>
    <row r="980" spans="1:6" x14ac:dyDescent="0.25">
      <c r="A980" s="62" t="s">
        <v>4398</v>
      </c>
      <c r="B980" s="96">
        <v>174007</v>
      </c>
      <c r="C980" s="96" t="str">
        <f t="shared" si="122"/>
        <v>CPOS174007</v>
      </c>
      <c r="D980" s="95" t="s">
        <v>1050</v>
      </c>
      <c r="E980" s="63" t="s">
        <v>110</v>
      </c>
      <c r="F980" s="64">
        <v>16.34</v>
      </c>
    </row>
    <row r="981" spans="1:6" x14ac:dyDescent="0.25">
      <c r="A981" s="62" t="s">
        <v>4398</v>
      </c>
      <c r="B981" s="96">
        <v>174011</v>
      </c>
      <c r="C981" s="96" t="str">
        <f t="shared" si="122"/>
        <v>CPOS174011</v>
      </c>
      <c r="D981" s="95" t="s">
        <v>1051</v>
      </c>
      <c r="E981" s="63" t="s">
        <v>110</v>
      </c>
      <c r="F981" s="64">
        <v>25.07</v>
      </c>
    </row>
    <row r="982" spans="1:6" x14ac:dyDescent="0.25">
      <c r="A982" s="62" t="s">
        <v>4398</v>
      </c>
      <c r="B982" s="96">
        <v>174015</v>
      </c>
      <c r="C982" s="96" t="str">
        <f t="shared" si="122"/>
        <v>CPOS174015</v>
      </c>
      <c r="D982" s="95" t="s">
        <v>1052</v>
      </c>
      <c r="E982" s="63" t="s">
        <v>81</v>
      </c>
      <c r="F982" s="64">
        <v>16.71</v>
      </c>
    </row>
    <row r="983" spans="1:6" x14ac:dyDescent="0.25">
      <c r="A983" s="62" t="s">
        <v>4398</v>
      </c>
      <c r="B983" s="96">
        <v>174016</v>
      </c>
      <c r="C983" s="96" t="str">
        <f t="shared" si="122"/>
        <v>CPOS174016</v>
      </c>
      <c r="D983" s="95" t="s">
        <v>1053</v>
      </c>
      <c r="E983" s="63" t="s">
        <v>81</v>
      </c>
      <c r="F983" s="64">
        <v>22.09</v>
      </c>
    </row>
    <row r="984" spans="1:6" x14ac:dyDescent="0.25">
      <c r="A984" s="62" t="s">
        <v>4398</v>
      </c>
      <c r="B984" s="96">
        <v>174017</v>
      </c>
      <c r="C984" s="96" t="str">
        <f t="shared" si="122"/>
        <v>CPOS174017</v>
      </c>
      <c r="D984" s="95" t="s">
        <v>1054</v>
      </c>
      <c r="E984" s="63" t="s">
        <v>81</v>
      </c>
      <c r="F984" s="64">
        <v>27.66</v>
      </c>
    </row>
    <row r="985" spans="1:6" x14ac:dyDescent="0.25">
      <c r="A985" s="62" t="s">
        <v>4398</v>
      </c>
      <c r="B985" s="96">
        <v>174018</v>
      </c>
      <c r="C985" s="96" t="str">
        <f t="shared" si="122"/>
        <v>CPOS174018</v>
      </c>
      <c r="D985" s="95" t="s">
        <v>1055</v>
      </c>
      <c r="E985" s="63" t="s">
        <v>110</v>
      </c>
      <c r="F985" s="64">
        <v>8.7799999999999994</v>
      </c>
    </row>
    <row r="986" spans="1:6" x14ac:dyDescent="0.25">
      <c r="A986" s="62" t="s">
        <v>4398</v>
      </c>
      <c r="B986" s="96">
        <v>174019</v>
      </c>
      <c r="C986" s="96" t="str">
        <f t="shared" si="122"/>
        <v>CPOS174019</v>
      </c>
      <c r="D986" s="95" t="s">
        <v>1056</v>
      </c>
      <c r="E986" s="63" t="s">
        <v>110</v>
      </c>
      <c r="F986" s="64">
        <v>12.36</v>
      </c>
    </row>
    <row r="987" spans="1:6" x14ac:dyDescent="0.25">
      <c r="A987" s="62" t="s">
        <v>4398</v>
      </c>
      <c r="B987" s="96">
        <v>174020</v>
      </c>
      <c r="C987" s="96" t="str">
        <f t="shared" si="122"/>
        <v>CPOS174020</v>
      </c>
      <c r="D987" s="95" t="s">
        <v>1057</v>
      </c>
      <c r="E987" s="63" t="s">
        <v>110</v>
      </c>
      <c r="F987" s="64">
        <v>14.620000000000001</v>
      </c>
    </row>
    <row r="988" spans="1:6" x14ac:dyDescent="0.25">
      <c r="D988" s="94" t="s">
        <v>1058</v>
      </c>
    </row>
    <row r="989" spans="1:6" x14ac:dyDescent="0.25">
      <c r="D989" s="94" t="s">
        <v>1059</v>
      </c>
    </row>
    <row r="990" spans="1:6" x14ac:dyDescent="0.25">
      <c r="A990" s="62" t="s">
        <v>4398</v>
      </c>
      <c r="B990" s="96">
        <v>180502</v>
      </c>
      <c r="C990" s="96" t="str">
        <f>A990&amp;B990</f>
        <v>CPOS180502</v>
      </c>
      <c r="D990" s="95" t="s">
        <v>1060</v>
      </c>
      <c r="E990" s="63" t="s">
        <v>81</v>
      </c>
      <c r="F990" s="64">
        <v>55.94</v>
      </c>
    </row>
    <row r="991" spans="1:6" x14ac:dyDescent="0.25">
      <c r="D991" s="94" t="s">
        <v>1061</v>
      </c>
    </row>
    <row r="992" spans="1:6" ht="30" x14ac:dyDescent="0.25">
      <c r="A992" s="62" t="s">
        <v>4398</v>
      </c>
      <c r="B992" s="96">
        <v>180601</v>
      </c>
      <c r="C992" s="96" t="str">
        <f t="shared" ref="C992:C1025" si="123">A992&amp;B992</f>
        <v>CPOS180601</v>
      </c>
      <c r="D992" s="95" t="s">
        <v>1062</v>
      </c>
      <c r="E992" s="63" t="s">
        <v>81</v>
      </c>
      <c r="F992" s="64">
        <v>66.56</v>
      </c>
    </row>
    <row r="993" spans="1:6" ht="30" x14ac:dyDescent="0.25">
      <c r="A993" s="62" t="s">
        <v>4398</v>
      </c>
      <c r="B993" s="96">
        <v>180602</v>
      </c>
      <c r="C993" s="96" t="str">
        <f t="shared" si="123"/>
        <v>CPOS180602</v>
      </c>
      <c r="D993" s="95" t="s">
        <v>1063</v>
      </c>
      <c r="E993" s="63" t="s">
        <v>81</v>
      </c>
      <c r="F993" s="64">
        <v>33.97</v>
      </c>
    </row>
    <row r="994" spans="1:6" ht="30" x14ac:dyDescent="0.25">
      <c r="A994" s="62" t="s">
        <v>4398</v>
      </c>
      <c r="B994" s="96">
        <v>180603</v>
      </c>
      <c r="C994" s="96" t="str">
        <f t="shared" si="123"/>
        <v>CPOS180603</v>
      </c>
      <c r="D994" s="95" t="s">
        <v>1064</v>
      </c>
      <c r="E994" s="63" t="s">
        <v>110</v>
      </c>
      <c r="F994" s="64">
        <v>31.76</v>
      </c>
    </row>
    <row r="995" spans="1:6" ht="30" x14ac:dyDescent="0.25">
      <c r="A995" s="62" t="s">
        <v>4398</v>
      </c>
      <c r="B995" s="96">
        <v>180604</v>
      </c>
      <c r="C995" s="96" t="str">
        <f t="shared" si="123"/>
        <v>CPOS180604</v>
      </c>
      <c r="D995" s="95" t="s">
        <v>1065</v>
      </c>
      <c r="E995" s="63" t="s">
        <v>110</v>
      </c>
      <c r="F995" s="64">
        <v>14.540000000000001</v>
      </c>
    </row>
    <row r="996" spans="1:6" ht="30" x14ac:dyDescent="0.25">
      <c r="A996" s="62" t="s">
        <v>4398</v>
      </c>
      <c r="B996" s="96">
        <v>180605</v>
      </c>
      <c r="C996" s="96" t="str">
        <f t="shared" si="123"/>
        <v>CPOS180605</v>
      </c>
      <c r="D996" s="95" t="s">
        <v>1066</v>
      </c>
      <c r="E996" s="63" t="s">
        <v>81</v>
      </c>
      <c r="F996" s="64">
        <v>75.44</v>
      </c>
    </row>
    <row r="997" spans="1:6" ht="30" x14ac:dyDescent="0.25">
      <c r="A997" s="62" t="s">
        <v>4398</v>
      </c>
      <c r="B997" s="96">
        <v>180606</v>
      </c>
      <c r="C997" s="96" t="str">
        <f t="shared" si="123"/>
        <v>CPOS180606</v>
      </c>
      <c r="D997" s="95" t="s">
        <v>1067</v>
      </c>
      <c r="E997" s="63" t="s">
        <v>81</v>
      </c>
      <c r="F997" s="64">
        <v>42.85</v>
      </c>
    </row>
    <row r="998" spans="1:6" ht="30" x14ac:dyDescent="0.25">
      <c r="A998" s="62" t="s">
        <v>4398</v>
      </c>
      <c r="B998" s="96">
        <v>180607</v>
      </c>
      <c r="C998" s="96" t="str">
        <f t="shared" si="123"/>
        <v>CPOS180607</v>
      </c>
      <c r="D998" s="95" t="s">
        <v>1068</v>
      </c>
      <c r="E998" s="63" t="s">
        <v>110</v>
      </c>
      <c r="F998" s="64">
        <v>22.72</v>
      </c>
    </row>
    <row r="999" spans="1:6" ht="30" x14ac:dyDescent="0.25">
      <c r="A999" s="62" t="s">
        <v>4398</v>
      </c>
      <c r="B999" s="96">
        <v>180608</v>
      </c>
      <c r="C999" s="96" t="str">
        <f t="shared" si="123"/>
        <v>CPOS180608</v>
      </c>
      <c r="D999" s="95" t="s">
        <v>1069</v>
      </c>
      <c r="E999" s="63" t="s">
        <v>110</v>
      </c>
      <c r="F999" s="64">
        <v>8.02</v>
      </c>
    </row>
    <row r="1000" spans="1:6" ht="30" x14ac:dyDescent="0.25">
      <c r="A1000" s="62" t="s">
        <v>4398</v>
      </c>
      <c r="B1000" s="96">
        <v>180609</v>
      </c>
      <c r="C1000" s="96" t="str">
        <f t="shared" si="123"/>
        <v>CPOS180609</v>
      </c>
      <c r="D1000" s="95" t="s">
        <v>1070</v>
      </c>
      <c r="E1000" s="63" t="s">
        <v>81</v>
      </c>
      <c r="F1000" s="64">
        <v>72.260000000000005</v>
      </c>
    </row>
    <row r="1001" spans="1:6" ht="30" x14ac:dyDescent="0.25">
      <c r="A1001" s="62" t="s">
        <v>4398</v>
      </c>
      <c r="B1001" s="96">
        <v>180610</v>
      </c>
      <c r="C1001" s="96" t="str">
        <f t="shared" si="123"/>
        <v>CPOS180610</v>
      </c>
      <c r="D1001" s="95" t="s">
        <v>1071</v>
      </c>
      <c r="E1001" s="63" t="s">
        <v>81</v>
      </c>
      <c r="F1001" s="64">
        <v>39.67</v>
      </c>
    </row>
    <row r="1002" spans="1:6" ht="30" x14ac:dyDescent="0.25">
      <c r="A1002" s="62" t="s">
        <v>4398</v>
      </c>
      <c r="B1002" s="96">
        <v>180611</v>
      </c>
      <c r="C1002" s="96" t="str">
        <f t="shared" si="123"/>
        <v>CPOS180611</v>
      </c>
      <c r="D1002" s="95" t="s">
        <v>1072</v>
      </c>
      <c r="E1002" s="63" t="s">
        <v>110</v>
      </c>
      <c r="F1002" s="64">
        <v>37.75</v>
      </c>
    </row>
    <row r="1003" spans="1:6" ht="30" x14ac:dyDescent="0.25">
      <c r="A1003" s="62" t="s">
        <v>4398</v>
      </c>
      <c r="B1003" s="96">
        <v>180612</v>
      </c>
      <c r="C1003" s="96" t="str">
        <f t="shared" si="123"/>
        <v>CPOS180612</v>
      </c>
      <c r="D1003" s="95" t="s">
        <v>1073</v>
      </c>
      <c r="E1003" s="63" t="s">
        <v>110</v>
      </c>
      <c r="F1003" s="64">
        <v>20.53</v>
      </c>
    </row>
    <row r="1004" spans="1:6" ht="30" x14ac:dyDescent="0.25">
      <c r="A1004" s="62" t="s">
        <v>4398</v>
      </c>
      <c r="B1004" s="96">
        <v>180613</v>
      </c>
      <c r="C1004" s="96" t="str">
        <f t="shared" si="123"/>
        <v>CPOS180613</v>
      </c>
      <c r="D1004" s="95" t="s">
        <v>1074</v>
      </c>
      <c r="E1004" s="63" t="s">
        <v>81</v>
      </c>
      <c r="F1004" s="64">
        <v>90.93</v>
      </c>
    </row>
    <row r="1005" spans="1:6" ht="30" x14ac:dyDescent="0.25">
      <c r="A1005" s="62" t="s">
        <v>4398</v>
      </c>
      <c r="B1005" s="96">
        <v>180614</v>
      </c>
      <c r="C1005" s="96" t="str">
        <f t="shared" si="123"/>
        <v>CPOS180614</v>
      </c>
      <c r="D1005" s="95" t="s">
        <v>1075</v>
      </c>
      <c r="E1005" s="63" t="s">
        <v>81</v>
      </c>
      <c r="F1005" s="64">
        <v>60.45</v>
      </c>
    </row>
    <row r="1006" spans="1:6" ht="30" x14ac:dyDescent="0.25">
      <c r="A1006" s="62" t="s">
        <v>4398</v>
      </c>
      <c r="B1006" s="96">
        <v>180615</v>
      </c>
      <c r="C1006" s="96" t="str">
        <f t="shared" si="123"/>
        <v>CPOS180615</v>
      </c>
      <c r="D1006" s="95" t="s">
        <v>1076</v>
      </c>
      <c r="E1006" s="63" t="s">
        <v>110</v>
      </c>
      <c r="F1006" s="64">
        <v>28.77</v>
      </c>
    </row>
    <row r="1007" spans="1:6" ht="30" x14ac:dyDescent="0.25">
      <c r="A1007" s="62" t="s">
        <v>4398</v>
      </c>
      <c r="B1007" s="96">
        <v>180616</v>
      </c>
      <c r="C1007" s="96" t="str">
        <f t="shared" si="123"/>
        <v>CPOS180616</v>
      </c>
      <c r="D1007" s="95" t="s">
        <v>1077</v>
      </c>
      <c r="E1007" s="63" t="s">
        <v>110</v>
      </c>
      <c r="F1007" s="64">
        <v>11.790000000000001</v>
      </c>
    </row>
    <row r="1008" spans="1:6" ht="30" x14ac:dyDescent="0.25">
      <c r="A1008" s="62" t="s">
        <v>4398</v>
      </c>
      <c r="B1008" s="96">
        <v>180617</v>
      </c>
      <c r="C1008" s="96" t="str">
        <f t="shared" si="123"/>
        <v>CPOS180617</v>
      </c>
      <c r="D1008" s="95" t="s">
        <v>1078</v>
      </c>
      <c r="E1008" s="63" t="s">
        <v>81</v>
      </c>
      <c r="F1008" s="64">
        <v>75.540000000000006</v>
      </c>
    </row>
    <row r="1009" spans="1:6" ht="30" x14ac:dyDescent="0.25">
      <c r="A1009" s="62" t="s">
        <v>4398</v>
      </c>
      <c r="B1009" s="96">
        <v>180618</v>
      </c>
      <c r="C1009" s="96" t="str">
        <f t="shared" si="123"/>
        <v>CPOS180618</v>
      </c>
      <c r="D1009" s="95" t="s">
        <v>1079</v>
      </c>
      <c r="E1009" s="63" t="s">
        <v>81</v>
      </c>
      <c r="F1009" s="64">
        <v>45.06</v>
      </c>
    </row>
    <row r="1010" spans="1:6" ht="30" x14ac:dyDescent="0.25">
      <c r="A1010" s="62" t="s">
        <v>4398</v>
      </c>
      <c r="B1010" s="96">
        <v>180619</v>
      </c>
      <c r="C1010" s="96" t="str">
        <f t="shared" si="123"/>
        <v>CPOS180619</v>
      </c>
      <c r="D1010" s="95" t="s">
        <v>1080</v>
      </c>
      <c r="E1010" s="63" t="s">
        <v>110</v>
      </c>
      <c r="F1010" s="64">
        <v>25.25</v>
      </c>
    </row>
    <row r="1011" spans="1:6" ht="30" x14ac:dyDescent="0.25">
      <c r="A1011" s="62" t="s">
        <v>4398</v>
      </c>
      <c r="B1011" s="96">
        <v>180620</v>
      </c>
      <c r="C1011" s="96" t="str">
        <f t="shared" si="123"/>
        <v>CPOS180620</v>
      </c>
      <c r="D1011" s="95" t="s">
        <v>1081</v>
      </c>
      <c r="E1011" s="63" t="s">
        <v>110</v>
      </c>
      <c r="F1011" s="64">
        <v>8.27</v>
      </c>
    </row>
    <row r="1012" spans="1:6" ht="30" x14ac:dyDescent="0.25">
      <c r="A1012" s="62" t="s">
        <v>4398</v>
      </c>
      <c r="B1012" s="96">
        <v>180621</v>
      </c>
      <c r="C1012" s="96" t="str">
        <f t="shared" si="123"/>
        <v>CPOS180621</v>
      </c>
      <c r="D1012" s="95" t="s">
        <v>1082</v>
      </c>
      <c r="E1012" s="63" t="s">
        <v>81</v>
      </c>
      <c r="F1012" s="64">
        <v>68.540000000000006</v>
      </c>
    </row>
    <row r="1013" spans="1:6" ht="30" x14ac:dyDescent="0.25">
      <c r="A1013" s="62" t="s">
        <v>4398</v>
      </c>
      <c r="B1013" s="96">
        <v>180622</v>
      </c>
      <c r="C1013" s="96" t="str">
        <f t="shared" si="123"/>
        <v>CPOS180622</v>
      </c>
      <c r="D1013" s="95" t="s">
        <v>1083</v>
      </c>
      <c r="E1013" s="63" t="s">
        <v>81</v>
      </c>
      <c r="F1013" s="64">
        <v>38.06</v>
      </c>
    </row>
    <row r="1014" spans="1:6" ht="30" x14ac:dyDescent="0.25">
      <c r="A1014" s="62" t="s">
        <v>4398</v>
      </c>
      <c r="B1014" s="96">
        <v>180623</v>
      </c>
      <c r="C1014" s="96" t="str">
        <f t="shared" si="123"/>
        <v>CPOS180623</v>
      </c>
      <c r="D1014" s="95" t="s">
        <v>1084</v>
      </c>
      <c r="E1014" s="63" t="s">
        <v>110</v>
      </c>
      <c r="F1014" s="64">
        <v>24.55</v>
      </c>
    </row>
    <row r="1015" spans="1:6" ht="30" x14ac:dyDescent="0.25">
      <c r="A1015" s="62" t="s">
        <v>4398</v>
      </c>
      <c r="B1015" s="96">
        <v>180624</v>
      </c>
      <c r="C1015" s="96" t="str">
        <f t="shared" si="123"/>
        <v>CPOS180624</v>
      </c>
      <c r="D1015" s="95" t="s">
        <v>1085</v>
      </c>
      <c r="E1015" s="63" t="s">
        <v>110</v>
      </c>
      <c r="F1015" s="64">
        <v>7.57</v>
      </c>
    </row>
    <row r="1016" spans="1:6" ht="30" x14ac:dyDescent="0.25">
      <c r="A1016" s="62" t="s">
        <v>4398</v>
      </c>
      <c r="B1016" s="96">
        <v>180627</v>
      </c>
      <c r="C1016" s="96" t="str">
        <f t="shared" si="123"/>
        <v>CPOS180627</v>
      </c>
      <c r="D1016" s="95" t="s">
        <v>1086</v>
      </c>
      <c r="E1016" s="63" t="s">
        <v>81</v>
      </c>
      <c r="F1016" s="64">
        <v>41.410000000000004</v>
      </c>
    </row>
    <row r="1017" spans="1:6" ht="30" x14ac:dyDescent="0.25">
      <c r="A1017" s="62" t="s">
        <v>4398</v>
      </c>
      <c r="B1017" s="96">
        <v>180628</v>
      </c>
      <c r="C1017" s="96" t="str">
        <f t="shared" si="123"/>
        <v>CPOS180628</v>
      </c>
      <c r="D1017" s="95" t="s">
        <v>1087</v>
      </c>
      <c r="E1017" s="63" t="s">
        <v>110</v>
      </c>
      <c r="F1017" s="64">
        <v>7.82</v>
      </c>
    </row>
    <row r="1018" spans="1:6" ht="30" x14ac:dyDescent="0.25">
      <c r="A1018" s="62" t="s">
        <v>4398</v>
      </c>
      <c r="B1018" s="96">
        <v>180640</v>
      </c>
      <c r="C1018" s="96" t="str">
        <f t="shared" si="123"/>
        <v>CPOS180640</v>
      </c>
      <c r="D1018" s="95" t="s">
        <v>1088</v>
      </c>
      <c r="E1018" s="63" t="s">
        <v>81</v>
      </c>
      <c r="F1018" s="64">
        <v>6.21</v>
      </c>
    </row>
    <row r="1019" spans="1:6" ht="30" x14ac:dyDescent="0.25">
      <c r="A1019" s="62" t="s">
        <v>4398</v>
      </c>
      <c r="B1019" s="96">
        <v>180641</v>
      </c>
      <c r="C1019" s="96" t="str">
        <f t="shared" si="123"/>
        <v>CPOS180641</v>
      </c>
      <c r="D1019" s="95" t="s">
        <v>1089</v>
      </c>
      <c r="E1019" s="63" t="s">
        <v>81</v>
      </c>
      <c r="F1019" s="64">
        <v>6.8</v>
      </c>
    </row>
    <row r="1020" spans="1:6" ht="30" x14ac:dyDescent="0.25">
      <c r="A1020" s="62" t="s">
        <v>4398</v>
      </c>
      <c r="B1020" s="96">
        <v>180642</v>
      </c>
      <c r="C1020" s="96" t="str">
        <f t="shared" si="123"/>
        <v>CPOS180642</v>
      </c>
      <c r="D1020" s="95" t="s">
        <v>1090</v>
      </c>
      <c r="E1020" s="63" t="s">
        <v>81</v>
      </c>
      <c r="F1020" s="64">
        <v>6.72</v>
      </c>
    </row>
    <row r="1021" spans="1:6" ht="30" x14ac:dyDescent="0.25">
      <c r="A1021" s="62" t="s">
        <v>4398</v>
      </c>
      <c r="B1021" s="96">
        <v>180643</v>
      </c>
      <c r="C1021" s="96" t="str">
        <f t="shared" si="123"/>
        <v>CPOS180643</v>
      </c>
      <c r="D1021" s="95" t="s">
        <v>1091</v>
      </c>
      <c r="E1021" s="63" t="s">
        <v>81</v>
      </c>
      <c r="F1021" s="64">
        <v>8.44</v>
      </c>
    </row>
    <row r="1022" spans="1:6" ht="30" x14ac:dyDescent="0.25">
      <c r="A1022" s="62" t="s">
        <v>4398</v>
      </c>
      <c r="B1022" s="96">
        <v>180650</v>
      </c>
      <c r="C1022" s="96" t="str">
        <f t="shared" si="123"/>
        <v>CPOS180650</v>
      </c>
      <c r="D1022" s="95" t="s">
        <v>1092</v>
      </c>
      <c r="E1022" s="63" t="s">
        <v>110</v>
      </c>
      <c r="F1022" s="64">
        <v>0.69000000000000006</v>
      </c>
    </row>
    <row r="1023" spans="1:6" ht="30" x14ac:dyDescent="0.25">
      <c r="A1023" s="62" t="s">
        <v>4398</v>
      </c>
      <c r="B1023" s="96">
        <v>180651</v>
      </c>
      <c r="C1023" s="96" t="str">
        <f t="shared" si="123"/>
        <v>CPOS180651</v>
      </c>
      <c r="D1023" s="95" t="s">
        <v>1093</v>
      </c>
      <c r="E1023" s="63" t="s">
        <v>110</v>
      </c>
      <c r="F1023" s="64">
        <v>0.75</v>
      </c>
    </row>
    <row r="1024" spans="1:6" ht="30" x14ac:dyDescent="0.25">
      <c r="A1024" s="62" t="s">
        <v>4398</v>
      </c>
      <c r="B1024" s="96">
        <v>180652</v>
      </c>
      <c r="C1024" s="96" t="str">
        <f t="shared" si="123"/>
        <v>CPOS180652</v>
      </c>
      <c r="D1024" s="95" t="s">
        <v>1094</v>
      </c>
      <c r="E1024" s="63" t="s">
        <v>110</v>
      </c>
      <c r="F1024" s="64">
        <v>0.74</v>
      </c>
    </row>
    <row r="1025" spans="1:6" ht="30" x14ac:dyDescent="0.25">
      <c r="A1025" s="62" t="s">
        <v>4398</v>
      </c>
      <c r="B1025" s="96">
        <v>180653</v>
      </c>
      <c r="C1025" s="96" t="str">
        <f t="shared" si="123"/>
        <v>CPOS180653</v>
      </c>
      <c r="D1025" s="95" t="s">
        <v>1095</v>
      </c>
      <c r="E1025" s="63" t="s">
        <v>110</v>
      </c>
      <c r="F1025" s="64">
        <v>0.91</v>
      </c>
    </row>
    <row r="1026" spans="1:6" x14ac:dyDescent="0.25">
      <c r="D1026" s="94" t="s">
        <v>1096</v>
      </c>
    </row>
    <row r="1027" spans="1:6" ht="30" x14ac:dyDescent="0.25">
      <c r="A1027" s="62" t="s">
        <v>4398</v>
      </c>
      <c r="B1027" s="96">
        <v>180701</v>
      </c>
      <c r="C1027" s="96" t="str">
        <f t="shared" ref="C1027:C1044" si="124">A1027&amp;B1027</f>
        <v>CPOS180701</v>
      </c>
      <c r="D1027" s="95" t="s">
        <v>1097</v>
      </c>
      <c r="E1027" s="63" t="s">
        <v>81</v>
      </c>
      <c r="F1027" s="64">
        <v>91.98</v>
      </c>
    </row>
    <row r="1028" spans="1:6" ht="30" x14ac:dyDescent="0.25">
      <c r="A1028" s="62" t="s">
        <v>4398</v>
      </c>
      <c r="B1028" s="96">
        <v>180702</v>
      </c>
      <c r="C1028" s="96" t="str">
        <f t="shared" si="124"/>
        <v>CPOS180702</v>
      </c>
      <c r="D1028" s="95" t="s">
        <v>1098</v>
      </c>
      <c r="E1028" s="63" t="s">
        <v>81</v>
      </c>
      <c r="F1028" s="64">
        <v>69.569999999999993</v>
      </c>
    </row>
    <row r="1029" spans="1:6" ht="30" x14ac:dyDescent="0.25">
      <c r="A1029" s="62" t="s">
        <v>4398</v>
      </c>
      <c r="B1029" s="96">
        <v>180703</v>
      </c>
      <c r="C1029" s="96" t="str">
        <f t="shared" si="124"/>
        <v>CPOS180703</v>
      </c>
      <c r="D1029" s="95" t="s">
        <v>1099</v>
      </c>
      <c r="E1029" s="63" t="s">
        <v>81</v>
      </c>
      <c r="F1029" s="64">
        <v>109.37</v>
      </c>
    </row>
    <row r="1030" spans="1:6" ht="30" x14ac:dyDescent="0.25">
      <c r="A1030" s="62" t="s">
        <v>4398</v>
      </c>
      <c r="B1030" s="96">
        <v>180704</v>
      </c>
      <c r="C1030" s="96" t="str">
        <f t="shared" si="124"/>
        <v>CPOS180704</v>
      </c>
      <c r="D1030" s="95" t="s">
        <v>1100</v>
      </c>
      <c r="E1030" s="63" t="s">
        <v>81</v>
      </c>
      <c r="F1030" s="64">
        <v>86.960000000000008</v>
      </c>
    </row>
    <row r="1031" spans="1:6" ht="30" x14ac:dyDescent="0.25">
      <c r="A1031" s="62" t="s">
        <v>4398</v>
      </c>
      <c r="B1031" s="96">
        <v>180707</v>
      </c>
      <c r="C1031" s="96" t="str">
        <f t="shared" si="124"/>
        <v>CPOS180707</v>
      </c>
      <c r="D1031" s="95" t="s">
        <v>1101</v>
      </c>
      <c r="E1031" s="63" t="s">
        <v>110</v>
      </c>
      <c r="F1031" s="64">
        <v>27.85</v>
      </c>
    </row>
    <row r="1032" spans="1:6" ht="30" x14ac:dyDescent="0.25">
      <c r="A1032" s="62" t="s">
        <v>4398</v>
      </c>
      <c r="B1032" s="96">
        <v>180708</v>
      </c>
      <c r="C1032" s="96" t="str">
        <f t="shared" si="124"/>
        <v>CPOS180708</v>
      </c>
      <c r="D1032" s="95" t="s">
        <v>1102</v>
      </c>
      <c r="E1032" s="63" t="s">
        <v>110</v>
      </c>
      <c r="F1032" s="64">
        <v>25.61</v>
      </c>
    </row>
    <row r="1033" spans="1:6" ht="30" x14ac:dyDescent="0.25">
      <c r="A1033" s="62" t="s">
        <v>4398</v>
      </c>
      <c r="B1033" s="96">
        <v>180709</v>
      </c>
      <c r="C1033" s="96" t="str">
        <f t="shared" si="124"/>
        <v>CPOS180709</v>
      </c>
      <c r="D1033" s="95" t="s">
        <v>1103</v>
      </c>
      <c r="E1033" s="63" t="s">
        <v>58</v>
      </c>
      <c r="F1033" s="64">
        <v>8.61</v>
      </c>
    </row>
    <row r="1034" spans="1:6" ht="30" x14ac:dyDescent="0.25">
      <c r="A1034" s="62" t="s">
        <v>4398</v>
      </c>
      <c r="B1034" s="96">
        <v>180710</v>
      </c>
      <c r="C1034" s="96" t="str">
        <f t="shared" si="124"/>
        <v>CPOS180710</v>
      </c>
      <c r="D1034" s="95" t="s">
        <v>1104</v>
      </c>
      <c r="E1034" s="63" t="s">
        <v>58</v>
      </c>
      <c r="F1034" s="64">
        <v>8.39</v>
      </c>
    </row>
    <row r="1035" spans="1:6" ht="45" x14ac:dyDescent="0.25">
      <c r="A1035" s="62" t="s">
        <v>4398</v>
      </c>
      <c r="B1035" s="96">
        <v>180716</v>
      </c>
      <c r="C1035" s="96" t="str">
        <f t="shared" si="124"/>
        <v>CPOS180716</v>
      </c>
      <c r="D1035" s="95" t="s">
        <v>1105</v>
      </c>
      <c r="E1035" s="63" t="s">
        <v>81</v>
      </c>
      <c r="F1035" s="64">
        <v>154.37</v>
      </c>
    </row>
    <row r="1036" spans="1:6" ht="45" x14ac:dyDescent="0.25">
      <c r="A1036" s="62" t="s">
        <v>4398</v>
      </c>
      <c r="B1036" s="96">
        <v>180717</v>
      </c>
      <c r="C1036" s="96" t="str">
        <f t="shared" si="124"/>
        <v>CPOS180717</v>
      </c>
      <c r="D1036" s="95" t="s">
        <v>1106</v>
      </c>
      <c r="E1036" s="63" t="s">
        <v>110</v>
      </c>
      <c r="F1036" s="64">
        <v>17.079999999999998</v>
      </c>
    </row>
    <row r="1037" spans="1:6" ht="30" x14ac:dyDescent="0.25">
      <c r="A1037" s="62" t="s">
        <v>4398</v>
      </c>
      <c r="B1037" s="96">
        <v>180720</v>
      </c>
      <c r="C1037" s="96" t="str">
        <f t="shared" si="124"/>
        <v>CPOS180720</v>
      </c>
      <c r="D1037" s="95" t="s">
        <v>1107</v>
      </c>
      <c r="E1037" s="63" t="s">
        <v>81</v>
      </c>
      <c r="F1037" s="64">
        <v>28.25</v>
      </c>
    </row>
    <row r="1038" spans="1:6" ht="30" x14ac:dyDescent="0.25">
      <c r="A1038" s="62" t="s">
        <v>4398</v>
      </c>
      <c r="B1038" s="96">
        <v>180721</v>
      </c>
      <c r="C1038" s="96" t="str">
        <f t="shared" si="124"/>
        <v>CPOS180721</v>
      </c>
      <c r="D1038" s="95" t="s">
        <v>1108</v>
      </c>
      <c r="E1038" s="63" t="s">
        <v>81</v>
      </c>
      <c r="F1038" s="64">
        <v>20.56</v>
      </c>
    </row>
    <row r="1039" spans="1:6" ht="30" x14ac:dyDescent="0.25">
      <c r="A1039" s="62" t="s">
        <v>4398</v>
      </c>
      <c r="B1039" s="96">
        <v>180722</v>
      </c>
      <c r="C1039" s="96" t="str">
        <f t="shared" si="124"/>
        <v>CPOS180722</v>
      </c>
      <c r="D1039" s="95" t="s">
        <v>1109</v>
      </c>
      <c r="E1039" s="63" t="s">
        <v>81</v>
      </c>
      <c r="F1039" s="64">
        <v>40.39</v>
      </c>
    </row>
    <row r="1040" spans="1:6" ht="30" x14ac:dyDescent="0.25">
      <c r="A1040" s="62" t="s">
        <v>4398</v>
      </c>
      <c r="B1040" s="96">
        <v>180723</v>
      </c>
      <c r="C1040" s="96" t="str">
        <f t="shared" si="124"/>
        <v>CPOS180723</v>
      </c>
      <c r="D1040" s="95" t="s">
        <v>1110</v>
      </c>
      <c r="E1040" s="63" t="s">
        <v>81</v>
      </c>
      <c r="F1040" s="64">
        <v>30.46</v>
      </c>
    </row>
    <row r="1041" spans="1:6" ht="30" x14ac:dyDescent="0.25">
      <c r="A1041" s="62" t="s">
        <v>4398</v>
      </c>
      <c r="B1041" s="96">
        <v>180724</v>
      </c>
      <c r="C1041" s="96" t="str">
        <f t="shared" si="124"/>
        <v>CPOS180724</v>
      </c>
      <c r="D1041" s="95" t="s">
        <v>1111</v>
      </c>
      <c r="E1041" s="63" t="s">
        <v>81</v>
      </c>
      <c r="F1041" s="64">
        <v>20.56</v>
      </c>
    </row>
    <row r="1042" spans="1:6" ht="45" x14ac:dyDescent="0.25">
      <c r="A1042" s="62" t="s">
        <v>4398</v>
      </c>
      <c r="B1042" s="96">
        <v>180725</v>
      </c>
      <c r="C1042" s="96" t="str">
        <f t="shared" si="124"/>
        <v>CPOS180725</v>
      </c>
      <c r="D1042" s="95" t="s">
        <v>1112</v>
      </c>
      <c r="E1042" s="63" t="s">
        <v>81</v>
      </c>
      <c r="F1042" s="64">
        <v>40.86</v>
      </c>
    </row>
    <row r="1043" spans="1:6" ht="30" x14ac:dyDescent="0.25">
      <c r="A1043" s="62" t="s">
        <v>4398</v>
      </c>
      <c r="B1043" s="96">
        <v>180730</v>
      </c>
      <c r="C1043" s="96" t="str">
        <f t="shared" si="124"/>
        <v>CPOS180730</v>
      </c>
      <c r="D1043" s="95" t="s">
        <v>1113</v>
      </c>
      <c r="E1043" s="63" t="s">
        <v>110</v>
      </c>
      <c r="F1043" s="64">
        <v>2.82</v>
      </c>
    </row>
    <row r="1044" spans="1:6" ht="30" x14ac:dyDescent="0.25">
      <c r="A1044" s="62" t="s">
        <v>4398</v>
      </c>
      <c r="B1044" s="96">
        <v>180731</v>
      </c>
      <c r="C1044" s="96" t="str">
        <f t="shared" si="124"/>
        <v>CPOS180731</v>
      </c>
      <c r="D1044" s="95" t="s">
        <v>1114</v>
      </c>
      <c r="E1044" s="63" t="s">
        <v>110</v>
      </c>
      <c r="F1044" s="64">
        <v>2.06</v>
      </c>
    </row>
    <row r="1045" spans="1:6" x14ac:dyDescent="0.25">
      <c r="D1045" s="94" t="s">
        <v>1115</v>
      </c>
    </row>
    <row r="1046" spans="1:6" ht="30" x14ac:dyDescent="0.25">
      <c r="A1046" s="62" t="s">
        <v>4398</v>
      </c>
      <c r="B1046" s="96">
        <v>180801</v>
      </c>
      <c r="C1046" s="96" t="str">
        <f t="shared" ref="C1046:C1057" si="125">A1046&amp;B1046</f>
        <v>CPOS180801</v>
      </c>
      <c r="D1046" s="95" t="s">
        <v>1116</v>
      </c>
      <c r="E1046" s="63" t="s">
        <v>81</v>
      </c>
      <c r="F1046" s="64">
        <v>74.3</v>
      </c>
    </row>
    <row r="1047" spans="1:6" ht="30" x14ac:dyDescent="0.25">
      <c r="A1047" s="62" t="s">
        <v>4398</v>
      </c>
      <c r="B1047" s="96">
        <v>180802</v>
      </c>
      <c r="C1047" s="96" t="str">
        <f t="shared" si="125"/>
        <v>CPOS180802</v>
      </c>
      <c r="D1047" s="95" t="s">
        <v>1117</v>
      </c>
      <c r="E1047" s="63" t="s">
        <v>110</v>
      </c>
      <c r="F1047" s="64">
        <v>11.09</v>
      </c>
    </row>
    <row r="1048" spans="1:6" x14ac:dyDescent="0.25">
      <c r="A1048" s="62" t="s">
        <v>4398</v>
      </c>
      <c r="B1048" s="96">
        <v>180809</v>
      </c>
      <c r="C1048" s="96" t="str">
        <f t="shared" si="125"/>
        <v>CPOS180809</v>
      </c>
      <c r="D1048" s="95" t="s">
        <v>1118</v>
      </c>
      <c r="E1048" s="63" t="s">
        <v>81</v>
      </c>
      <c r="F1048" s="64">
        <v>96.91</v>
      </c>
    </row>
    <row r="1049" spans="1:6" x14ac:dyDescent="0.25">
      <c r="A1049" s="62" t="s">
        <v>4398</v>
      </c>
      <c r="B1049" s="96">
        <v>180810</v>
      </c>
      <c r="C1049" s="96" t="str">
        <f t="shared" si="125"/>
        <v>CPOS180810</v>
      </c>
      <c r="D1049" s="95" t="s">
        <v>1119</v>
      </c>
      <c r="E1049" s="63" t="s">
        <v>110</v>
      </c>
      <c r="F1049" s="64">
        <v>30.03</v>
      </c>
    </row>
    <row r="1050" spans="1:6" ht="30" x14ac:dyDescent="0.25">
      <c r="A1050" s="62" t="s">
        <v>4398</v>
      </c>
      <c r="B1050" s="96">
        <v>180811</v>
      </c>
      <c r="C1050" s="96" t="str">
        <f t="shared" si="125"/>
        <v>CPOS180811</v>
      </c>
      <c r="D1050" s="95" t="s">
        <v>1120</v>
      </c>
      <c r="E1050" s="63" t="s">
        <v>81</v>
      </c>
      <c r="F1050" s="64">
        <v>102.9</v>
      </c>
    </row>
    <row r="1051" spans="1:6" x14ac:dyDescent="0.25">
      <c r="A1051" s="62" t="s">
        <v>4398</v>
      </c>
      <c r="B1051" s="96">
        <v>180812</v>
      </c>
      <c r="C1051" s="96" t="str">
        <f t="shared" si="125"/>
        <v>CPOS180812</v>
      </c>
      <c r="D1051" s="95" t="s">
        <v>1121</v>
      </c>
      <c r="E1051" s="63" t="s">
        <v>110</v>
      </c>
      <c r="F1051" s="64">
        <v>21.76</v>
      </c>
    </row>
    <row r="1052" spans="1:6" ht="30" x14ac:dyDescent="0.25">
      <c r="A1052" s="62" t="s">
        <v>4398</v>
      </c>
      <c r="B1052" s="96">
        <v>180813</v>
      </c>
      <c r="C1052" s="96" t="str">
        <f t="shared" si="125"/>
        <v>CPOS180813</v>
      </c>
      <c r="D1052" s="95" t="s">
        <v>1122</v>
      </c>
      <c r="E1052" s="63" t="s">
        <v>81</v>
      </c>
      <c r="F1052" s="64">
        <v>98.02</v>
      </c>
    </row>
    <row r="1053" spans="1:6" ht="30" x14ac:dyDescent="0.25">
      <c r="A1053" s="62" t="s">
        <v>4398</v>
      </c>
      <c r="B1053" s="96">
        <v>180814</v>
      </c>
      <c r="C1053" s="96" t="str">
        <f t="shared" si="125"/>
        <v>CPOS180814</v>
      </c>
      <c r="D1053" s="95" t="s">
        <v>1123</v>
      </c>
      <c r="E1053" s="63" t="s">
        <v>110</v>
      </c>
      <c r="F1053" s="64">
        <v>22.92</v>
      </c>
    </row>
    <row r="1054" spans="1:6" ht="30" x14ac:dyDescent="0.25">
      <c r="A1054" s="62" t="s">
        <v>4398</v>
      </c>
      <c r="B1054" s="96">
        <v>180815</v>
      </c>
      <c r="C1054" s="96" t="str">
        <f t="shared" si="125"/>
        <v>CPOS180815</v>
      </c>
      <c r="D1054" s="95" t="s">
        <v>1124</v>
      </c>
      <c r="E1054" s="63" t="s">
        <v>81</v>
      </c>
      <c r="F1054" s="64">
        <v>73.27</v>
      </c>
    </row>
    <row r="1055" spans="1:6" ht="30" x14ac:dyDescent="0.25">
      <c r="A1055" s="62" t="s">
        <v>4398</v>
      </c>
      <c r="B1055" s="96">
        <v>180816</v>
      </c>
      <c r="C1055" s="96" t="str">
        <f t="shared" si="125"/>
        <v>CPOS180816</v>
      </c>
      <c r="D1055" s="95" t="s">
        <v>1125</v>
      </c>
      <c r="E1055" s="63" t="s">
        <v>110</v>
      </c>
      <c r="F1055" s="64">
        <v>25.560000000000002</v>
      </c>
    </row>
    <row r="1056" spans="1:6" ht="30" x14ac:dyDescent="0.25">
      <c r="A1056" s="62" t="s">
        <v>4398</v>
      </c>
      <c r="B1056" s="96">
        <v>180817</v>
      </c>
      <c r="C1056" s="96" t="str">
        <f t="shared" si="125"/>
        <v>CPOS180817</v>
      </c>
      <c r="D1056" s="95" t="s">
        <v>1126</v>
      </c>
      <c r="E1056" s="63" t="s">
        <v>81</v>
      </c>
      <c r="F1056" s="64">
        <v>81.78</v>
      </c>
    </row>
    <row r="1057" spans="1:6" ht="30" x14ac:dyDescent="0.25">
      <c r="A1057" s="62" t="s">
        <v>4398</v>
      </c>
      <c r="B1057" s="96">
        <v>180818</v>
      </c>
      <c r="C1057" s="96" t="str">
        <f t="shared" si="125"/>
        <v>CPOS180818</v>
      </c>
      <c r="D1057" s="95" t="s">
        <v>1127</v>
      </c>
      <c r="E1057" s="63" t="s">
        <v>110</v>
      </c>
      <c r="F1057" s="64">
        <v>25.560000000000002</v>
      </c>
    </row>
    <row r="1058" spans="1:6" x14ac:dyDescent="0.25">
      <c r="D1058" s="94" t="s">
        <v>1128</v>
      </c>
    </row>
    <row r="1059" spans="1:6" ht="30" x14ac:dyDescent="0.25">
      <c r="A1059" s="62" t="s">
        <v>4398</v>
      </c>
      <c r="B1059" s="96">
        <v>181101</v>
      </c>
      <c r="C1059" s="96" t="str">
        <f t="shared" ref="C1059:C1070" si="126">A1059&amp;B1059</f>
        <v>CPOS181101</v>
      </c>
      <c r="D1059" s="95" t="s">
        <v>1129</v>
      </c>
      <c r="E1059" s="63" t="s">
        <v>81</v>
      </c>
      <c r="F1059" s="64">
        <v>67.95</v>
      </c>
    </row>
    <row r="1060" spans="1:6" ht="30" x14ac:dyDescent="0.25">
      <c r="A1060" s="62" t="s">
        <v>4398</v>
      </c>
      <c r="B1060" s="96">
        <v>181102</v>
      </c>
      <c r="C1060" s="96" t="str">
        <f t="shared" si="126"/>
        <v>CPOS181102</v>
      </c>
      <c r="D1060" s="95" t="s">
        <v>1130</v>
      </c>
      <c r="E1060" s="63" t="s">
        <v>81</v>
      </c>
      <c r="F1060" s="64">
        <v>30.55</v>
      </c>
    </row>
    <row r="1061" spans="1:6" ht="30" x14ac:dyDescent="0.25">
      <c r="A1061" s="62" t="s">
        <v>4398</v>
      </c>
      <c r="B1061" s="96">
        <v>181103</v>
      </c>
      <c r="C1061" s="96" t="str">
        <f t="shared" si="126"/>
        <v>CPOS181103</v>
      </c>
      <c r="D1061" s="95" t="s">
        <v>1131</v>
      </c>
      <c r="E1061" s="63" t="s">
        <v>81</v>
      </c>
      <c r="F1061" s="64">
        <v>76.77</v>
      </c>
    </row>
    <row r="1062" spans="1:6" ht="30" x14ac:dyDescent="0.25">
      <c r="A1062" s="62" t="s">
        <v>4398</v>
      </c>
      <c r="B1062" s="96">
        <v>181104</v>
      </c>
      <c r="C1062" s="96" t="str">
        <f t="shared" si="126"/>
        <v>CPOS181104</v>
      </c>
      <c r="D1062" s="95" t="s">
        <v>1132</v>
      </c>
      <c r="E1062" s="63" t="s">
        <v>81</v>
      </c>
      <c r="F1062" s="64">
        <v>39.369999999999997</v>
      </c>
    </row>
    <row r="1063" spans="1:6" ht="30" x14ac:dyDescent="0.25">
      <c r="A1063" s="62" t="s">
        <v>4398</v>
      </c>
      <c r="B1063" s="96">
        <v>181109</v>
      </c>
      <c r="C1063" s="96" t="str">
        <f t="shared" si="126"/>
        <v>CPOS181109</v>
      </c>
      <c r="D1063" s="95" t="s">
        <v>1133</v>
      </c>
      <c r="E1063" s="63" t="s">
        <v>81</v>
      </c>
      <c r="F1063" s="64">
        <v>50.7</v>
      </c>
    </row>
    <row r="1064" spans="1:6" ht="30" x14ac:dyDescent="0.25">
      <c r="A1064" s="62" t="s">
        <v>4398</v>
      </c>
      <c r="B1064" s="96">
        <v>181110</v>
      </c>
      <c r="C1064" s="96" t="str">
        <f t="shared" si="126"/>
        <v>CPOS181110</v>
      </c>
      <c r="D1064" s="95" t="s">
        <v>1134</v>
      </c>
      <c r="E1064" s="63" t="s">
        <v>81</v>
      </c>
      <c r="F1064" s="64">
        <v>49.89</v>
      </c>
    </row>
    <row r="1065" spans="1:6" ht="30" x14ac:dyDescent="0.25">
      <c r="A1065" s="62" t="s">
        <v>4398</v>
      </c>
      <c r="B1065" s="96">
        <v>181111</v>
      </c>
      <c r="C1065" s="96" t="str">
        <f t="shared" si="126"/>
        <v>CPOS181111</v>
      </c>
      <c r="D1065" s="95" t="s">
        <v>1135</v>
      </c>
      <c r="E1065" s="63" t="s">
        <v>81</v>
      </c>
      <c r="F1065" s="64">
        <v>41.480000000000004</v>
      </c>
    </row>
    <row r="1066" spans="1:6" ht="30" x14ac:dyDescent="0.25">
      <c r="A1066" s="62" t="s">
        <v>4398</v>
      </c>
      <c r="B1066" s="96">
        <v>181120</v>
      </c>
      <c r="C1066" s="96" t="str">
        <f t="shared" si="126"/>
        <v>CPOS181120</v>
      </c>
      <c r="D1066" s="95" t="s">
        <v>1136</v>
      </c>
      <c r="E1066" s="63" t="s">
        <v>81</v>
      </c>
      <c r="F1066" s="64">
        <v>6.01</v>
      </c>
    </row>
    <row r="1067" spans="1:6" ht="30" x14ac:dyDescent="0.25">
      <c r="A1067" s="62" t="s">
        <v>4398</v>
      </c>
      <c r="B1067" s="96">
        <v>181121</v>
      </c>
      <c r="C1067" s="96" t="str">
        <f t="shared" si="126"/>
        <v>CPOS181121</v>
      </c>
      <c r="D1067" s="95" t="s">
        <v>1137</v>
      </c>
      <c r="E1067" s="63" t="s">
        <v>81</v>
      </c>
      <c r="F1067" s="64">
        <v>6.5200000000000005</v>
      </c>
    </row>
    <row r="1068" spans="1:6" ht="30" x14ac:dyDescent="0.25">
      <c r="A1068" s="62" t="s">
        <v>4398</v>
      </c>
      <c r="B1068" s="96">
        <v>181122</v>
      </c>
      <c r="C1068" s="96" t="str">
        <f t="shared" si="126"/>
        <v>CPOS181122</v>
      </c>
      <c r="D1068" s="95" t="s">
        <v>1138</v>
      </c>
      <c r="E1068" s="63" t="s">
        <v>81</v>
      </c>
      <c r="F1068" s="64">
        <v>6.1400000000000006</v>
      </c>
    </row>
    <row r="1069" spans="1:6" ht="30" x14ac:dyDescent="0.25">
      <c r="A1069" s="62" t="s">
        <v>4398</v>
      </c>
      <c r="B1069" s="96">
        <v>181123</v>
      </c>
      <c r="C1069" s="96" t="str">
        <f t="shared" si="126"/>
        <v>CPOS181123</v>
      </c>
      <c r="D1069" s="95" t="s">
        <v>1139</v>
      </c>
      <c r="E1069" s="63" t="s">
        <v>81</v>
      </c>
      <c r="F1069" s="64">
        <v>6.8</v>
      </c>
    </row>
    <row r="1070" spans="1:6" ht="30" x14ac:dyDescent="0.25">
      <c r="A1070" s="62" t="s">
        <v>4398</v>
      </c>
      <c r="B1070" s="96">
        <v>181125</v>
      </c>
      <c r="C1070" s="96" t="str">
        <f t="shared" si="126"/>
        <v>CPOS181125</v>
      </c>
      <c r="D1070" s="95" t="s">
        <v>1140</v>
      </c>
      <c r="E1070" s="63" t="s">
        <v>81</v>
      </c>
      <c r="F1070" s="64">
        <v>9.81</v>
      </c>
    </row>
    <row r="1071" spans="1:6" x14ac:dyDescent="0.25">
      <c r="D1071" s="94" t="s">
        <v>1141</v>
      </c>
    </row>
    <row r="1072" spans="1:6" ht="30" x14ac:dyDescent="0.25">
      <c r="A1072" s="62" t="s">
        <v>4398</v>
      </c>
      <c r="B1072" s="96">
        <v>181202</v>
      </c>
      <c r="C1072" s="96" t="str">
        <f t="shared" ref="C1072:C1075" si="127">A1072&amp;B1072</f>
        <v>CPOS181202</v>
      </c>
      <c r="D1072" s="95" t="s">
        <v>1142</v>
      </c>
      <c r="E1072" s="63" t="s">
        <v>81</v>
      </c>
      <c r="F1072" s="64">
        <v>130.06</v>
      </c>
    </row>
    <row r="1073" spans="1:6" ht="30" x14ac:dyDescent="0.25">
      <c r="A1073" s="62" t="s">
        <v>4398</v>
      </c>
      <c r="B1073" s="96">
        <v>181210</v>
      </c>
      <c r="C1073" s="96" t="str">
        <f t="shared" si="127"/>
        <v>CPOS181210</v>
      </c>
      <c r="D1073" s="95" t="s">
        <v>1143</v>
      </c>
      <c r="E1073" s="63" t="s">
        <v>110</v>
      </c>
      <c r="F1073" s="64">
        <v>58.49</v>
      </c>
    </row>
    <row r="1074" spans="1:6" ht="30" x14ac:dyDescent="0.25">
      <c r="A1074" s="62" t="s">
        <v>4398</v>
      </c>
      <c r="B1074" s="96">
        <v>181212</v>
      </c>
      <c r="C1074" s="96" t="str">
        <f t="shared" si="127"/>
        <v>CPOS181212</v>
      </c>
      <c r="D1074" s="95" t="s">
        <v>1144</v>
      </c>
      <c r="E1074" s="63" t="s">
        <v>81</v>
      </c>
      <c r="F1074" s="64">
        <v>155.58000000000001</v>
      </c>
    </row>
    <row r="1075" spans="1:6" ht="30" x14ac:dyDescent="0.25">
      <c r="A1075" s="62" t="s">
        <v>4398</v>
      </c>
      <c r="B1075" s="96">
        <v>181220</v>
      </c>
      <c r="C1075" s="96" t="str">
        <f t="shared" si="127"/>
        <v>CPOS181220</v>
      </c>
      <c r="D1075" s="95" t="s">
        <v>1145</v>
      </c>
      <c r="E1075" s="63" t="s">
        <v>110</v>
      </c>
      <c r="F1075" s="64">
        <v>68.7</v>
      </c>
    </row>
    <row r="1076" spans="1:6" x14ac:dyDescent="0.25">
      <c r="D1076" s="94" t="s">
        <v>1146</v>
      </c>
    </row>
    <row r="1077" spans="1:6" ht="30" x14ac:dyDescent="0.25">
      <c r="A1077" s="62" t="s">
        <v>4398</v>
      </c>
      <c r="B1077" s="96">
        <v>181301</v>
      </c>
      <c r="C1077" s="96" t="str">
        <f t="shared" ref="C1077:C1078" si="128">A1077&amp;B1077</f>
        <v>CPOS181301</v>
      </c>
      <c r="D1077" s="95" t="s">
        <v>1147</v>
      </c>
      <c r="E1077" s="63" t="s">
        <v>81</v>
      </c>
      <c r="F1077" s="64">
        <v>71.38</v>
      </c>
    </row>
    <row r="1078" spans="1:6" ht="45" x14ac:dyDescent="0.25">
      <c r="A1078" s="62" t="s">
        <v>4398</v>
      </c>
      <c r="B1078" s="96">
        <v>181320</v>
      </c>
      <c r="C1078" s="96" t="str">
        <f t="shared" si="128"/>
        <v>CPOS181320</v>
      </c>
      <c r="D1078" s="95" t="s">
        <v>1148</v>
      </c>
      <c r="E1078" s="63" t="s">
        <v>81</v>
      </c>
      <c r="F1078" s="64">
        <v>20.56</v>
      </c>
    </row>
    <row r="1079" spans="1:6" x14ac:dyDescent="0.25">
      <c r="D1079" s="94" t="s">
        <v>1149</v>
      </c>
    </row>
    <row r="1080" spans="1:6" x14ac:dyDescent="0.25">
      <c r="D1080" s="94" t="s">
        <v>1150</v>
      </c>
    </row>
    <row r="1081" spans="1:6" x14ac:dyDescent="0.25">
      <c r="A1081" s="62" t="s">
        <v>4398</v>
      </c>
      <c r="B1081" s="96">
        <v>190101</v>
      </c>
      <c r="C1081" s="96" t="str">
        <f t="shared" ref="C1081:C1087" si="129">A1081&amp;B1081</f>
        <v>CPOS190101</v>
      </c>
      <c r="D1081" s="95" t="s">
        <v>1151</v>
      </c>
      <c r="E1081" s="63" t="s">
        <v>110</v>
      </c>
      <c r="F1081" s="64">
        <v>115.42</v>
      </c>
    </row>
    <row r="1082" spans="1:6" x14ac:dyDescent="0.25">
      <c r="A1082" s="62" t="s">
        <v>4398</v>
      </c>
      <c r="B1082" s="96">
        <v>190102</v>
      </c>
      <c r="C1082" s="96" t="str">
        <f t="shared" si="129"/>
        <v>CPOS190102</v>
      </c>
      <c r="D1082" s="95" t="s">
        <v>1152</v>
      </c>
      <c r="E1082" s="63" t="s">
        <v>81</v>
      </c>
      <c r="F1082" s="64">
        <v>283.43</v>
      </c>
    </row>
    <row r="1083" spans="1:6" x14ac:dyDescent="0.25">
      <c r="A1083" s="62" t="s">
        <v>4398</v>
      </c>
      <c r="B1083" s="96">
        <v>190104</v>
      </c>
      <c r="C1083" s="96" t="str">
        <f t="shared" si="129"/>
        <v>CPOS190104</v>
      </c>
      <c r="D1083" s="95" t="s">
        <v>1153</v>
      </c>
      <c r="E1083" s="63" t="s">
        <v>81</v>
      </c>
      <c r="F1083" s="64">
        <v>362.36</v>
      </c>
    </row>
    <row r="1084" spans="1:6" x14ac:dyDescent="0.25">
      <c r="A1084" s="62" t="s">
        <v>4398</v>
      </c>
      <c r="B1084" s="96">
        <v>190106</v>
      </c>
      <c r="C1084" s="96" t="str">
        <f t="shared" si="129"/>
        <v>CPOS190106</v>
      </c>
      <c r="D1084" s="95" t="s">
        <v>1154</v>
      </c>
      <c r="E1084" s="63" t="s">
        <v>110</v>
      </c>
      <c r="F1084" s="64">
        <v>125.72</v>
      </c>
    </row>
    <row r="1085" spans="1:6" x14ac:dyDescent="0.25">
      <c r="A1085" s="62" t="s">
        <v>4398</v>
      </c>
      <c r="B1085" s="96">
        <v>190112</v>
      </c>
      <c r="C1085" s="96" t="str">
        <f t="shared" si="129"/>
        <v>CPOS190112</v>
      </c>
      <c r="D1085" s="95" t="s">
        <v>1155</v>
      </c>
      <c r="E1085" s="63" t="s">
        <v>110</v>
      </c>
      <c r="F1085" s="64">
        <v>264.67</v>
      </c>
    </row>
    <row r="1086" spans="1:6" x14ac:dyDescent="0.25">
      <c r="A1086" s="62" t="s">
        <v>4398</v>
      </c>
      <c r="B1086" s="96">
        <v>190132</v>
      </c>
      <c r="C1086" s="96" t="str">
        <f t="shared" si="129"/>
        <v>CPOS190132</v>
      </c>
      <c r="D1086" s="95" t="s">
        <v>1156</v>
      </c>
      <c r="E1086" s="63" t="s">
        <v>110</v>
      </c>
      <c r="F1086" s="64">
        <v>123.68</v>
      </c>
    </row>
    <row r="1087" spans="1:6" x14ac:dyDescent="0.25">
      <c r="A1087" s="62" t="s">
        <v>4398</v>
      </c>
      <c r="B1087" s="96">
        <v>190139</v>
      </c>
      <c r="C1087" s="96" t="str">
        <f t="shared" si="129"/>
        <v>CPOS190139</v>
      </c>
      <c r="D1087" s="95" t="s">
        <v>1157</v>
      </c>
      <c r="E1087" s="63" t="s">
        <v>110</v>
      </c>
      <c r="F1087" s="64">
        <v>85.45</v>
      </c>
    </row>
    <row r="1088" spans="1:6" x14ac:dyDescent="0.25">
      <c r="D1088" s="94" t="s">
        <v>1158</v>
      </c>
    </row>
    <row r="1089" spans="1:6" x14ac:dyDescent="0.25">
      <c r="A1089" s="62" t="s">
        <v>4398</v>
      </c>
      <c r="B1089" s="96">
        <v>190202</v>
      </c>
      <c r="C1089" s="96" t="str">
        <f t="shared" ref="C1089:C1095" si="130">A1089&amp;B1089</f>
        <v>CPOS190202</v>
      </c>
      <c r="D1089" s="95" t="s">
        <v>1159</v>
      </c>
      <c r="E1089" s="63" t="s">
        <v>81</v>
      </c>
      <c r="F1089" s="64">
        <v>452.90000000000003</v>
      </c>
    </row>
    <row r="1090" spans="1:6" x14ac:dyDescent="0.25">
      <c r="A1090" s="62" t="s">
        <v>4398</v>
      </c>
      <c r="B1090" s="96">
        <v>190204</v>
      </c>
      <c r="C1090" s="96" t="str">
        <f t="shared" si="130"/>
        <v>CPOS190204</v>
      </c>
      <c r="D1090" s="95" t="s">
        <v>1160</v>
      </c>
      <c r="E1090" s="63" t="s">
        <v>81</v>
      </c>
      <c r="F1090" s="64">
        <v>521.91</v>
      </c>
    </row>
    <row r="1091" spans="1:6" x14ac:dyDescent="0.25">
      <c r="A1091" s="62" t="s">
        <v>4398</v>
      </c>
      <c r="B1091" s="96">
        <v>190206</v>
      </c>
      <c r="C1091" s="96" t="str">
        <f t="shared" si="130"/>
        <v>CPOS190206</v>
      </c>
      <c r="D1091" s="95" t="s">
        <v>1161</v>
      </c>
      <c r="E1091" s="63" t="s">
        <v>81</v>
      </c>
      <c r="F1091" s="64">
        <v>546.54999999999995</v>
      </c>
    </row>
    <row r="1092" spans="1:6" x14ac:dyDescent="0.25">
      <c r="A1092" s="62" t="s">
        <v>4398</v>
      </c>
      <c r="B1092" s="96">
        <v>190208</v>
      </c>
      <c r="C1092" s="96" t="str">
        <f t="shared" si="130"/>
        <v>CPOS190208</v>
      </c>
      <c r="D1092" s="95" t="s">
        <v>1162</v>
      </c>
      <c r="E1092" s="63" t="s">
        <v>81</v>
      </c>
      <c r="F1092" s="64">
        <v>633.9</v>
      </c>
    </row>
    <row r="1093" spans="1:6" x14ac:dyDescent="0.25">
      <c r="A1093" s="62" t="s">
        <v>4398</v>
      </c>
      <c r="B1093" s="96">
        <v>190222</v>
      </c>
      <c r="C1093" s="96" t="str">
        <f t="shared" si="130"/>
        <v>CPOS190222</v>
      </c>
      <c r="D1093" s="95" t="s">
        <v>1163</v>
      </c>
      <c r="E1093" s="63" t="s">
        <v>110</v>
      </c>
      <c r="F1093" s="64">
        <v>238.6</v>
      </c>
    </row>
    <row r="1094" spans="1:6" x14ac:dyDescent="0.25">
      <c r="A1094" s="62" t="s">
        <v>4398</v>
      </c>
      <c r="B1094" s="96">
        <v>190224</v>
      </c>
      <c r="C1094" s="96" t="str">
        <f t="shared" si="130"/>
        <v>CPOS190224</v>
      </c>
      <c r="D1094" s="95" t="s">
        <v>1164</v>
      </c>
      <c r="E1094" s="63" t="s">
        <v>110</v>
      </c>
      <c r="F1094" s="64">
        <v>257.86</v>
      </c>
    </row>
    <row r="1095" spans="1:6" x14ac:dyDescent="0.25">
      <c r="A1095" s="62" t="s">
        <v>4398</v>
      </c>
      <c r="B1095" s="96">
        <v>190225</v>
      </c>
      <c r="C1095" s="96" t="str">
        <f t="shared" si="130"/>
        <v>CPOS190225</v>
      </c>
      <c r="D1095" s="95" t="s">
        <v>1165</v>
      </c>
      <c r="E1095" s="63" t="s">
        <v>110</v>
      </c>
      <c r="F1095" s="64">
        <v>42.31</v>
      </c>
    </row>
    <row r="1096" spans="1:6" x14ac:dyDescent="0.25">
      <c r="D1096" s="94" t="s">
        <v>1166</v>
      </c>
    </row>
    <row r="1097" spans="1:6" x14ac:dyDescent="0.25">
      <c r="A1097" s="62" t="s">
        <v>4398</v>
      </c>
      <c r="B1097" s="96">
        <v>190302</v>
      </c>
      <c r="C1097" s="96" t="str">
        <f t="shared" ref="C1097:C1105" si="131">A1097&amp;B1097</f>
        <v>CPOS190302</v>
      </c>
      <c r="D1097" s="95" t="s">
        <v>1167</v>
      </c>
      <c r="E1097" s="63" t="s">
        <v>81</v>
      </c>
      <c r="F1097" s="64">
        <v>165.74</v>
      </c>
    </row>
    <row r="1098" spans="1:6" x14ac:dyDescent="0.25">
      <c r="A1098" s="62" t="s">
        <v>4398</v>
      </c>
      <c r="B1098" s="96">
        <v>190306</v>
      </c>
      <c r="C1098" s="96" t="str">
        <f t="shared" si="131"/>
        <v>CPOS190306</v>
      </c>
      <c r="D1098" s="95" t="s">
        <v>1168</v>
      </c>
      <c r="E1098" s="63" t="s">
        <v>81</v>
      </c>
      <c r="F1098" s="64">
        <v>263.20999999999998</v>
      </c>
    </row>
    <row r="1099" spans="1:6" x14ac:dyDescent="0.25">
      <c r="A1099" s="62" t="s">
        <v>4398</v>
      </c>
      <c r="B1099" s="96">
        <v>190309</v>
      </c>
      <c r="C1099" s="96" t="str">
        <f t="shared" si="131"/>
        <v>CPOS190309</v>
      </c>
      <c r="D1099" s="95" t="s">
        <v>1169</v>
      </c>
      <c r="E1099" s="63" t="s">
        <v>81</v>
      </c>
      <c r="F1099" s="64">
        <v>66.78</v>
      </c>
    </row>
    <row r="1100" spans="1:6" x14ac:dyDescent="0.25">
      <c r="A1100" s="62" t="s">
        <v>4398</v>
      </c>
      <c r="B1100" s="96">
        <v>190310</v>
      </c>
      <c r="C1100" s="96" t="str">
        <f t="shared" si="131"/>
        <v>CPOS190310</v>
      </c>
      <c r="D1100" s="95" t="s">
        <v>1170</v>
      </c>
      <c r="E1100" s="63" t="s">
        <v>110</v>
      </c>
      <c r="F1100" s="64">
        <v>17.05</v>
      </c>
    </row>
    <row r="1101" spans="1:6" x14ac:dyDescent="0.25">
      <c r="A1101" s="62" t="s">
        <v>4398</v>
      </c>
      <c r="B1101" s="96">
        <v>190311</v>
      </c>
      <c r="C1101" s="96" t="str">
        <f t="shared" si="131"/>
        <v>CPOS190311</v>
      </c>
      <c r="D1101" s="95" t="s">
        <v>1171</v>
      </c>
      <c r="E1101" s="63" t="s">
        <v>110</v>
      </c>
      <c r="F1101" s="64">
        <v>26.39</v>
      </c>
    </row>
    <row r="1102" spans="1:6" x14ac:dyDescent="0.25">
      <c r="A1102" s="62" t="s">
        <v>4398</v>
      </c>
      <c r="B1102" s="96">
        <v>190322</v>
      </c>
      <c r="C1102" s="96" t="str">
        <f t="shared" si="131"/>
        <v>CPOS190322</v>
      </c>
      <c r="D1102" s="95" t="s">
        <v>1172</v>
      </c>
      <c r="E1102" s="63" t="s">
        <v>110</v>
      </c>
      <c r="F1102" s="64">
        <v>61.42</v>
      </c>
    </row>
    <row r="1103" spans="1:6" x14ac:dyDescent="0.25">
      <c r="A1103" s="62" t="s">
        <v>4398</v>
      </c>
      <c r="B1103" s="96">
        <v>190326</v>
      </c>
      <c r="C1103" s="96" t="str">
        <f t="shared" si="131"/>
        <v>CPOS190326</v>
      </c>
      <c r="D1103" s="95" t="s">
        <v>1173</v>
      </c>
      <c r="E1103" s="63" t="s">
        <v>81</v>
      </c>
      <c r="F1103" s="64">
        <v>71.28</v>
      </c>
    </row>
    <row r="1104" spans="1:6" x14ac:dyDescent="0.25">
      <c r="A1104" s="62" t="s">
        <v>4398</v>
      </c>
      <c r="B1104" s="96">
        <v>190327</v>
      </c>
      <c r="C1104" s="96" t="str">
        <f t="shared" si="131"/>
        <v>CPOS190327</v>
      </c>
      <c r="D1104" s="95" t="s">
        <v>1174</v>
      </c>
      <c r="E1104" s="63" t="s">
        <v>110</v>
      </c>
      <c r="F1104" s="64">
        <v>12.07</v>
      </c>
    </row>
    <row r="1105" spans="1:6" x14ac:dyDescent="0.25">
      <c r="A1105" s="62" t="s">
        <v>4398</v>
      </c>
      <c r="B1105" s="96">
        <v>190329</v>
      </c>
      <c r="C1105" s="96" t="str">
        <f t="shared" si="131"/>
        <v>CPOS190329</v>
      </c>
      <c r="D1105" s="95" t="s">
        <v>1175</v>
      </c>
      <c r="E1105" s="63" t="s">
        <v>110</v>
      </c>
      <c r="F1105" s="64">
        <v>54.96</v>
      </c>
    </row>
    <row r="1106" spans="1:6" x14ac:dyDescent="0.25">
      <c r="D1106" s="94" t="s">
        <v>693</v>
      </c>
    </row>
    <row r="1107" spans="1:6" x14ac:dyDescent="0.25">
      <c r="A1107" s="62" t="s">
        <v>4398</v>
      </c>
      <c r="B1107" s="96">
        <v>192002</v>
      </c>
      <c r="C1107" s="96" t="str">
        <f>A1107&amp;B1107</f>
        <v>CPOS192002</v>
      </c>
      <c r="D1107" s="95" t="s">
        <v>1176</v>
      </c>
      <c r="E1107" s="63" t="s">
        <v>81</v>
      </c>
      <c r="F1107" s="64">
        <v>35.64</v>
      </c>
    </row>
    <row r="1108" spans="1:6" x14ac:dyDescent="0.25">
      <c r="D1108" s="94" t="s">
        <v>1177</v>
      </c>
    </row>
    <row r="1109" spans="1:6" x14ac:dyDescent="0.25">
      <c r="D1109" s="94" t="s">
        <v>1178</v>
      </c>
    </row>
    <row r="1110" spans="1:6" x14ac:dyDescent="0.25">
      <c r="A1110" s="62" t="s">
        <v>4398</v>
      </c>
      <c r="B1110" s="96">
        <v>200104</v>
      </c>
      <c r="C1110" s="96" t="str">
        <f>A1110&amp;B1110</f>
        <v>CPOS200104</v>
      </c>
      <c r="D1110" s="95" t="s">
        <v>1179</v>
      </c>
      <c r="E1110" s="63" t="s">
        <v>81</v>
      </c>
      <c r="F1110" s="64">
        <v>73.61</v>
      </c>
    </row>
    <row r="1111" spans="1:6" x14ac:dyDescent="0.25">
      <c r="D1111" s="94" t="s">
        <v>1180</v>
      </c>
    </row>
    <row r="1112" spans="1:6" x14ac:dyDescent="0.25">
      <c r="A1112" s="62" t="s">
        <v>4398</v>
      </c>
      <c r="B1112" s="96">
        <v>200301</v>
      </c>
      <c r="C1112" s="96" t="str">
        <f>A1112&amp;B1112</f>
        <v>CPOS200301</v>
      </c>
      <c r="D1112" s="95" t="s">
        <v>1181</v>
      </c>
      <c r="E1112" s="63" t="s">
        <v>81</v>
      </c>
      <c r="F1112" s="64">
        <v>204.26</v>
      </c>
    </row>
    <row r="1113" spans="1:6" x14ac:dyDescent="0.25">
      <c r="D1113" s="94" t="s">
        <v>1182</v>
      </c>
    </row>
    <row r="1114" spans="1:6" x14ac:dyDescent="0.25">
      <c r="A1114" s="62" t="s">
        <v>4398</v>
      </c>
      <c r="B1114" s="96">
        <v>200402</v>
      </c>
      <c r="C1114" s="96" t="str">
        <f>A1114&amp;B1114</f>
        <v>CPOS200402</v>
      </c>
      <c r="D1114" s="95" t="s">
        <v>1183</v>
      </c>
      <c r="E1114" s="63" t="s">
        <v>81</v>
      </c>
      <c r="F1114" s="64">
        <v>110.73</v>
      </c>
    </row>
    <row r="1115" spans="1:6" x14ac:dyDescent="0.25">
      <c r="D1115" s="94" t="s">
        <v>1184</v>
      </c>
    </row>
    <row r="1116" spans="1:6" x14ac:dyDescent="0.25">
      <c r="A1116" s="62" t="s">
        <v>4398</v>
      </c>
      <c r="B1116" s="96">
        <v>201002</v>
      </c>
      <c r="C1116" s="96" t="str">
        <f t="shared" ref="C1116:C1118" si="132">A1116&amp;B1116</f>
        <v>CPOS201002</v>
      </c>
      <c r="D1116" s="95" t="s">
        <v>1185</v>
      </c>
      <c r="E1116" s="63" t="s">
        <v>110</v>
      </c>
      <c r="F1116" s="64">
        <v>20.07</v>
      </c>
    </row>
    <row r="1117" spans="1:6" x14ac:dyDescent="0.25">
      <c r="A1117" s="62" t="s">
        <v>4398</v>
      </c>
      <c r="B1117" s="96">
        <v>201004</v>
      </c>
      <c r="C1117" s="96" t="str">
        <f t="shared" si="132"/>
        <v>CPOS201004</v>
      </c>
      <c r="D1117" s="95" t="s">
        <v>1186</v>
      </c>
      <c r="E1117" s="63" t="s">
        <v>110</v>
      </c>
      <c r="F1117" s="64">
        <v>20.21</v>
      </c>
    </row>
    <row r="1118" spans="1:6" x14ac:dyDescent="0.25">
      <c r="A1118" s="62" t="s">
        <v>4398</v>
      </c>
      <c r="B1118" s="96">
        <v>201012</v>
      </c>
      <c r="C1118" s="96" t="str">
        <f t="shared" si="132"/>
        <v>CPOS201012</v>
      </c>
      <c r="D1118" s="95" t="s">
        <v>1187</v>
      </c>
      <c r="E1118" s="63" t="s">
        <v>110</v>
      </c>
      <c r="F1118" s="64">
        <v>5.2700000000000005</v>
      </c>
    </row>
    <row r="1119" spans="1:6" x14ac:dyDescent="0.25">
      <c r="D1119" s="94" t="s">
        <v>693</v>
      </c>
    </row>
    <row r="1120" spans="1:6" x14ac:dyDescent="0.25">
      <c r="A1120" s="62" t="s">
        <v>4398</v>
      </c>
      <c r="B1120" s="96">
        <v>202002</v>
      </c>
      <c r="C1120" s="96" t="str">
        <f t="shared" ref="C1120:C1124" si="133">A1120&amp;B1120</f>
        <v>CPOS202002</v>
      </c>
      <c r="D1120" s="95" t="s">
        <v>1188</v>
      </c>
      <c r="E1120" s="63" t="s">
        <v>81</v>
      </c>
      <c r="F1120" s="64">
        <v>5.08</v>
      </c>
    </row>
    <row r="1121" spans="1:6" x14ac:dyDescent="0.25">
      <c r="A1121" s="62" t="s">
        <v>4398</v>
      </c>
      <c r="B1121" s="96">
        <v>202004</v>
      </c>
      <c r="C1121" s="96" t="str">
        <f t="shared" si="133"/>
        <v>CPOS202004</v>
      </c>
      <c r="D1121" s="95" t="s">
        <v>1189</v>
      </c>
      <c r="E1121" s="63" t="s">
        <v>81</v>
      </c>
      <c r="F1121" s="64">
        <v>25.72</v>
      </c>
    </row>
    <row r="1122" spans="1:6" x14ac:dyDescent="0.25">
      <c r="A1122" s="62" t="s">
        <v>4398</v>
      </c>
      <c r="B1122" s="96">
        <v>202010</v>
      </c>
      <c r="C1122" s="96" t="str">
        <f t="shared" si="133"/>
        <v>CPOS202010</v>
      </c>
      <c r="D1122" s="95" t="s">
        <v>1190</v>
      </c>
      <c r="E1122" s="63" t="s">
        <v>110</v>
      </c>
      <c r="F1122" s="64">
        <v>6.41</v>
      </c>
    </row>
    <row r="1123" spans="1:6" x14ac:dyDescent="0.25">
      <c r="A1123" s="62" t="s">
        <v>4398</v>
      </c>
      <c r="B1123" s="96">
        <v>202020</v>
      </c>
      <c r="C1123" s="96" t="str">
        <f t="shared" si="133"/>
        <v>CPOS202020</v>
      </c>
      <c r="D1123" s="95" t="s">
        <v>1191</v>
      </c>
      <c r="E1123" s="63" t="s">
        <v>81</v>
      </c>
      <c r="F1123" s="64">
        <v>45.29</v>
      </c>
    </row>
    <row r="1124" spans="1:6" x14ac:dyDescent="0.25">
      <c r="A1124" s="62" t="s">
        <v>4398</v>
      </c>
      <c r="B1124" s="96">
        <v>202022</v>
      </c>
      <c r="C1124" s="96" t="str">
        <f t="shared" si="133"/>
        <v>CPOS202022</v>
      </c>
      <c r="D1124" s="95" t="s">
        <v>1192</v>
      </c>
      <c r="E1124" s="63" t="s">
        <v>81</v>
      </c>
      <c r="F1124" s="64">
        <v>29.66</v>
      </c>
    </row>
    <row r="1125" spans="1:6" x14ac:dyDescent="0.25">
      <c r="D1125" s="94" t="s">
        <v>1193</v>
      </c>
    </row>
    <row r="1126" spans="1:6" x14ac:dyDescent="0.25">
      <c r="D1126" s="94" t="s">
        <v>1194</v>
      </c>
    </row>
    <row r="1127" spans="1:6" x14ac:dyDescent="0.25">
      <c r="A1127" s="62" t="s">
        <v>4398</v>
      </c>
      <c r="B1127" s="96">
        <v>210110</v>
      </c>
      <c r="C1127" s="96" t="str">
        <f t="shared" ref="C1127:C1128" si="134">A1127&amp;B1127</f>
        <v>CPOS210110</v>
      </c>
      <c r="D1127" s="95" t="s">
        <v>1195</v>
      </c>
      <c r="E1127" s="63" t="s">
        <v>81</v>
      </c>
      <c r="F1127" s="64">
        <v>47.99</v>
      </c>
    </row>
    <row r="1128" spans="1:6" x14ac:dyDescent="0.25">
      <c r="A1128" s="62" t="s">
        <v>4398</v>
      </c>
      <c r="B1128" s="96">
        <v>210113</v>
      </c>
      <c r="C1128" s="96" t="str">
        <f t="shared" si="134"/>
        <v>CPOS210113</v>
      </c>
      <c r="D1128" s="95" t="s">
        <v>1196</v>
      </c>
      <c r="E1128" s="63" t="s">
        <v>81</v>
      </c>
      <c r="F1128" s="64">
        <v>95.48</v>
      </c>
    </row>
    <row r="1129" spans="1:6" x14ac:dyDescent="0.25">
      <c r="D1129" s="94" t="s">
        <v>1197</v>
      </c>
    </row>
    <row r="1130" spans="1:6" ht="30" x14ac:dyDescent="0.25">
      <c r="A1130" s="62" t="s">
        <v>4398</v>
      </c>
      <c r="B1130" s="96">
        <v>210205</v>
      </c>
      <c r="C1130" s="96" t="str">
        <f t="shared" ref="C1130:C1135" si="135">A1130&amp;B1130</f>
        <v>CPOS210205</v>
      </c>
      <c r="D1130" s="95" t="s">
        <v>1198</v>
      </c>
      <c r="E1130" s="63" t="s">
        <v>81</v>
      </c>
      <c r="F1130" s="64">
        <v>76.930000000000007</v>
      </c>
    </row>
    <row r="1131" spans="1:6" ht="30" x14ac:dyDescent="0.25">
      <c r="A1131" s="62" t="s">
        <v>4398</v>
      </c>
      <c r="B1131" s="96">
        <v>210206</v>
      </c>
      <c r="C1131" s="96" t="str">
        <f t="shared" si="135"/>
        <v>CPOS210206</v>
      </c>
      <c r="D1131" s="95" t="s">
        <v>1199</v>
      </c>
      <c r="E1131" s="63" t="s">
        <v>81</v>
      </c>
      <c r="F1131" s="64">
        <v>105.11</v>
      </c>
    </row>
    <row r="1132" spans="1:6" x14ac:dyDescent="0.25">
      <c r="A1132" s="62" t="s">
        <v>4398</v>
      </c>
      <c r="B1132" s="96">
        <v>210226</v>
      </c>
      <c r="C1132" s="96" t="str">
        <f t="shared" si="135"/>
        <v>CPOS210226</v>
      </c>
      <c r="D1132" s="95" t="s">
        <v>1200</v>
      </c>
      <c r="E1132" s="63" t="s">
        <v>81</v>
      </c>
      <c r="F1132" s="64">
        <v>115.98</v>
      </c>
    </row>
    <row r="1133" spans="1:6" x14ac:dyDescent="0.25">
      <c r="A1133" s="62" t="s">
        <v>4398</v>
      </c>
      <c r="B1133" s="96">
        <v>210227</v>
      </c>
      <c r="C1133" s="96" t="str">
        <f t="shared" si="135"/>
        <v>CPOS210227</v>
      </c>
      <c r="D1133" s="95" t="s">
        <v>1201</v>
      </c>
      <c r="E1133" s="63" t="s">
        <v>81</v>
      </c>
      <c r="F1133" s="64">
        <v>105.02</v>
      </c>
    </row>
    <row r="1134" spans="1:6" ht="30" x14ac:dyDescent="0.25">
      <c r="A1134" s="62" t="s">
        <v>4398</v>
      </c>
      <c r="B1134" s="96">
        <v>210228</v>
      </c>
      <c r="C1134" s="96" t="str">
        <f t="shared" si="135"/>
        <v>CPOS210228</v>
      </c>
      <c r="D1134" s="95" t="s">
        <v>1202</v>
      </c>
      <c r="E1134" s="63" t="s">
        <v>81</v>
      </c>
      <c r="F1134" s="64">
        <v>140.19999999999999</v>
      </c>
    </row>
    <row r="1135" spans="1:6" x14ac:dyDescent="0.25">
      <c r="A1135" s="62" t="s">
        <v>4398</v>
      </c>
      <c r="B1135" s="96">
        <v>210229</v>
      </c>
      <c r="C1135" s="96" t="str">
        <f t="shared" si="135"/>
        <v>CPOS210229</v>
      </c>
      <c r="D1135" s="95" t="s">
        <v>1203</v>
      </c>
      <c r="E1135" s="63" t="s">
        <v>81</v>
      </c>
      <c r="F1135" s="64">
        <v>110.43</v>
      </c>
    </row>
    <row r="1136" spans="1:6" x14ac:dyDescent="0.25">
      <c r="D1136" s="94" t="s">
        <v>1204</v>
      </c>
    </row>
    <row r="1137" spans="1:6" ht="30" x14ac:dyDescent="0.25">
      <c r="A1137" s="62" t="s">
        <v>4398</v>
      </c>
      <c r="B1137" s="96">
        <v>210301</v>
      </c>
      <c r="C1137" s="96" t="str">
        <f t="shared" ref="C1137:C1138" si="136">A1137&amp;B1137</f>
        <v>CPOS210301</v>
      </c>
      <c r="D1137" s="95" t="s">
        <v>1205</v>
      </c>
      <c r="E1137" s="63" t="s">
        <v>81</v>
      </c>
      <c r="F1137" s="64">
        <v>632.96</v>
      </c>
    </row>
    <row r="1138" spans="1:6" x14ac:dyDescent="0.25">
      <c r="A1138" s="62" t="s">
        <v>4398</v>
      </c>
      <c r="B1138" s="96">
        <v>210309</v>
      </c>
      <c r="C1138" s="96" t="str">
        <f t="shared" si="136"/>
        <v>CPOS210309</v>
      </c>
      <c r="D1138" s="95" t="s">
        <v>1206</v>
      </c>
      <c r="E1138" s="63" t="s">
        <v>81</v>
      </c>
      <c r="F1138" s="64">
        <v>194.5</v>
      </c>
    </row>
    <row r="1139" spans="1:6" x14ac:dyDescent="0.25">
      <c r="D1139" s="94" t="s">
        <v>1207</v>
      </c>
    </row>
    <row r="1140" spans="1:6" ht="30" x14ac:dyDescent="0.25">
      <c r="A1140" s="62" t="s">
        <v>4398</v>
      </c>
      <c r="B1140" s="96">
        <v>210410</v>
      </c>
      <c r="C1140" s="96" t="str">
        <f t="shared" ref="C1140:C1141" si="137">A1140&amp;B1140</f>
        <v>CPOS210410</v>
      </c>
      <c r="D1140" s="95" t="s">
        <v>1208</v>
      </c>
      <c r="E1140" s="63" t="s">
        <v>81</v>
      </c>
      <c r="F1140" s="64">
        <v>77.569999999999993</v>
      </c>
    </row>
    <row r="1141" spans="1:6" ht="30" x14ac:dyDescent="0.25">
      <c r="A1141" s="62" t="s">
        <v>4398</v>
      </c>
      <c r="B1141" s="96">
        <v>210411</v>
      </c>
      <c r="C1141" s="96" t="str">
        <f t="shared" si="137"/>
        <v>CPOS210411</v>
      </c>
      <c r="D1141" s="95" t="s">
        <v>1209</v>
      </c>
      <c r="E1141" s="63" t="s">
        <v>81</v>
      </c>
      <c r="F1141" s="64">
        <v>110.5</v>
      </c>
    </row>
    <row r="1142" spans="1:6" x14ac:dyDescent="0.25">
      <c r="D1142" s="94" t="s">
        <v>1210</v>
      </c>
    </row>
    <row r="1143" spans="1:6" ht="30" x14ac:dyDescent="0.25">
      <c r="A1143" s="62" t="s">
        <v>4398</v>
      </c>
      <c r="B1143" s="96">
        <v>210501</v>
      </c>
      <c r="C1143" s="96" t="str">
        <f>A1143&amp;B1143</f>
        <v>CPOS210501</v>
      </c>
      <c r="D1143" s="95" t="s">
        <v>1211</v>
      </c>
      <c r="E1143" s="63" t="s">
        <v>81</v>
      </c>
      <c r="F1143" s="64">
        <v>135.91999999999999</v>
      </c>
    </row>
    <row r="1144" spans="1:6" x14ac:dyDescent="0.25">
      <c r="D1144" s="94" t="s">
        <v>1212</v>
      </c>
    </row>
    <row r="1145" spans="1:6" ht="30" x14ac:dyDescent="0.25">
      <c r="A1145" s="62" t="s">
        <v>4398</v>
      </c>
      <c r="B1145" s="96">
        <v>210605</v>
      </c>
      <c r="C1145" s="96" t="str">
        <f>A1145&amp;B1145</f>
        <v>CPOS210605</v>
      </c>
      <c r="D1145" s="95" t="s">
        <v>1213</v>
      </c>
      <c r="E1145" s="63" t="s">
        <v>81</v>
      </c>
      <c r="F1145" s="64">
        <v>265.2</v>
      </c>
    </row>
    <row r="1146" spans="1:6" x14ac:dyDescent="0.25">
      <c r="D1146" s="94" t="s">
        <v>1214</v>
      </c>
    </row>
    <row r="1147" spans="1:6" x14ac:dyDescent="0.25">
      <c r="A1147" s="62" t="s">
        <v>4398</v>
      </c>
      <c r="B1147" s="96">
        <v>210701</v>
      </c>
      <c r="C1147" s="96" t="str">
        <f>A1147&amp;B1147</f>
        <v>CPOS210701</v>
      </c>
      <c r="D1147" s="95" t="s">
        <v>1215</v>
      </c>
      <c r="E1147" s="63" t="s">
        <v>81</v>
      </c>
      <c r="F1147" s="64">
        <v>105.81</v>
      </c>
    </row>
    <row r="1148" spans="1:6" x14ac:dyDescent="0.25">
      <c r="D1148" s="94" t="s">
        <v>1216</v>
      </c>
    </row>
    <row r="1149" spans="1:6" x14ac:dyDescent="0.25">
      <c r="A1149" s="62" t="s">
        <v>4398</v>
      </c>
      <c r="B1149" s="96">
        <v>211005</v>
      </c>
      <c r="C1149" s="96" t="str">
        <f t="shared" ref="C1149:C1155" si="138">A1149&amp;B1149</f>
        <v>CPOS211005</v>
      </c>
      <c r="D1149" s="95" t="s">
        <v>1217</v>
      </c>
      <c r="E1149" s="63" t="s">
        <v>110</v>
      </c>
      <c r="F1149" s="64">
        <v>25.02</v>
      </c>
    </row>
    <row r="1150" spans="1:6" x14ac:dyDescent="0.25">
      <c r="A1150" s="62" t="s">
        <v>4398</v>
      </c>
      <c r="B1150" s="96">
        <v>211006</v>
      </c>
      <c r="C1150" s="96" t="str">
        <f t="shared" si="138"/>
        <v>CPOS211006</v>
      </c>
      <c r="D1150" s="95" t="s">
        <v>1218</v>
      </c>
      <c r="E1150" s="63" t="s">
        <v>110</v>
      </c>
      <c r="F1150" s="64">
        <v>21.37</v>
      </c>
    </row>
    <row r="1151" spans="1:6" x14ac:dyDescent="0.25">
      <c r="A1151" s="62" t="s">
        <v>4398</v>
      </c>
      <c r="B1151" s="96">
        <v>211007</v>
      </c>
      <c r="C1151" s="96" t="str">
        <f t="shared" si="138"/>
        <v>CPOS211007</v>
      </c>
      <c r="D1151" s="95" t="s">
        <v>1219</v>
      </c>
      <c r="E1151" s="63" t="s">
        <v>110</v>
      </c>
      <c r="F1151" s="64">
        <v>25.42</v>
      </c>
    </row>
    <row r="1152" spans="1:6" x14ac:dyDescent="0.25">
      <c r="A1152" s="62" t="s">
        <v>4398</v>
      </c>
      <c r="B1152" s="96">
        <v>211008</v>
      </c>
      <c r="C1152" s="96" t="str">
        <f t="shared" si="138"/>
        <v>CPOS211008</v>
      </c>
      <c r="D1152" s="95" t="s">
        <v>1220</v>
      </c>
      <c r="E1152" s="63" t="s">
        <v>110</v>
      </c>
      <c r="F1152" s="64">
        <v>38.53</v>
      </c>
    </row>
    <row r="1153" spans="1:6" x14ac:dyDescent="0.25">
      <c r="A1153" s="62" t="s">
        <v>4398</v>
      </c>
      <c r="B1153" s="96">
        <v>211021</v>
      </c>
      <c r="C1153" s="96" t="str">
        <f t="shared" si="138"/>
        <v>CPOS211021</v>
      </c>
      <c r="D1153" s="95" t="s">
        <v>1221</v>
      </c>
      <c r="E1153" s="63" t="s">
        <v>110</v>
      </c>
      <c r="F1153" s="64">
        <v>10.57</v>
      </c>
    </row>
    <row r="1154" spans="1:6" x14ac:dyDescent="0.25">
      <c r="A1154" s="62" t="s">
        <v>4398</v>
      </c>
      <c r="B1154" s="96">
        <v>211022</v>
      </c>
      <c r="C1154" s="96" t="str">
        <f t="shared" si="138"/>
        <v>CPOS211022</v>
      </c>
      <c r="D1154" s="95" t="s">
        <v>1222</v>
      </c>
      <c r="E1154" s="63" t="s">
        <v>110</v>
      </c>
      <c r="F1154" s="64">
        <v>3.4</v>
      </c>
    </row>
    <row r="1155" spans="1:6" x14ac:dyDescent="0.25">
      <c r="A1155" s="62" t="s">
        <v>4398</v>
      </c>
      <c r="B1155" s="96">
        <v>211025</v>
      </c>
      <c r="C1155" s="96" t="str">
        <f t="shared" si="138"/>
        <v>CPOS211025</v>
      </c>
      <c r="D1155" s="95" t="s">
        <v>1223</v>
      </c>
      <c r="E1155" s="63" t="s">
        <v>110</v>
      </c>
      <c r="F1155" s="64">
        <v>11.08</v>
      </c>
    </row>
    <row r="1156" spans="1:6" x14ac:dyDescent="0.25">
      <c r="D1156" s="94" t="s">
        <v>1224</v>
      </c>
    </row>
    <row r="1157" spans="1:6" x14ac:dyDescent="0.25">
      <c r="A1157" s="62" t="s">
        <v>4398</v>
      </c>
      <c r="B1157" s="96">
        <v>211105</v>
      </c>
      <c r="C1157" s="96" t="str">
        <f t="shared" ref="C1157:C1158" si="139">A1157&amp;B1157</f>
        <v>CPOS211105</v>
      </c>
      <c r="D1157" s="95" t="s">
        <v>1225</v>
      </c>
      <c r="E1157" s="63" t="s">
        <v>110</v>
      </c>
      <c r="F1157" s="64">
        <v>63.940000000000005</v>
      </c>
    </row>
    <row r="1158" spans="1:6" ht="30" x14ac:dyDescent="0.25">
      <c r="A1158" s="62" t="s">
        <v>4398</v>
      </c>
      <c r="B1158" s="96">
        <v>211113</v>
      </c>
      <c r="C1158" s="96" t="str">
        <f t="shared" si="139"/>
        <v>CPOS211113</v>
      </c>
      <c r="D1158" s="95" t="s">
        <v>1226</v>
      </c>
      <c r="E1158" s="63" t="s">
        <v>110</v>
      </c>
      <c r="F1158" s="64">
        <v>16.170000000000002</v>
      </c>
    </row>
    <row r="1159" spans="1:6" x14ac:dyDescent="0.25">
      <c r="D1159" s="94" t="s">
        <v>693</v>
      </c>
    </row>
    <row r="1160" spans="1:6" x14ac:dyDescent="0.25">
      <c r="A1160" s="62" t="s">
        <v>4398</v>
      </c>
      <c r="B1160" s="96">
        <v>212002</v>
      </c>
      <c r="C1160" s="96" t="str">
        <f t="shared" ref="C1160:C1167" si="140">A1160&amp;B1160</f>
        <v>CPOS212002</v>
      </c>
      <c r="D1160" s="95" t="s">
        <v>1227</v>
      </c>
      <c r="E1160" s="63" t="s">
        <v>81</v>
      </c>
      <c r="F1160" s="64">
        <v>10.08</v>
      </c>
    </row>
    <row r="1161" spans="1:6" x14ac:dyDescent="0.25">
      <c r="A1161" s="62" t="s">
        <v>4398</v>
      </c>
      <c r="B1161" s="96">
        <v>212004</v>
      </c>
      <c r="C1161" s="96" t="str">
        <f t="shared" si="140"/>
        <v>CPOS212004</v>
      </c>
      <c r="D1161" s="95" t="s">
        <v>1228</v>
      </c>
      <c r="E1161" s="63" t="s">
        <v>81</v>
      </c>
      <c r="F1161" s="64">
        <v>20.399999999999999</v>
      </c>
    </row>
    <row r="1162" spans="1:6" ht="30" x14ac:dyDescent="0.25">
      <c r="A1162" s="62" t="s">
        <v>4398</v>
      </c>
      <c r="B1162" s="96">
        <v>212005</v>
      </c>
      <c r="C1162" s="96" t="str">
        <f t="shared" si="140"/>
        <v>CPOS212005</v>
      </c>
      <c r="D1162" s="95" t="s">
        <v>1229</v>
      </c>
      <c r="E1162" s="63" t="s">
        <v>81</v>
      </c>
      <c r="F1162" s="64">
        <v>38.19</v>
      </c>
    </row>
    <row r="1163" spans="1:6" x14ac:dyDescent="0.25">
      <c r="A1163" s="62" t="s">
        <v>4398</v>
      </c>
      <c r="B1163" s="96">
        <v>212006</v>
      </c>
      <c r="C1163" s="96" t="str">
        <f t="shared" si="140"/>
        <v>CPOS212006</v>
      </c>
      <c r="D1163" s="95" t="s">
        <v>1230</v>
      </c>
      <c r="E1163" s="63" t="s">
        <v>58</v>
      </c>
      <c r="F1163" s="64">
        <v>35.75</v>
      </c>
    </row>
    <row r="1164" spans="1:6" x14ac:dyDescent="0.25">
      <c r="A1164" s="62" t="s">
        <v>4398</v>
      </c>
      <c r="B1164" s="96">
        <v>212010</v>
      </c>
      <c r="C1164" s="96" t="str">
        <f t="shared" si="140"/>
        <v>CPOS212010</v>
      </c>
      <c r="D1164" s="95" t="s">
        <v>1231</v>
      </c>
      <c r="E1164" s="63" t="s">
        <v>110</v>
      </c>
      <c r="F1164" s="64">
        <v>6.21</v>
      </c>
    </row>
    <row r="1165" spans="1:6" x14ac:dyDescent="0.25">
      <c r="A1165" s="62" t="s">
        <v>4398</v>
      </c>
      <c r="B1165" s="96">
        <v>212031</v>
      </c>
      <c r="C1165" s="96" t="str">
        <f t="shared" si="140"/>
        <v>CPOS212031</v>
      </c>
      <c r="D1165" s="95" t="s">
        <v>1232</v>
      </c>
      <c r="E1165" s="63" t="s">
        <v>110</v>
      </c>
      <c r="F1165" s="64">
        <v>15</v>
      </c>
    </row>
    <row r="1166" spans="1:6" x14ac:dyDescent="0.25">
      <c r="A1166" s="62" t="s">
        <v>4398</v>
      </c>
      <c r="B1166" s="96">
        <v>212041</v>
      </c>
      <c r="C1166" s="96" t="str">
        <f t="shared" si="140"/>
        <v>CPOS212041</v>
      </c>
      <c r="D1166" s="95" t="s">
        <v>1233</v>
      </c>
      <c r="E1166" s="63" t="s">
        <v>110</v>
      </c>
      <c r="F1166" s="64">
        <v>19.989999999999998</v>
      </c>
    </row>
    <row r="1167" spans="1:6" x14ac:dyDescent="0.25">
      <c r="A1167" s="62" t="s">
        <v>4398</v>
      </c>
      <c r="B1167" s="96">
        <v>212046</v>
      </c>
      <c r="C1167" s="96" t="str">
        <f t="shared" si="140"/>
        <v>CPOS212046</v>
      </c>
      <c r="D1167" s="95" t="s">
        <v>1234</v>
      </c>
      <c r="E1167" s="63" t="s">
        <v>110</v>
      </c>
      <c r="F1167" s="64">
        <v>7.09</v>
      </c>
    </row>
    <row r="1168" spans="1:6" x14ac:dyDescent="0.25">
      <c r="D1168" s="94" t="s">
        <v>1235</v>
      </c>
    </row>
    <row r="1169" spans="1:6" x14ac:dyDescent="0.25">
      <c r="D1169" s="94" t="s">
        <v>1236</v>
      </c>
    </row>
    <row r="1170" spans="1:6" x14ac:dyDescent="0.25">
      <c r="A1170" s="62" t="s">
        <v>4398</v>
      </c>
      <c r="B1170" s="96">
        <v>220101</v>
      </c>
      <c r="C1170" s="96" t="str">
        <f t="shared" ref="C1170:C1175" si="141">A1170&amp;B1170</f>
        <v>CPOS220101</v>
      </c>
      <c r="D1170" s="95" t="s">
        <v>1237</v>
      </c>
      <c r="E1170" s="63" t="s">
        <v>81</v>
      </c>
      <c r="F1170" s="64">
        <v>30.89</v>
      </c>
    </row>
    <row r="1171" spans="1:6" x14ac:dyDescent="0.25">
      <c r="A1171" s="62" t="s">
        <v>4398</v>
      </c>
      <c r="B1171" s="96">
        <v>220102</v>
      </c>
      <c r="C1171" s="96" t="str">
        <f t="shared" si="141"/>
        <v>CPOS220102</v>
      </c>
      <c r="D1171" s="95" t="s">
        <v>1238</v>
      </c>
      <c r="E1171" s="63" t="s">
        <v>81</v>
      </c>
      <c r="F1171" s="64">
        <v>60.75</v>
      </c>
    </row>
    <row r="1172" spans="1:6" x14ac:dyDescent="0.25">
      <c r="A1172" s="62" t="s">
        <v>4398</v>
      </c>
      <c r="B1172" s="96">
        <v>220108</v>
      </c>
      <c r="C1172" s="96" t="str">
        <f t="shared" si="141"/>
        <v>CPOS220108</v>
      </c>
      <c r="D1172" s="95" t="s">
        <v>1239</v>
      </c>
      <c r="E1172" s="63" t="s">
        <v>81</v>
      </c>
      <c r="F1172" s="64">
        <v>86.460000000000008</v>
      </c>
    </row>
    <row r="1173" spans="1:6" x14ac:dyDescent="0.25">
      <c r="A1173" s="62" t="s">
        <v>4398</v>
      </c>
      <c r="B1173" s="96">
        <v>220121</v>
      </c>
      <c r="C1173" s="96" t="str">
        <f t="shared" si="141"/>
        <v>CPOS220121</v>
      </c>
      <c r="D1173" s="95" t="s">
        <v>1240</v>
      </c>
      <c r="E1173" s="63" t="s">
        <v>110</v>
      </c>
      <c r="F1173" s="64">
        <v>19.52</v>
      </c>
    </row>
    <row r="1174" spans="1:6" ht="30" x14ac:dyDescent="0.25">
      <c r="A1174" s="62" t="s">
        <v>4398</v>
      </c>
      <c r="B1174" s="96">
        <v>220122</v>
      </c>
      <c r="C1174" s="96" t="str">
        <f t="shared" si="141"/>
        <v>CPOS220122</v>
      </c>
      <c r="D1174" s="95" t="s">
        <v>1241</v>
      </c>
      <c r="E1174" s="63" t="s">
        <v>81</v>
      </c>
      <c r="F1174" s="64">
        <v>98.990000000000009</v>
      </c>
    </row>
    <row r="1175" spans="1:6" x14ac:dyDescent="0.25">
      <c r="A1175" s="62" t="s">
        <v>4398</v>
      </c>
      <c r="B1175" s="96">
        <v>220124</v>
      </c>
      <c r="C1175" s="96" t="str">
        <f t="shared" si="141"/>
        <v>CPOS220124</v>
      </c>
      <c r="D1175" s="95" t="s">
        <v>1242</v>
      </c>
      <c r="E1175" s="63" t="s">
        <v>81</v>
      </c>
      <c r="F1175" s="64">
        <v>68.349999999999994</v>
      </c>
    </row>
    <row r="1176" spans="1:6" x14ac:dyDescent="0.25">
      <c r="D1176" s="94" t="s">
        <v>1243</v>
      </c>
    </row>
    <row r="1177" spans="1:6" x14ac:dyDescent="0.25">
      <c r="A1177" s="62" t="s">
        <v>4398</v>
      </c>
      <c r="B1177" s="96">
        <v>220201</v>
      </c>
      <c r="C1177" s="96" t="str">
        <f t="shared" ref="C1177:C1180" si="142">A1177&amp;B1177</f>
        <v>CPOS220201</v>
      </c>
      <c r="D1177" s="95" t="s">
        <v>1244</v>
      </c>
      <c r="E1177" s="63" t="s">
        <v>81</v>
      </c>
      <c r="F1177" s="64">
        <v>52.99</v>
      </c>
    </row>
    <row r="1178" spans="1:6" x14ac:dyDescent="0.25">
      <c r="A1178" s="62" t="s">
        <v>4398</v>
      </c>
      <c r="B1178" s="96">
        <v>220203</v>
      </c>
      <c r="C1178" s="96" t="str">
        <f t="shared" si="142"/>
        <v>CPOS220203</v>
      </c>
      <c r="D1178" s="95" t="s">
        <v>1245</v>
      </c>
      <c r="E1178" s="63" t="s">
        <v>81</v>
      </c>
      <c r="F1178" s="64">
        <v>60.14</v>
      </c>
    </row>
    <row r="1179" spans="1:6" ht="30" x14ac:dyDescent="0.25">
      <c r="A1179" s="62" t="s">
        <v>4398</v>
      </c>
      <c r="B1179" s="96">
        <v>220210</v>
      </c>
      <c r="C1179" s="96" t="str">
        <f t="shared" si="142"/>
        <v>CPOS220210</v>
      </c>
      <c r="D1179" s="95" t="s">
        <v>1246</v>
      </c>
      <c r="E1179" s="63" t="s">
        <v>81</v>
      </c>
      <c r="F1179" s="64">
        <v>68.25</v>
      </c>
    </row>
    <row r="1180" spans="1:6" x14ac:dyDescent="0.25">
      <c r="A1180" s="62" t="s">
        <v>4398</v>
      </c>
      <c r="B1180" s="96">
        <v>220219</v>
      </c>
      <c r="C1180" s="96" t="str">
        <f t="shared" si="142"/>
        <v>CPOS220219</v>
      </c>
      <c r="D1180" s="95" t="s">
        <v>1247</v>
      </c>
      <c r="E1180" s="63" t="s">
        <v>81</v>
      </c>
      <c r="F1180" s="64">
        <v>81.599999999999994</v>
      </c>
    </row>
    <row r="1181" spans="1:6" x14ac:dyDescent="0.25">
      <c r="D1181" s="94" t="s">
        <v>1248</v>
      </c>
    </row>
    <row r="1182" spans="1:6" x14ac:dyDescent="0.25">
      <c r="A1182" s="62" t="s">
        <v>4398</v>
      </c>
      <c r="B1182" s="96">
        <v>220301</v>
      </c>
      <c r="C1182" s="96" t="str">
        <f t="shared" ref="C1182:C1188" si="143">A1182&amp;B1182</f>
        <v>CPOS220301</v>
      </c>
      <c r="D1182" s="95" t="s">
        <v>1249</v>
      </c>
      <c r="E1182" s="63" t="s">
        <v>81</v>
      </c>
      <c r="F1182" s="64">
        <v>43.300000000000004</v>
      </c>
    </row>
    <row r="1183" spans="1:6" x14ac:dyDescent="0.25">
      <c r="A1183" s="62" t="s">
        <v>4398</v>
      </c>
      <c r="B1183" s="96">
        <v>220302</v>
      </c>
      <c r="C1183" s="96" t="str">
        <f t="shared" si="143"/>
        <v>CPOS220302</v>
      </c>
      <c r="D1183" s="95" t="s">
        <v>1250</v>
      </c>
      <c r="E1183" s="63" t="s">
        <v>81</v>
      </c>
      <c r="F1183" s="64">
        <v>64.59</v>
      </c>
    </row>
    <row r="1184" spans="1:6" x14ac:dyDescent="0.25">
      <c r="A1184" s="62" t="s">
        <v>4398</v>
      </c>
      <c r="B1184" s="96">
        <v>220303</v>
      </c>
      <c r="C1184" s="96" t="str">
        <f t="shared" si="143"/>
        <v>CPOS220303</v>
      </c>
      <c r="D1184" s="95" t="s">
        <v>1251</v>
      </c>
      <c r="E1184" s="63" t="s">
        <v>81</v>
      </c>
      <c r="F1184" s="64">
        <v>75.77</v>
      </c>
    </row>
    <row r="1185" spans="1:6" x14ac:dyDescent="0.25">
      <c r="A1185" s="62" t="s">
        <v>4398</v>
      </c>
      <c r="B1185" s="96">
        <v>220304</v>
      </c>
      <c r="C1185" s="96" t="str">
        <f t="shared" si="143"/>
        <v>CPOS220304</v>
      </c>
      <c r="D1185" s="95" t="s">
        <v>1252</v>
      </c>
      <c r="E1185" s="63" t="s">
        <v>81</v>
      </c>
      <c r="F1185" s="64">
        <v>59.6</v>
      </c>
    </row>
    <row r="1186" spans="1:6" x14ac:dyDescent="0.25">
      <c r="A1186" s="62" t="s">
        <v>4398</v>
      </c>
      <c r="B1186" s="96">
        <v>220305</v>
      </c>
      <c r="C1186" s="96" t="str">
        <f t="shared" si="143"/>
        <v>CPOS220305</v>
      </c>
      <c r="D1186" s="95" t="s">
        <v>1253</v>
      </c>
      <c r="E1186" s="63" t="s">
        <v>81</v>
      </c>
      <c r="F1186" s="64">
        <v>60.88</v>
      </c>
    </row>
    <row r="1187" spans="1:6" x14ac:dyDescent="0.25">
      <c r="A1187" s="62" t="s">
        <v>4398</v>
      </c>
      <c r="B1187" s="96">
        <v>220307</v>
      </c>
      <c r="C1187" s="96" t="str">
        <f t="shared" si="143"/>
        <v>CPOS220307</v>
      </c>
      <c r="D1187" s="95" t="s">
        <v>1254</v>
      </c>
      <c r="E1187" s="63" t="s">
        <v>81</v>
      </c>
      <c r="F1187" s="64">
        <v>51.67</v>
      </c>
    </row>
    <row r="1188" spans="1:6" x14ac:dyDescent="0.25">
      <c r="A1188" s="62" t="s">
        <v>4398</v>
      </c>
      <c r="B1188" s="96">
        <v>220314</v>
      </c>
      <c r="C1188" s="96" t="str">
        <f t="shared" si="143"/>
        <v>CPOS220314</v>
      </c>
      <c r="D1188" s="95" t="s">
        <v>1255</v>
      </c>
      <c r="E1188" s="63" t="s">
        <v>81</v>
      </c>
      <c r="F1188" s="64">
        <v>75.81</v>
      </c>
    </row>
    <row r="1189" spans="1:6" x14ac:dyDescent="0.25">
      <c r="D1189" s="94" t="s">
        <v>1256</v>
      </c>
    </row>
    <row r="1190" spans="1:6" x14ac:dyDescent="0.25">
      <c r="A1190" s="62" t="s">
        <v>4398</v>
      </c>
      <c r="B1190" s="96">
        <v>220402</v>
      </c>
      <c r="C1190" s="96" t="str">
        <f>A1190&amp;B1190</f>
        <v>CPOS220402</v>
      </c>
      <c r="D1190" s="95" t="s">
        <v>1257</v>
      </c>
      <c r="E1190" s="63" t="s">
        <v>81</v>
      </c>
      <c r="F1190" s="64">
        <v>228.59</v>
      </c>
    </row>
    <row r="1191" spans="1:6" x14ac:dyDescent="0.25">
      <c r="D1191" s="94" t="s">
        <v>1258</v>
      </c>
    </row>
    <row r="1192" spans="1:6" ht="30" x14ac:dyDescent="0.25">
      <c r="A1192" s="62" t="s">
        <v>4398</v>
      </c>
      <c r="B1192" s="96">
        <v>220608</v>
      </c>
      <c r="C1192" s="96" t="str">
        <f t="shared" ref="C1192:C1195" si="144">A1192&amp;B1192</f>
        <v>CPOS220608</v>
      </c>
      <c r="D1192" s="95" t="s">
        <v>1259</v>
      </c>
      <c r="E1192" s="63" t="s">
        <v>81</v>
      </c>
      <c r="F1192" s="64">
        <v>196</v>
      </c>
    </row>
    <row r="1193" spans="1:6" ht="30" x14ac:dyDescent="0.25">
      <c r="A1193" s="62" t="s">
        <v>4398</v>
      </c>
      <c r="B1193" s="96">
        <v>220609</v>
      </c>
      <c r="C1193" s="96" t="str">
        <f t="shared" si="144"/>
        <v>CPOS220609</v>
      </c>
      <c r="D1193" s="95" t="s">
        <v>1260</v>
      </c>
      <c r="E1193" s="63" t="s">
        <v>81</v>
      </c>
      <c r="F1193" s="64">
        <v>657.88</v>
      </c>
    </row>
    <row r="1194" spans="1:6" x14ac:dyDescent="0.25">
      <c r="A1194" s="62" t="s">
        <v>4398</v>
      </c>
      <c r="B1194" s="96">
        <v>220613</v>
      </c>
      <c r="C1194" s="96" t="str">
        <f t="shared" si="144"/>
        <v>CPOS220613</v>
      </c>
      <c r="D1194" s="95" t="s">
        <v>1261</v>
      </c>
      <c r="E1194" s="63" t="s">
        <v>81</v>
      </c>
      <c r="F1194" s="64">
        <v>181.17000000000002</v>
      </c>
    </row>
    <row r="1195" spans="1:6" x14ac:dyDescent="0.25">
      <c r="A1195" s="62" t="s">
        <v>4398</v>
      </c>
      <c r="B1195" s="96">
        <v>220614</v>
      </c>
      <c r="C1195" s="96" t="str">
        <f t="shared" si="144"/>
        <v>CPOS220614</v>
      </c>
      <c r="D1195" s="95" t="s">
        <v>1262</v>
      </c>
      <c r="E1195" s="63" t="s">
        <v>81</v>
      </c>
      <c r="F1195" s="64">
        <v>211.15</v>
      </c>
    </row>
    <row r="1196" spans="1:6" x14ac:dyDescent="0.25">
      <c r="D1196" s="94" t="s">
        <v>693</v>
      </c>
    </row>
    <row r="1197" spans="1:6" x14ac:dyDescent="0.25">
      <c r="A1197" s="62" t="s">
        <v>4398</v>
      </c>
      <c r="B1197" s="96">
        <v>222001</v>
      </c>
      <c r="C1197" s="96" t="str">
        <f t="shared" ref="C1197:C1201" si="145">A1197&amp;B1197</f>
        <v>CPOS222001</v>
      </c>
      <c r="D1197" s="95" t="s">
        <v>1263</v>
      </c>
      <c r="E1197" s="63" t="s">
        <v>81</v>
      </c>
      <c r="F1197" s="64">
        <v>31.52</v>
      </c>
    </row>
    <row r="1198" spans="1:6" x14ac:dyDescent="0.25">
      <c r="A1198" s="62" t="s">
        <v>4398</v>
      </c>
      <c r="B1198" s="96">
        <v>222002</v>
      </c>
      <c r="C1198" s="96" t="str">
        <f t="shared" si="145"/>
        <v>CPOS222002</v>
      </c>
      <c r="D1198" s="95" t="s">
        <v>1264</v>
      </c>
      <c r="E1198" s="63" t="s">
        <v>81</v>
      </c>
      <c r="F1198" s="64">
        <v>7.72</v>
      </c>
    </row>
    <row r="1199" spans="1:6" x14ac:dyDescent="0.25">
      <c r="A1199" s="62" t="s">
        <v>4398</v>
      </c>
      <c r="B1199" s="96">
        <v>222004</v>
      </c>
      <c r="C1199" s="96" t="str">
        <f t="shared" si="145"/>
        <v>CPOS222004</v>
      </c>
      <c r="D1199" s="95" t="s">
        <v>1265</v>
      </c>
      <c r="E1199" s="63" t="s">
        <v>81</v>
      </c>
      <c r="F1199" s="64">
        <v>3.66</v>
      </c>
    </row>
    <row r="1200" spans="1:6" x14ac:dyDescent="0.25">
      <c r="A1200" s="62" t="s">
        <v>4398</v>
      </c>
      <c r="B1200" s="96">
        <v>222005</v>
      </c>
      <c r="C1200" s="96" t="str">
        <f t="shared" si="145"/>
        <v>CPOS222005</v>
      </c>
      <c r="D1200" s="95" t="s">
        <v>1266</v>
      </c>
      <c r="E1200" s="63" t="s">
        <v>110</v>
      </c>
      <c r="F1200" s="64">
        <v>12.08</v>
      </c>
    </row>
    <row r="1201" spans="1:6" x14ac:dyDescent="0.25">
      <c r="A1201" s="62" t="s">
        <v>4398</v>
      </c>
      <c r="B1201" s="96">
        <v>222009</v>
      </c>
      <c r="C1201" s="96" t="str">
        <f t="shared" si="145"/>
        <v>CPOS222009</v>
      </c>
      <c r="D1201" s="95" t="s">
        <v>1267</v>
      </c>
      <c r="E1201" s="63" t="s">
        <v>58</v>
      </c>
      <c r="F1201" s="64">
        <v>10.38</v>
      </c>
    </row>
    <row r="1202" spans="1:6" x14ac:dyDescent="0.25">
      <c r="D1202" s="94" t="s">
        <v>1268</v>
      </c>
    </row>
    <row r="1203" spans="1:6" x14ac:dyDescent="0.25">
      <c r="D1203" s="94" t="s">
        <v>1269</v>
      </c>
    </row>
    <row r="1204" spans="1:6" x14ac:dyDescent="0.25">
      <c r="A1204" s="62" t="s">
        <v>4398</v>
      </c>
      <c r="B1204" s="96">
        <v>230103</v>
      </c>
      <c r="C1204" s="96" t="str">
        <f t="shared" ref="C1204:C1207" si="146">A1204&amp;B1204</f>
        <v>CPOS230103</v>
      </c>
      <c r="D1204" s="95" t="s">
        <v>1270</v>
      </c>
      <c r="E1204" s="63" t="s">
        <v>81</v>
      </c>
      <c r="F1204" s="64">
        <v>464.61</v>
      </c>
    </row>
    <row r="1205" spans="1:6" x14ac:dyDescent="0.25">
      <c r="A1205" s="62" t="s">
        <v>4398</v>
      </c>
      <c r="B1205" s="96">
        <v>230104</v>
      </c>
      <c r="C1205" s="96" t="str">
        <f t="shared" si="146"/>
        <v>CPOS230104</v>
      </c>
      <c r="D1205" s="95" t="s">
        <v>1271</v>
      </c>
      <c r="E1205" s="63" t="s">
        <v>81</v>
      </c>
      <c r="F1205" s="64">
        <v>522.84</v>
      </c>
    </row>
    <row r="1206" spans="1:6" x14ac:dyDescent="0.25">
      <c r="A1206" s="62" t="s">
        <v>4398</v>
      </c>
      <c r="B1206" s="96">
        <v>230105</v>
      </c>
      <c r="C1206" s="96" t="str">
        <f t="shared" si="146"/>
        <v>CPOS230105</v>
      </c>
      <c r="D1206" s="95" t="s">
        <v>1272</v>
      </c>
      <c r="E1206" s="63" t="s">
        <v>81</v>
      </c>
      <c r="F1206" s="64">
        <v>343.04</v>
      </c>
    </row>
    <row r="1207" spans="1:6" x14ac:dyDescent="0.25">
      <c r="A1207" s="62" t="s">
        <v>4398</v>
      </c>
      <c r="B1207" s="96">
        <v>230106</v>
      </c>
      <c r="C1207" s="96" t="str">
        <f t="shared" si="146"/>
        <v>CPOS230106</v>
      </c>
      <c r="D1207" s="95" t="s">
        <v>1273</v>
      </c>
      <c r="E1207" s="63" t="s">
        <v>81</v>
      </c>
      <c r="F1207" s="64">
        <v>378.23</v>
      </c>
    </row>
    <row r="1208" spans="1:6" x14ac:dyDescent="0.25">
      <c r="D1208" s="94" t="s">
        <v>1274</v>
      </c>
    </row>
    <row r="1209" spans="1:6" x14ac:dyDescent="0.25">
      <c r="A1209" s="62" t="s">
        <v>4398</v>
      </c>
      <c r="B1209" s="96">
        <v>230201</v>
      </c>
      <c r="C1209" s="96" t="str">
        <f t="shared" ref="C1209:C1218" si="147">A1209&amp;B1209</f>
        <v>CPOS230201</v>
      </c>
      <c r="D1209" s="95" t="s">
        <v>1275</v>
      </c>
      <c r="E1209" s="63" t="s">
        <v>81</v>
      </c>
      <c r="F1209" s="64">
        <v>365.78000000000003</v>
      </c>
    </row>
    <row r="1210" spans="1:6" x14ac:dyDescent="0.25">
      <c r="A1210" s="62" t="s">
        <v>4398</v>
      </c>
      <c r="B1210" s="96">
        <v>230203</v>
      </c>
      <c r="C1210" s="96" t="str">
        <f t="shared" si="147"/>
        <v>CPOS230203</v>
      </c>
      <c r="D1210" s="95" t="s">
        <v>1276</v>
      </c>
      <c r="E1210" s="63" t="s">
        <v>58</v>
      </c>
      <c r="F1210" s="64">
        <v>634.41999999999996</v>
      </c>
    </row>
    <row r="1211" spans="1:6" x14ac:dyDescent="0.25">
      <c r="A1211" s="62" t="s">
        <v>4398</v>
      </c>
      <c r="B1211" s="96">
        <v>230204</v>
      </c>
      <c r="C1211" s="96" t="str">
        <f t="shared" si="147"/>
        <v>CPOS230204</v>
      </c>
      <c r="D1211" s="95" t="s">
        <v>1277</v>
      </c>
      <c r="E1211" s="63" t="s">
        <v>58</v>
      </c>
      <c r="F1211" s="64">
        <v>634.41999999999996</v>
      </c>
    </row>
    <row r="1212" spans="1:6" x14ac:dyDescent="0.25">
      <c r="A1212" s="62" t="s">
        <v>4398</v>
      </c>
      <c r="B1212" s="96">
        <v>230205</v>
      </c>
      <c r="C1212" s="96" t="str">
        <f t="shared" si="147"/>
        <v>CPOS230205</v>
      </c>
      <c r="D1212" s="95" t="s">
        <v>1278</v>
      </c>
      <c r="E1212" s="63" t="s">
        <v>58</v>
      </c>
      <c r="F1212" s="64">
        <v>668.80000000000007</v>
      </c>
    </row>
    <row r="1213" spans="1:6" x14ac:dyDescent="0.25">
      <c r="A1213" s="62" t="s">
        <v>4398</v>
      </c>
      <c r="B1213" s="96">
        <v>230206</v>
      </c>
      <c r="C1213" s="96" t="str">
        <f t="shared" si="147"/>
        <v>CPOS230206</v>
      </c>
      <c r="D1213" s="95" t="s">
        <v>1279</v>
      </c>
      <c r="E1213" s="63" t="s">
        <v>58</v>
      </c>
      <c r="F1213" s="64">
        <v>1311.65</v>
      </c>
    </row>
    <row r="1214" spans="1:6" x14ac:dyDescent="0.25">
      <c r="A1214" s="62" t="s">
        <v>4398</v>
      </c>
      <c r="B1214" s="96">
        <v>230250</v>
      </c>
      <c r="C1214" s="96" t="str">
        <f t="shared" si="147"/>
        <v>CPOS230250</v>
      </c>
      <c r="D1214" s="95" t="s">
        <v>1280</v>
      </c>
      <c r="E1214" s="63" t="s">
        <v>81</v>
      </c>
      <c r="F1214" s="64">
        <v>458.24</v>
      </c>
    </row>
    <row r="1215" spans="1:6" x14ac:dyDescent="0.25">
      <c r="A1215" s="62" t="s">
        <v>4398</v>
      </c>
      <c r="B1215" s="96">
        <v>230252</v>
      </c>
      <c r="C1215" s="96" t="str">
        <f t="shared" si="147"/>
        <v>CPOS230252</v>
      </c>
      <c r="D1215" s="95" t="s">
        <v>1281</v>
      </c>
      <c r="E1215" s="63" t="s">
        <v>58</v>
      </c>
      <c r="F1215" s="64">
        <v>861.94</v>
      </c>
    </row>
    <row r="1216" spans="1:6" x14ac:dyDescent="0.25">
      <c r="A1216" s="62" t="s">
        <v>4398</v>
      </c>
      <c r="B1216" s="96">
        <v>230253</v>
      </c>
      <c r="C1216" s="96" t="str">
        <f t="shared" si="147"/>
        <v>CPOS230253</v>
      </c>
      <c r="D1216" s="95" t="s">
        <v>1282</v>
      </c>
      <c r="E1216" s="63" t="s">
        <v>58</v>
      </c>
      <c r="F1216" s="64">
        <v>869.28</v>
      </c>
    </row>
    <row r="1217" spans="1:6" x14ac:dyDescent="0.25">
      <c r="A1217" s="62" t="s">
        <v>4398</v>
      </c>
      <c r="B1217" s="96">
        <v>230254</v>
      </c>
      <c r="C1217" s="96" t="str">
        <f t="shared" si="147"/>
        <v>CPOS230254</v>
      </c>
      <c r="D1217" s="95" t="s">
        <v>1283</v>
      </c>
      <c r="E1217" s="63" t="s">
        <v>58</v>
      </c>
      <c r="F1217" s="64">
        <v>911</v>
      </c>
    </row>
    <row r="1218" spans="1:6" x14ac:dyDescent="0.25">
      <c r="A1218" s="62" t="s">
        <v>4398</v>
      </c>
      <c r="B1218" s="96">
        <v>230255</v>
      </c>
      <c r="C1218" s="96" t="str">
        <f t="shared" si="147"/>
        <v>CPOS230255</v>
      </c>
      <c r="D1218" s="95" t="s">
        <v>1284</v>
      </c>
      <c r="E1218" s="63" t="s">
        <v>58</v>
      </c>
      <c r="F1218" s="64">
        <v>1490.95</v>
      </c>
    </row>
    <row r="1219" spans="1:6" x14ac:dyDescent="0.25">
      <c r="D1219" s="94" t="s">
        <v>1285</v>
      </c>
    </row>
    <row r="1220" spans="1:6" ht="30" x14ac:dyDescent="0.25">
      <c r="A1220" s="62" t="s">
        <v>4398</v>
      </c>
      <c r="B1220" s="96">
        <v>230401</v>
      </c>
      <c r="C1220" s="96" t="str">
        <f t="shared" ref="C1220:C1236" si="148">A1220&amp;B1220</f>
        <v>CPOS230401</v>
      </c>
      <c r="D1220" s="95" t="s">
        <v>1286</v>
      </c>
      <c r="E1220" s="63" t="s">
        <v>81</v>
      </c>
      <c r="F1220" s="64">
        <v>425.94</v>
      </c>
    </row>
    <row r="1221" spans="1:6" x14ac:dyDescent="0.25">
      <c r="A1221" s="62" t="s">
        <v>4398</v>
      </c>
      <c r="B1221" s="96">
        <v>230407</v>
      </c>
      <c r="C1221" s="96" t="str">
        <f t="shared" si="148"/>
        <v>CPOS230407</v>
      </c>
      <c r="D1221" s="95" t="s">
        <v>1287</v>
      </c>
      <c r="E1221" s="63" t="s">
        <v>58</v>
      </c>
      <c r="F1221" s="64">
        <v>746.24</v>
      </c>
    </row>
    <row r="1222" spans="1:6" x14ac:dyDescent="0.25">
      <c r="A1222" s="62" t="s">
        <v>4398</v>
      </c>
      <c r="B1222" s="96">
        <v>230408</v>
      </c>
      <c r="C1222" s="96" t="str">
        <f t="shared" si="148"/>
        <v>CPOS230408</v>
      </c>
      <c r="D1222" s="95" t="s">
        <v>1288</v>
      </c>
      <c r="E1222" s="63" t="s">
        <v>58</v>
      </c>
      <c r="F1222" s="64">
        <v>661.76</v>
      </c>
    </row>
    <row r="1223" spans="1:6" ht="30" x14ac:dyDescent="0.25">
      <c r="A1223" s="62" t="s">
        <v>4398</v>
      </c>
      <c r="B1223" s="96">
        <v>230409</v>
      </c>
      <c r="C1223" s="96" t="str">
        <f t="shared" si="148"/>
        <v>CPOS230409</v>
      </c>
      <c r="D1223" s="95" t="s">
        <v>1289</v>
      </c>
      <c r="E1223" s="63" t="s">
        <v>58</v>
      </c>
      <c r="F1223" s="64">
        <v>780.37</v>
      </c>
    </row>
    <row r="1224" spans="1:6" ht="30" x14ac:dyDescent="0.25">
      <c r="A1224" s="62" t="s">
        <v>4398</v>
      </c>
      <c r="B1224" s="96">
        <v>230410</v>
      </c>
      <c r="C1224" s="96" t="str">
        <f t="shared" si="148"/>
        <v>CPOS230410</v>
      </c>
      <c r="D1224" s="95" t="s">
        <v>1290</v>
      </c>
      <c r="E1224" s="63" t="s">
        <v>58</v>
      </c>
      <c r="F1224" s="64">
        <v>821.7</v>
      </c>
    </row>
    <row r="1225" spans="1:6" ht="30" x14ac:dyDescent="0.25">
      <c r="A1225" s="62" t="s">
        <v>4398</v>
      </c>
      <c r="B1225" s="96">
        <v>230411</v>
      </c>
      <c r="C1225" s="96" t="str">
        <f t="shared" si="148"/>
        <v>CPOS230411</v>
      </c>
      <c r="D1225" s="95" t="s">
        <v>1291</v>
      </c>
      <c r="E1225" s="63" t="s">
        <v>58</v>
      </c>
      <c r="F1225" s="64">
        <v>855.08</v>
      </c>
    </row>
    <row r="1226" spans="1:6" ht="30" x14ac:dyDescent="0.25">
      <c r="A1226" s="62" t="s">
        <v>4398</v>
      </c>
      <c r="B1226" s="96">
        <v>230412</v>
      </c>
      <c r="C1226" s="96" t="str">
        <f t="shared" si="148"/>
        <v>CPOS230412</v>
      </c>
      <c r="D1226" s="95" t="s">
        <v>1292</v>
      </c>
      <c r="E1226" s="63" t="s">
        <v>58</v>
      </c>
      <c r="F1226" s="64">
        <v>1389.19</v>
      </c>
    </row>
    <row r="1227" spans="1:6" ht="30" x14ac:dyDescent="0.25">
      <c r="A1227" s="62" t="s">
        <v>4398</v>
      </c>
      <c r="B1227" s="96">
        <v>230413</v>
      </c>
      <c r="C1227" s="96" t="str">
        <f t="shared" si="148"/>
        <v>CPOS230413</v>
      </c>
      <c r="D1227" s="95" t="s">
        <v>1293</v>
      </c>
      <c r="E1227" s="63" t="s">
        <v>58</v>
      </c>
      <c r="F1227" s="64">
        <v>1453.13</v>
      </c>
    </row>
    <row r="1228" spans="1:6" ht="30" x14ac:dyDescent="0.25">
      <c r="A1228" s="62" t="s">
        <v>4398</v>
      </c>
      <c r="B1228" s="96">
        <v>230414</v>
      </c>
      <c r="C1228" s="96" t="str">
        <f t="shared" si="148"/>
        <v>CPOS230414</v>
      </c>
      <c r="D1228" s="95" t="s">
        <v>1294</v>
      </c>
      <c r="E1228" s="63" t="s">
        <v>58</v>
      </c>
      <c r="F1228" s="64">
        <v>2448.41</v>
      </c>
    </row>
    <row r="1229" spans="1:6" ht="30" x14ac:dyDescent="0.25">
      <c r="A1229" s="62" t="s">
        <v>4398</v>
      </c>
      <c r="B1229" s="96">
        <v>230450</v>
      </c>
      <c r="C1229" s="96" t="str">
        <f t="shared" si="148"/>
        <v>CPOS230450</v>
      </c>
      <c r="D1229" s="95" t="s">
        <v>1295</v>
      </c>
      <c r="E1229" s="63" t="s">
        <v>81</v>
      </c>
      <c r="F1229" s="64">
        <v>518.4</v>
      </c>
    </row>
    <row r="1230" spans="1:6" ht="30" x14ac:dyDescent="0.25">
      <c r="A1230" s="62" t="s">
        <v>4398</v>
      </c>
      <c r="B1230" s="96">
        <v>230457</v>
      </c>
      <c r="C1230" s="96" t="str">
        <f t="shared" si="148"/>
        <v>CPOS230457</v>
      </c>
      <c r="D1230" s="95" t="s">
        <v>1296</v>
      </c>
      <c r="E1230" s="63" t="s">
        <v>58</v>
      </c>
      <c r="F1230" s="64">
        <v>929.53</v>
      </c>
    </row>
    <row r="1231" spans="1:6" ht="30" x14ac:dyDescent="0.25">
      <c r="A1231" s="62" t="s">
        <v>4398</v>
      </c>
      <c r="B1231" s="96">
        <v>230458</v>
      </c>
      <c r="C1231" s="96" t="str">
        <f t="shared" si="148"/>
        <v>CPOS230458</v>
      </c>
      <c r="D1231" s="95" t="s">
        <v>1297</v>
      </c>
      <c r="E1231" s="63" t="s">
        <v>58</v>
      </c>
      <c r="F1231" s="64">
        <v>967.06000000000006</v>
      </c>
    </row>
    <row r="1232" spans="1:6" ht="30" x14ac:dyDescent="0.25">
      <c r="A1232" s="62" t="s">
        <v>4398</v>
      </c>
      <c r="B1232" s="96">
        <v>230459</v>
      </c>
      <c r="C1232" s="96" t="str">
        <f t="shared" si="148"/>
        <v>CPOS230459</v>
      </c>
      <c r="D1232" s="95" t="s">
        <v>1298</v>
      </c>
      <c r="E1232" s="63" t="s">
        <v>58</v>
      </c>
      <c r="F1232" s="64">
        <v>1007.89</v>
      </c>
    </row>
    <row r="1233" spans="1:6" ht="30" x14ac:dyDescent="0.25">
      <c r="A1233" s="62" t="s">
        <v>4398</v>
      </c>
      <c r="B1233" s="96">
        <v>230460</v>
      </c>
      <c r="C1233" s="96" t="str">
        <f t="shared" si="148"/>
        <v>CPOS230460</v>
      </c>
      <c r="D1233" s="95" t="s">
        <v>1299</v>
      </c>
      <c r="E1233" s="63" t="s">
        <v>58</v>
      </c>
      <c r="F1233" s="64">
        <v>1063.9000000000001</v>
      </c>
    </row>
    <row r="1234" spans="1:6" ht="30" x14ac:dyDescent="0.25">
      <c r="A1234" s="62" t="s">
        <v>4398</v>
      </c>
      <c r="B1234" s="96">
        <v>230461</v>
      </c>
      <c r="C1234" s="96" t="str">
        <f t="shared" si="148"/>
        <v>CPOS230461</v>
      </c>
      <c r="D1234" s="95" t="s">
        <v>1300</v>
      </c>
      <c r="E1234" s="63" t="s">
        <v>58</v>
      </c>
      <c r="F1234" s="64">
        <v>1097.28</v>
      </c>
    </row>
    <row r="1235" spans="1:6" ht="30" x14ac:dyDescent="0.25">
      <c r="A1235" s="62" t="s">
        <v>4398</v>
      </c>
      <c r="B1235" s="96">
        <v>230462</v>
      </c>
      <c r="C1235" s="96" t="str">
        <f t="shared" si="148"/>
        <v>CPOS230462</v>
      </c>
      <c r="D1235" s="95" t="s">
        <v>1301</v>
      </c>
      <c r="E1235" s="63" t="s">
        <v>58</v>
      </c>
      <c r="F1235" s="64">
        <v>1568.49</v>
      </c>
    </row>
    <row r="1236" spans="1:6" ht="30" x14ac:dyDescent="0.25">
      <c r="A1236" s="62" t="s">
        <v>4398</v>
      </c>
      <c r="B1236" s="96">
        <v>230463</v>
      </c>
      <c r="C1236" s="96" t="str">
        <f t="shared" si="148"/>
        <v>CPOS230463</v>
      </c>
      <c r="D1236" s="95" t="s">
        <v>1302</v>
      </c>
      <c r="E1236" s="63" t="s">
        <v>58</v>
      </c>
      <c r="F1236" s="64">
        <v>451.57</v>
      </c>
    </row>
    <row r="1237" spans="1:6" x14ac:dyDescent="0.25">
      <c r="D1237" s="94" t="s">
        <v>1303</v>
      </c>
    </row>
    <row r="1238" spans="1:6" x14ac:dyDescent="0.25">
      <c r="A1238" s="62" t="s">
        <v>4398</v>
      </c>
      <c r="B1238" s="96">
        <v>230801</v>
      </c>
      <c r="C1238" s="96" t="str">
        <f t="shared" ref="C1238:C1256" si="149">A1238&amp;B1238</f>
        <v>CPOS230801</v>
      </c>
      <c r="D1238" s="95" t="s">
        <v>1304</v>
      </c>
      <c r="E1238" s="63" t="s">
        <v>81</v>
      </c>
      <c r="F1238" s="64">
        <v>80.12</v>
      </c>
    </row>
    <row r="1239" spans="1:6" x14ac:dyDescent="0.25">
      <c r="A1239" s="62" t="s">
        <v>4398</v>
      </c>
      <c r="B1239" s="96">
        <v>230802</v>
      </c>
      <c r="C1239" s="96" t="str">
        <f t="shared" si="149"/>
        <v>CPOS230802</v>
      </c>
      <c r="D1239" s="95" t="s">
        <v>1305</v>
      </c>
      <c r="E1239" s="63" t="s">
        <v>110</v>
      </c>
      <c r="F1239" s="64">
        <v>29.72</v>
      </c>
    </row>
    <row r="1240" spans="1:6" ht="30" x14ac:dyDescent="0.25">
      <c r="A1240" s="62" t="s">
        <v>4398</v>
      </c>
      <c r="B1240" s="96">
        <v>230803</v>
      </c>
      <c r="C1240" s="96" t="str">
        <f t="shared" si="149"/>
        <v>CPOS230803</v>
      </c>
      <c r="D1240" s="95" t="s">
        <v>1306</v>
      </c>
      <c r="E1240" s="63" t="s">
        <v>110</v>
      </c>
      <c r="F1240" s="64">
        <v>89.93</v>
      </c>
    </row>
    <row r="1241" spans="1:6" ht="30" x14ac:dyDescent="0.25">
      <c r="A1241" s="62" t="s">
        <v>4398</v>
      </c>
      <c r="B1241" s="96">
        <v>230804</v>
      </c>
      <c r="C1241" s="96" t="str">
        <f t="shared" si="149"/>
        <v>CPOS230804</v>
      </c>
      <c r="D1241" s="95" t="s">
        <v>1307</v>
      </c>
      <c r="E1241" s="63" t="s">
        <v>81</v>
      </c>
      <c r="F1241" s="64">
        <v>1346.46</v>
      </c>
    </row>
    <row r="1242" spans="1:6" ht="30" x14ac:dyDescent="0.25">
      <c r="A1242" s="62" t="s">
        <v>4398</v>
      </c>
      <c r="B1242" s="96">
        <v>230806</v>
      </c>
      <c r="C1242" s="96" t="str">
        <f t="shared" si="149"/>
        <v>CPOS230806</v>
      </c>
      <c r="D1242" s="95" t="s">
        <v>1308</v>
      </c>
      <c r="E1242" s="63" t="s">
        <v>81</v>
      </c>
      <c r="F1242" s="64">
        <v>713.07</v>
      </c>
    </row>
    <row r="1243" spans="1:6" ht="30" x14ac:dyDescent="0.25">
      <c r="A1243" s="62" t="s">
        <v>4398</v>
      </c>
      <c r="B1243" s="96">
        <v>230808</v>
      </c>
      <c r="C1243" s="96" t="str">
        <f t="shared" si="149"/>
        <v>CPOS230808</v>
      </c>
      <c r="D1243" s="95" t="s">
        <v>1309</v>
      </c>
      <c r="E1243" s="63" t="s">
        <v>81</v>
      </c>
      <c r="F1243" s="64">
        <v>408.14</v>
      </c>
    </row>
    <row r="1244" spans="1:6" ht="30" x14ac:dyDescent="0.25">
      <c r="A1244" s="62" t="s">
        <v>4398</v>
      </c>
      <c r="B1244" s="96">
        <v>230810</v>
      </c>
      <c r="C1244" s="96" t="str">
        <f t="shared" si="149"/>
        <v>CPOS230810</v>
      </c>
      <c r="D1244" s="95" t="s">
        <v>1310</v>
      </c>
      <c r="E1244" s="63" t="s">
        <v>81</v>
      </c>
      <c r="F1244" s="64">
        <v>969.45</v>
      </c>
    </row>
    <row r="1245" spans="1:6" x14ac:dyDescent="0.25">
      <c r="A1245" s="62" t="s">
        <v>4398</v>
      </c>
      <c r="B1245" s="96">
        <v>230811</v>
      </c>
      <c r="C1245" s="96" t="str">
        <f t="shared" si="149"/>
        <v>CPOS230811</v>
      </c>
      <c r="D1245" s="95" t="s">
        <v>1311</v>
      </c>
      <c r="E1245" s="63" t="s">
        <v>81</v>
      </c>
      <c r="F1245" s="64">
        <v>101.87</v>
      </c>
    </row>
    <row r="1246" spans="1:6" ht="30" x14ac:dyDescent="0.25">
      <c r="A1246" s="62" t="s">
        <v>4398</v>
      </c>
      <c r="B1246" s="96">
        <v>230813</v>
      </c>
      <c r="C1246" s="96" t="str">
        <f t="shared" si="149"/>
        <v>CPOS230813</v>
      </c>
      <c r="D1246" s="95" t="s">
        <v>1312</v>
      </c>
      <c r="E1246" s="63" t="s">
        <v>58</v>
      </c>
      <c r="F1246" s="64">
        <v>960.34</v>
      </c>
    </row>
    <row r="1247" spans="1:6" x14ac:dyDescent="0.25">
      <c r="A1247" s="62" t="s">
        <v>4398</v>
      </c>
      <c r="B1247" s="96">
        <v>230816</v>
      </c>
      <c r="C1247" s="96" t="str">
        <f t="shared" si="149"/>
        <v>CPOS230816</v>
      </c>
      <c r="D1247" s="95" t="s">
        <v>1313</v>
      </c>
      <c r="E1247" s="63" t="s">
        <v>117</v>
      </c>
      <c r="F1247" s="64">
        <v>572.52</v>
      </c>
    </row>
    <row r="1248" spans="1:6" x14ac:dyDescent="0.25">
      <c r="A1248" s="62" t="s">
        <v>4398</v>
      </c>
      <c r="B1248" s="96">
        <v>230817</v>
      </c>
      <c r="C1248" s="96" t="str">
        <f t="shared" si="149"/>
        <v>CPOS230817</v>
      </c>
      <c r="D1248" s="95" t="s">
        <v>1314</v>
      </c>
      <c r="E1248" s="63" t="s">
        <v>81</v>
      </c>
      <c r="F1248" s="64">
        <v>147.41</v>
      </c>
    </row>
    <row r="1249" spans="1:6" ht="30" x14ac:dyDescent="0.25">
      <c r="A1249" s="62" t="s">
        <v>4398</v>
      </c>
      <c r="B1249" s="96">
        <v>230821</v>
      </c>
      <c r="C1249" s="96" t="str">
        <f t="shared" si="149"/>
        <v>CPOS230821</v>
      </c>
      <c r="D1249" s="95" t="s">
        <v>1315</v>
      </c>
      <c r="E1249" s="63" t="s">
        <v>81</v>
      </c>
      <c r="F1249" s="64">
        <v>1213.44</v>
      </c>
    </row>
    <row r="1250" spans="1:6" ht="30" x14ac:dyDescent="0.25">
      <c r="A1250" s="62" t="s">
        <v>4398</v>
      </c>
      <c r="B1250" s="96">
        <v>230822</v>
      </c>
      <c r="C1250" s="96" t="str">
        <f t="shared" si="149"/>
        <v>CPOS230822</v>
      </c>
      <c r="D1250" s="95" t="s">
        <v>1316</v>
      </c>
      <c r="E1250" s="63" t="s">
        <v>81</v>
      </c>
      <c r="F1250" s="64">
        <v>1217.29</v>
      </c>
    </row>
    <row r="1251" spans="1:6" ht="30" x14ac:dyDescent="0.25">
      <c r="A1251" s="62" t="s">
        <v>4398</v>
      </c>
      <c r="B1251" s="96">
        <v>230823</v>
      </c>
      <c r="C1251" s="96" t="str">
        <f t="shared" si="149"/>
        <v>CPOS230823</v>
      </c>
      <c r="D1251" s="95" t="s">
        <v>1317</v>
      </c>
      <c r="E1251" s="63" t="s">
        <v>58</v>
      </c>
      <c r="F1251" s="64">
        <v>484.90000000000003</v>
      </c>
    </row>
    <row r="1252" spans="1:6" x14ac:dyDescent="0.25">
      <c r="A1252" s="62" t="s">
        <v>4398</v>
      </c>
      <c r="B1252" s="96">
        <v>230824</v>
      </c>
      <c r="C1252" s="96" t="str">
        <f t="shared" si="149"/>
        <v>CPOS230824</v>
      </c>
      <c r="D1252" s="95" t="s">
        <v>1318</v>
      </c>
      <c r="E1252" s="63" t="s">
        <v>81</v>
      </c>
      <c r="F1252" s="64">
        <v>585.58000000000004</v>
      </c>
    </row>
    <row r="1253" spans="1:6" x14ac:dyDescent="0.25">
      <c r="A1253" s="62" t="s">
        <v>4398</v>
      </c>
      <c r="B1253" s="96">
        <v>230825</v>
      </c>
      <c r="C1253" s="96" t="str">
        <f t="shared" si="149"/>
        <v>CPOS230825</v>
      </c>
      <c r="D1253" s="95" t="s">
        <v>1319</v>
      </c>
      <c r="E1253" s="63" t="s">
        <v>81</v>
      </c>
      <c r="F1253" s="64">
        <v>637.91999999999996</v>
      </c>
    </row>
    <row r="1254" spans="1:6" x14ac:dyDescent="0.25">
      <c r="A1254" s="62" t="s">
        <v>4398</v>
      </c>
      <c r="B1254" s="96">
        <v>230832</v>
      </c>
      <c r="C1254" s="96" t="str">
        <f t="shared" si="149"/>
        <v>CPOS230832</v>
      </c>
      <c r="D1254" s="95" t="s">
        <v>1320</v>
      </c>
      <c r="E1254" s="63" t="s">
        <v>81</v>
      </c>
      <c r="F1254" s="64">
        <v>280.63</v>
      </c>
    </row>
    <row r="1255" spans="1:6" x14ac:dyDescent="0.25">
      <c r="A1255" s="62" t="s">
        <v>4398</v>
      </c>
      <c r="B1255" s="96">
        <v>230834</v>
      </c>
      <c r="C1255" s="96" t="str">
        <f t="shared" si="149"/>
        <v>CPOS230834</v>
      </c>
      <c r="D1255" s="95" t="s">
        <v>1321</v>
      </c>
      <c r="E1255" s="63" t="s">
        <v>81</v>
      </c>
      <c r="F1255" s="64">
        <v>393.29</v>
      </c>
    </row>
    <row r="1256" spans="1:6" ht="30" x14ac:dyDescent="0.25">
      <c r="A1256" s="62" t="s">
        <v>4398</v>
      </c>
      <c r="B1256" s="96">
        <v>230838</v>
      </c>
      <c r="C1256" s="96" t="str">
        <f t="shared" si="149"/>
        <v>CPOS230838</v>
      </c>
      <c r="D1256" s="95" t="s">
        <v>1322</v>
      </c>
      <c r="E1256" s="63" t="s">
        <v>110</v>
      </c>
      <c r="F1256" s="64">
        <v>61.76</v>
      </c>
    </row>
    <row r="1257" spans="1:6" x14ac:dyDescent="0.25">
      <c r="D1257" s="94" t="s">
        <v>1323</v>
      </c>
    </row>
    <row r="1258" spans="1:6" x14ac:dyDescent="0.25">
      <c r="A1258" s="62" t="s">
        <v>4398</v>
      </c>
      <c r="B1258" s="96">
        <v>230901</v>
      </c>
      <c r="C1258" s="96" t="str">
        <f t="shared" ref="C1258:C1281" si="150">A1258&amp;B1258</f>
        <v>CPOS230901</v>
      </c>
      <c r="D1258" s="95" t="s">
        <v>1324</v>
      </c>
      <c r="E1258" s="63" t="s">
        <v>81</v>
      </c>
      <c r="F1258" s="64">
        <v>157.99</v>
      </c>
    </row>
    <row r="1259" spans="1:6" x14ac:dyDescent="0.25">
      <c r="A1259" s="62" t="s">
        <v>4398</v>
      </c>
      <c r="B1259" s="96">
        <v>230902</v>
      </c>
      <c r="C1259" s="96" t="str">
        <f t="shared" si="150"/>
        <v>CPOS230902</v>
      </c>
      <c r="D1259" s="95" t="s">
        <v>1325</v>
      </c>
      <c r="E1259" s="63" t="s">
        <v>58</v>
      </c>
      <c r="F1259" s="64">
        <v>315.23</v>
      </c>
    </row>
    <row r="1260" spans="1:6" x14ac:dyDescent="0.25">
      <c r="A1260" s="62" t="s">
        <v>4398</v>
      </c>
      <c r="B1260" s="96">
        <v>230903</v>
      </c>
      <c r="C1260" s="96" t="str">
        <f t="shared" si="150"/>
        <v>CPOS230903</v>
      </c>
      <c r="D1260" s="95" t="s">
        <v>1326</v>
      </c>
      <c r="E1260" s="63" t="s">
        <v>58</v>
      </c>
      <c r="F1260" s="64">
        <v>315.86</v>
      </c>
    </row>
    <row r="1261" spans="1:6" x14ac:dyDescent="0.25">
      <c r="A1261" s="62" t="s">
        <v>4398</v>
      </c>
      <c r="B1261" s="96">
        <v>230904</v>
      </c>
      <c r="C1261" s="96" t="str">
        <f t="shared" si="150"/>
        <v>CPOS230904</v>
      </c>
      <c r="D1261" s="95" t="s">
        <v>1327</v>
      </c>
      <c r="E1261" s="63" t="s">
        <v>58</v>
      </c>
      <c r="F1261" s="64">
        <v>318.13</v>
      </c>
    </row>
    <row r="1262" spans="1:6" x14ac:dyDescent="0.25">
      <c r="A1262" s="62" t="s">
        <v>4398</v>
      </c>
      <c r="B1262" s="96">
        <v>230905</v>
      </c>
      <c r="C1262" s="96" t="str">
        <f t="shared" si="150"/>
        <v>CPOS230905</v>
      </c>
      <c r="D1262" s="95" t="s">
        <v>1328</v>
      </c>
      <c r="E1262" s="63" t="s">
        <v>58</v>
      </c>
      <c r="F1262" s="64">
        <v>332.78000000000003</v>
      </c>
    </row>
    <row r="1263" spans="1:6" x14ac:dyDescent="0.25">
      <c r="A1263" s="62" t="s">
        <v>4398</v>
      </c>
      <c r="B1263" s="96">
        <v>230906</v>
      </c>
      <c r="C1263" s="96" t="str">
        <f t="shared" si="150"/>
        <v>CPOS230906</v>
      </c>
      <c r="D1263" s="95" t="s">
        <v>1329</v>
      </c>
      <c r="E1263" s="63" t="s">
        <v>58</v>
      </c>
      <c r="F1263" s="64">
        <v>529.75</v>
      </c>
    </row>
    <row r="1264" spans="1:6" x14ac:dyDescent="0.25">
      <c r="A1264" s="62" t="s">
        <v>4398</v>
      </c>
      <c r="B1264" s="96">
        <v>230910</v>
      </c>
      <c r="C1264" s="96" t="str">
        <f t="shared" si="150"/>
        <v>CPOS230910</v>
      </c>
      <c r="D1264" s="95" t="s">
        <v>1330</v>
      </c>
      <c r="E1264" s="63" t="s">
        <v>58</v>
      </c>
      <c r="F1264" s="64">
        <v>539.75</v>
      </c>
    </row>
    <row r="1265" spans="1:6" x14ac:dyDescent="0.25">
      <c r="A1265" s="62" t="s">
        <v>4398</v>
      </c>
      <c r="B1265" s="96">
        <v>230911</v>
      </c>
      <c r="C1265" s="96" t="str">
        <f t="shared" si="150"/>
        <v>CPOS230911</v>
      </c>
      <c r="D1265" s="95" t="s">
        <v>1331</v>
      </c>
      <c r="E1265" s="63" t="s">
        <v>58</v>
      </c>
      <c r="F1265" s="64">
        <v>424.97</v>
      </c>
    </row>
    <row r="1266" spans="1:6" x14ac:dyDescent="0.25">
      <c r="A1266" s="62" t="s">
        <v>4398</v>
      </c>
      <c r="B1266" s="96">
        <v>230942</v>
      </c>
      <c r="C1266" s="96" t="str">
        <f t="shared" si="150"/>
        <v>CPOS230942</v>
      </c>
      <c r="D1266" s="95" t="s">
        <v>1332</v>
      </c>
      <c r="E1266" s="63" t="s">
        <v>58</v>
      </c>
      <c r="F1266" s="64">
        <v>198.83</v>
      </c>
    </row>
    <row r="1267" spans="1:6" x14ac:dyDescent="0.25">
      <c r="A1267" s="62" t="s">
        <v>4398</v>
      </c>
      <c r="B1267" s="96">
        <v>230943</v>
      </c>
      <c r="C1267" s="96" t="str">
        <f t="shared" si="150"/>
        <v>CPOS230943</v>
      </c>
      <c r="D1267" s="95" t="s">
        <v>1333</v>
      </c>
      <c r="E1267" s="63" t="s">
        <v>58</v>
      </c>
      <c r="F1267" s="64">
        <v>201.73000000000002</v>
      </c>
    </row>
    <row r="1268" spans="1:6" x14ac:dyDescent="0.25">
      <c r="A1268" s="62" t="s">
        <v>4398</v>
      </c>
      <c r="B1268" s="96">
        <v>230944</v>
      </c>
      <c r="C1268" s="96" t="str">
        <f t="shared" si="150"/>
        <v>CPOS230944</v>
      </c>
      <c r="D1268" s="95" t="s">
        <v>1334</v>
      </c>
      <c r="E1268" s="63" t="s">
        <v>58</v>
      </c>
      <c r="F1268" s="64">
        <v>216.38</v>
      </c>
    </row>
    <row r="1269" spans="1:6" x14ac:dyDescent="0.25">
      <c r="A1269" s="62" t="s">
        <v>4398</v>
      </c>
      <c r="B1269" s="96">
        <v>230950</v>
      </c>
      <c r="C1269" s="96" t="str">
        <f t="shared" si="150"/>
        <v>CPOS230950</v>
      </c>
      <c r="D1269" s="95" t="s">
        <v>1335</v>
      </c>
      <c r="E1269" s="63" t="s">
        <v>81</v>
      </c>
      <c r="F1269" s="64">
        <v>250.5</v>
      </c>
    </row>
    <row r="1270" spans="1:6" x14ac:dyDescent="0.25">
      <c r="A1270" s="62" t="s">
        <v>4398</v>
      </c>
      <c r="B1270" s="96">
        <v>230951</v>
      </c>
      <c r="C1270" s="96" t="str">
        <f t="shared" si="150"/>
        <v>CPOS230951</v>
      </c>
      <c r="D1270" s="95" t="s">
        <v>1336</v>
      </c>
      <c r="E1270" s="63" t="s">
        <v>58</v>
      </c>
      <c r="F1270" s="64">
        <v>236.71</v>
      </c>
    </row>
    <row r="1271" spans="1:6" x14ac:dyDescent="0.25">
      <c r="A1271" s="62" t="s">
        <v>4398</v>
      </c>
      <c r="B1271" s="96">
        <v>230952</v>
      </c>
      <c r="C1271" s="96" t="str">
        <f t="shared" si="150"/>
        <v>CPOS230952</v>
      </c>
      <c r="D1271" s="95" t="s">
        <v>1337</v>
      </c>
      <c r="E1271" s="63" t="s">
        <v>58</v>
      </c>
      <c r="F1271" s="64">
        <v>379.69</v>
      </c>
    </row>
    <row r="1272" spans="1:6" x14ac:dyDescent="0.25">
      <c r="A1272" s="62" t="s">
        <v>4398</v>
      </c>
      <c r="B1272" s="96">
        <v>230953</v>
      </c>
      <c r="C1272" s="96" t="str">
        <f t="shared" si="150"/>
        <v>CPOS230953</v>
      </c>
      <c r="D1272" s="95" t="s">
        <v>1338</v>
      </c>
      <c r="E1272" s="63" t="s">
        <v>58</v>
      </c>
      <c r="F1272" s="64">
        <v>382.59000000000003</v>
      </c>
    </row>
    <row r="1273" spans="1:6" x14ac:dyDescent="0.25">
      <c r="A1273" s="62" t="s">
        <v>4398</v>
      </c>
      <c r="B1273" s="96">
        <v>230954</v>
      </c>
      <c r="C1273" s="96" t="str">
        <f t="shared" si="150"/>
        <v>CPOS230954</v>
      </c>
      <c r="D1273" s="95" t="s">
        <v>1339</v>
      </c>
      <c r="E1273" s="63" t="s">
        <v>58</v>
      </c>
      <c r="F1273" s="64">
        <v>543.38</v>
      </c>
    </row>
    <row r="1274" spans="1:6" x14ac:dyDescent="0.25">
      <c r="A1274" s="62" t="s">
        <v>4398</v>
      </c>
      <c r="B1274" s="96">
        <v>230955</v>
      </c>
      <c r="C1274" s="96" t="str">
        <f t="shared" si="150"/>
        <v>CPOS230955</v>
      </c>
      <c r="D1274" s="95" t="s">
        <v>1340</v>
      </c>
      <c r="E1274" s="63" t="s">
        <v>58</v>
      </c>
      <c r="F1274" s="64">
        <v>552.99</v>
      </c>
    </row>
    <row r="1275" spans="1:6" x14ac:dyDescent="0.25">
      <c r="A1275" s="62" t="s">
        <v>4398</v>
      </c>
      <c r="B1275" s="96">
        <v>230956</v>
      </c>
      <c r="C1275" s="96" t="str">
        <f t="shared" si="150"/>
        <v>CPOS230956</v>
      </c>
      <c r="D1275" s="95" t="s">
        <v>1341</v>
      </c>
      <c r="E1275" s="63" t="s">
        <v>58</v>
      </c>
      <c r="F1275" s="64">
        <v>574.98</v>
      </c>
    </row>
    <row r="1276" spans="1:6" x14ac:dyDescent="0.25">
      <c r="A1276" s="62" t="s">
        <v>4398</v>
      </c>
      <c r="B1276" s="96">
        <v>230957</v>
      </c>
      <c r="C1276" s="96" t="str">
        <f t="shared" si="150"/>
        <v>CPOS230957</v>
      </c>
      <c r="D1276" s="95" t="s">
        <v>1342</v>
      </c>
      <c r="E1276" s="63" t="s">
        <v>58</v>
      </c>
      <c r="F1276" s="64">
        <v>709.05000000000007</v>
      </c>
    </row>
    <row r="1277" spans="1:6" x14ac:dyDescent="0.25">
      <c r="A1277" s="62" t="s">
        <v>4398</v>
      </c>
      <c r="B1277" s="96">
        <v>230958</v>
      </c>
      <c r="C1277" s="96" t="str">
        <f t="shared" si="150"/>
        <v>CPOS230958</v>
      </c>
      <c r="D1277" s="95" t="s">
        <v>1343</v>
      </c>
      <c r="E1277" s="63" t="s">
        <v>58</v>
      </c>
      <c r="F1277" s="64">
        <v>724.98</v>
      </c>
    </row>
    <row r="1278" spans="1:6" x14ac:dyDescent="0.25">
      <c r="A1278" s="62" t="s">
        <v>4398</v>
      </c>
      <c r="B1278" s="96">
        <v>230959</v>
      </c>
      <c r="C1278" s="96" t="str">
        <f t="shared" si="150"/>
        <v>CPOS230959</v>
      </c>
      <c r="D1278" s="95" t="s">
        <v>1344</v>
      </c>
      <c r="E1278" s="63" t="s">
        <v>58</v>
      </c>
      <c r="F1278" s="64">
        <v>744.2</v>
      </c>
    </row>
    <row r="1279" spans="1:6" x14ac:dyDescent="0.25">
      <c r="A1279" s="62" t="s">
        <v>4398</v>
      </c>
      <c r="B1279" s="96">
        <v>230960</v>
      </c>
      <c r="C1279" s="96" t="str">
        <f t="shared" si="150"/>
        <v>CPOS230960</v>
      </c>
      <c r="D1279" s="95" t="s">
        <v>1345</v>
      </c>
      <c r="E1279" s="63" t="s">
        <v>58</v>
      </c>
      <c r="F1279" s="64">
        <v>438.7</v>
      </c>
    </row>
    <row r="1280" spans="1:6" x14ac:dyDescent="0.25">
      <c r="A1280" s="62" t="s">
        <v>4398</v>
      </c>
      <c r="B1280" s="96">
        <v>230961</v>
      </c>
      <c r="C1280" s="96" t="str">
        <f t="shared" si="150"/>
        <v>CPOS230961</v>
      </c>
      <c r="D1280" s="95" t="s">
        <v>1346</v>
      </c>
      <c r="E1280" s="63" t="s">
        <v>58</v>
      </c>
      <c r="F1280" s="64">
        <v>505.26</v>
      </c>
    </row>
    <row r="1281" spans="1:6" x14ac:dyDescent="0.25">
      <c r="A1281" s="62" t="s">
        <v>4398</v>
      </c>
      <c r="B1281" s="96">
        <v>230963</v>
      </c>
      <c r="C1281" s="96" t="str">
        <f t="shared" si="150"/>
        <v>CPOS230963</v>
      </c>
      <c r="D1281" s="95" t="s">
        <v>1347</v>
      </c>
      <c r="E1281" s="63" t="s">
        <v>58</v>
      </c>
      <c r="F1281" s="64">
        <v>641.04999999999995</v>
      </c>
    </row>
    <row r="1282" spans="1:6" x14ac:dyDescent="0.25">
      <c r="D1282" s="94" t="s">
        <v>1348</v>
      </c>
    </row>
    <row r="1283" spans="1:6" ht="30" x14ac:dyDescent="0.25">
      <c r="A1283" s="62" t="s">
        <v>4398</v>
      </c>
      <c r="B1283" s="96">
        <v>231101</v>
      </c>
      <c r="C1283" s="96" t="str">
        <f t="shared" ref="C1283:C1292" si="151">A1283&amp;B1283</f>
        <v>CPOS231101</v>
      </c>
      <c r="D1283" s="95" t="s">
        <v>1349</v>
      </c>
      <c r="E1283" s="63" t="s">
        <v>81</v>
      </c>
      <c r="F1283" s="64">
        <v>164.96</v>
      </c>
    </row>
    <row r="1284" spans="1:6" x14ac:dyDescent="0.25">
      <c r="A1284" s="62" t="s">
        <v>4398</v>
      </c>
      <c r="B1284" s="96">
        <v>231103</v>
      </c>
      <c r="C1284" s="96" t="str">
        <f t="shared" si="151"/>
        <v>CPOS231103</v>
      </c>
      <c r="D1284" s="95" t="s">
        <v>1350</v>
      </c>
      <c r="E1284" s="63" t="s">
        <v>58</v>
      </c>
      <c r="F1284" s="64">
        <v>313.95999999999998</v>
      </c>
    </row>
    <row r="1285" spans="1:6" x14ac:dyDescent="0.25">
      <c r="A1285" s="62" t="s">
        <v>4398</v>
      </c>
      <c r="B1285" s="96">
        <v>231104</v>
      </c>
      <c r="C1285" s="96" t="str">
        <f t="shared" si="151"/>
        <v>CPOS231104</v>
      </c>
      <c r="D1285" s="95" t="s">
        <v>1351</v>
      </c>
      <c r="E1285" s="63" t="s">
        <v>58</v>
      </c>
      <c r="F1285" s="64">
        <v>332.85</v>
      </c>
    </row>
    <row r="1286" spans="1:6" x14ac:dyDescent="0.25">
      <c r="A1286" s="62" t="s">
        <v>4398</v>
      </c>
      <c r="B1286" s="96">
        <v>231105</v>
      </c>
      <c r="C1286" s="96" t="str">
        <f t="shared" si="151"/>
        <v>CPOS231105</v>
      </c>
      <c r="D1286" s="95" t="s">
        <v>1352</v>
      </c>
      <c r="E1286" s="63" t="s">
        <v>58</v>
      </c>
      <c r="F1286" s="64">
        <v>344.51</v>
      </c>
    </row>
    <row r="1287" spans="1:6" x14ac:dyDescent="0.25">
      <c r="A1287" s="62" t="s">
        <v>4398</v>
      </c>
      <c r="B1287" s="96">
        <v>231106</v>
      </c>
      <c r="C1287" s="96" t="str">
        <f t="shared" si="151"/>
        <v>CPOS231106</v>
      </c>
      <c r="D1287" s="95" t="s">
        <v>1353</v>
      </c>
      <c r="E1287" s="63" t="s">
        <v>58</v>
      </c>
      <c r="F1287" s="64">
        <v>558.79999999999995</v>
      </c>
    </row>
    <row r="1288" spans="1:6" ht="30" x14ac:dyDescent="0.25">
      <c r="A1288" s="62" t="s">
        <v>4398</v>
      </c>
      <c r="B1288" s="96">
        <v>231120</v>
      </c>
      <c r="C1288" s="96" t="str">
        <f t="shared" si="151"/>
        <v>CPOS231120</v>
      </c>
      <c r="D1288" s="95" t="s">
        <v>1354</v>
      </c>
      <c r="E1288" s="63" t="s">
        <v>81</v>
      </c>
      <c r="F1288" s="64">
        <v>257.47000000000003</v>
      </c>
    </row>
    <row r="1289" spans="1:6" x14ac:dyDescent="0.25">
      <c r="A1289" s="62" t="s">
        <v>4398</v>
      </c>
      <c r="B1289" s="96">
        <v>231121</v>
      </c>
      <c r="C1289" s="96" t="str">
        <f t="shared" si="151"/>
        <v>CPOS231121</v>
      </c>
      <c r="D1289" s="95" t="s">
        <v>1355</v>
      </c>
      <c r="E1289" s="63" t="s">
        <v>58</v>
      </c>
      <c r="F1289" s="64">
        <v>541.48</v>
      </c>
    </row>
    <row r="1290" spans="1:6" x14ac:dyDescent="0.25">
      <c r="A1290" s="62" t="s">
        <v>4398</v>
      </c>
      <c r="B1290" s="96">
        <v>231122</v>
      </c>
      <c r="C1290" s="96" t="str">
        <f t="shared" si="151"/>
        <v>CPOS231122</v>
      </c>
      <c r="D1290" s="95" t="s">
        <v>1356</v>
      </c>
      <c r="E1290" s="63" t="s">
        <v>58</v>
      </c>
      <c r="F1290" s="64">
        <v>567.71</v>
      </c>
    </row>
    <row r="1291" spans="1:6" x14ac:dyDescent="0.25">
      <c r="A1291" s="62" t="s">
        <v>4398</v>
      </c>
      <c r="B1291" s="96">
        <v>231123</v>
      </c>
      <c r="C1291" s="96" t="str">
        <f t="shared" si="151"/>
        <v>CPOS231123</v>
      </c>
      <c r="D1291" s="95" t="s">
        <v>1357</v>
      </c>
      <c r="E1291" s="63" t="s">
        <v>58</v>
      </c>
      <c r="F1291" s="64">
        <v>586.71</v>
      </c>
    </row>
    <row r="1292" spans="1:6" x14ac:dyDescent="0.25">
      <c r="A1292" s="62" t="s">
        <v>4398</v>
      </c>
      <c r="B1292" s="96">
        <v>231124</v>
      </c>
      <c r="C1292" s="96" t="str">
        <f t="shared" si="151"/>
        <v>CPOS231124</v>
      </c>
      <c r="D1292" s="95" t="s">
        <v>1358</v>
      </c>
      <c r="E1292" s="63" t="s">
        <v>58</v>
      </c>
      <c r="F1292" s="64">
        <v>780.55000000000007</v>
      </c>
    </row>
    <row r="1293" spans="1:6" x14ac:dyDescent="0.25">
      <c r="D1293" s="94" t="s">
        <v>693</v>
      </c>
    </row>
    <row r="1294" spans="1:6" x14ac:dyDescent="0.25">
      <c r="A1294" s="62" t="s">
        <v>4398</v>
      </c>
      <c r="B1294" s="96">
        <v>232002</v>
      </c>
      <c r="C1294" s="96" t="str">
        <f t="shared" ref="C1294:C1314" si="152">A1294&amp;B1294</f>
        <v>CPOS232002</v>
      </c>
      <c r="D1294" s="95" t="s">
        <v>1359</v>
      </c>
      <c r="E1294" s="63" t="s">
        <v>58</v>
      </c>
      <c r="F1294" s="64">
        <v>33.61</v>
      </c>
    </row>
    <row r="1295" spans="1:6" x14ac:dyDescent="0.25">
      <c r="A1295" s="62" t="s">
        <v>4398</v>
      </c>
      <c r="B1295" s="96">
        <v>232004</v>
      </c>
      <c r="C1295" s="96" t="str">
        <f t="shared" si="152"/>
        <v>CPOS232004</v>
      </c>
      <c r="D1295" s="95" t="s">
        <v>1360</v>
      </c>
      <c r="E1295" s="63" t="s">
        <v>58</v>
      </c>
      <c r="F1295" s="64">
        <v>38.99</v>
      </c>
    </row>
    <row r="1296" spans="1:6" x14ac:dyDescent="0.25">
      <c r="A1296" s="62" t="s">
        <v>4398</v>
      </c>
      <c r="B1296" s="96">
        <v>232006</v>
      </c>
      <c r="C1296" s="96" t="str">
        <f t="shared" si="152"/>
        <v>CPOS232006</v>
      </c>
      <c r="D1296" s="95" t="s">
        <v>1361</v>
      </c>
      <c r="E1296" s="63" t="s">
        <v>110</v>
      </c>
      <c r="F1296" s="64">
        <v>1.22</v>
      </c>
    </row>
    <row r="1297" spans="1:6" x14ac:dyDescent="0.25">
      <c r="A1297" s="62" t="s">
        <v>4398</v>
      </c>
      <c r="B1297" s="96">
        <v>232010</v>
      </c>
      <c r="C1297" s="96" t="str">
        <f t="shared" si="152"/>
        <v>CPOS232010</v>
      </c>
      <c r="D1297" s="95" t="s">
        <v>1362</v>
      </c>
      <c r="E1297" s="63" t="s">
        <v>110</v>
      </c>
      <c r="F1297" s="64">
        <v>30.03</v>
      </c>
    </row>
    <row r="1298" spans="1:6" x14ac:dyDescent="0.25">
      <c r="A1298" s="62" t="s">
        <v>4398</v>
      </c>
      <c r="B1298" s="96">
        <v>232011</v>
      </c>
      <c r="C1298" s="96" t="str">
        <f t="shared" si="152"/>
        <v>CPOS232011</v>
      </c>
      <c r="D1298" s="95" t="s">
        <v>1363</v>
      </c>
      <c r="E1298" s="63" t="s">
        <v>81</v>
      </c>
      <c r="F1298" s="64">
        <v>814.07</v>
      </c>
    </row>
    <row r="1299" spans="1:6" x14ac:dyDescent="0.25">
      <c r="A1299" s="62" t="s">
        <v>4398</v>
      </c>
      <c r="B1299" s="96">
        <v>232012</v>
      </c>
      <c r="C1299" s="96" t="str">
        <f t="shared" si="152"/>
        <v>CPOS232012</v>
      </c>
      <c r="D1299" s="95" t="s">
        <v>1364</v>
      </c>
      <c r="E1299" s="63" t="s">
        <v>110</v>
      </c>
      <c r="F1299" s="64">
        <v>4</v>
      </c>
    </row>
    <row r="1300" spans="1:6" x14ac:dyDescent="0.25">
      <c r="A1300" s="62" t="s">
        <v>4398</v>
      </c>
      <c r="B1300" s="96">
        <v>232014</v>
      </c>
      <c r="C1300" s="96" t="str">
        <f t="shared" si="152"/>
        <v>CPOS232014</v>
      </c>
      <c r="D1300" s="95" t="s">
        <v>1365</v>
      </c>
      <c r="E1300" s="63" t="s">
        <v>58</v>
      </c>
      <c r="F1300" s="64">
        <v>156.55000000000001</v>
      </c>
    </row>
    <row r="1301" spans="1:6" x14ac:dyDescent="0.25">
      <c r="A1301" s="62" t="s">
        <v>4398</v>
      </c>
      <c r="B1301" s="96">
        <v>232016</v>
      </c>
      <c r="C1301" s="96" t="str">
        <f t="shared" si="152"/>
        <v>CPOS232016</v>
      </c>
      <c r="D1301" s="95" t="s">
        <v>1366</v>
      </c>
      <c r="E1301" s="63" t="s">
        <v>81</v>
      </c>
      <c r="F1301" s="64">
        <v>356.36</v>
      </c>
    </row>
    <row r="1302" spans="1:6" x14ac:dyDescent="0.25">
      <c r="A1302" s="62" t="s">
        <v>4398</v>
      </c>
      <c r="B1302" s="96">
        <v>232017</v>
      </c>
      <c r="C1302" s="96" t="str">
        <f t="shared" si="152"/>
        <v>CPOS232017</v>
      </c>
      <c r="D1302" s="95" t="s">
        <v>1367</v>
      </c>
      <c r="E1302" s="63" t="s">
        <v>81</v>
      </c>
      <c r="F1302" s="64">
        <v>127.10000000000001</v>
      </c>
    </row>
    <row r="1303" spans="1:6" x14ac:dyDescent="0.25">
      <c r="A1303" s="62" t="s">
        <v>4398</v>
      </c>
      <c r="B1303" s="96">
        <v>232018</v>
      </c>
      <c r="C1303" s="96" t="str">
        <f t="shared" si="152"/>
        <v>CPOS232018</v>
      </c>
      <c r="D1303" s="95" t="s">
        <v>1368</v>
      </c>
      <c r="E1303" s="63" t="s">
        <v>81</v>
      </c>
      <c r="F1303" s="64">
        <v>498.69</v>
      </c>
    </row>
    <row r="1304" spans="1:6" x14ac:dyDescent="0.25">
      <c r="A1304" s="62" t="s">
        <v>4398</v>
      </c>
      <c r="B1304" s="96">
        <v>232022</v>
      </c>
      <c r="C1304" s="96" t="str">
        <f t="shared" si="152"/>
        <v>CPOS232022</v>
      </c>
      <c r="D1304" s="95" t="s">
        <v>1369</v>
      </c>
      <c r="E1304" s="63" t="s">
        <v>58</v>
      </c>
      <c r="F1304" s="64">
        <v>465.57</v>
      </c>
    </row>
    <row r="1305" spans="1:6" x14ac:dyDescent="0.25">
      <c r="A1305" s="62" t="s">
        <v>4398</v>
      </c>
      <c r="B1305" s="96">
        <v>232023</v>
      </c>
      <c r="C1305" s="96" t="str">
        <f t="shared" si="152"/>
        <v>CPOS232023</v>
      </c>
      <c r="D1305" s="95" t="s">
        <v>1370</v>
      </c>
      <c r="E1305" s="63" t="s">
        <v>58</v>
      </c>
      <c r="F1305" s="64">
        <v>465.57</v>
      </c>
    </row>
    <row r="1306" spans="1:6" x14ac:dyDescent="0.25">
      <c r="A1306" s="62" t="s">
        <v>4398</v>
      </c>
      <c r="B1306" s="96">
        <v>232024</v>
      </c>
      <c r="C1306" s="96" t="str">
        <f t="shared" si="152"/>
        <v>CPOS232024</v>
      </c>
      <c r="D1306" s="95" t="s">
        <v>1371</v>
      </c>
      <c r="E1306" s="63" t="s">
        <v>58</v>
      </c>
      <c r="F1306" s="64">
        <v>499.95</v>
      </c>
    </row>
    <row r="1307" spans="1:6" x14ac:dyDescent="0.25">
      <c r="A1307" s="62" t="s">
        <v>4398</v>
      </c>
      <c r="B1307" s="96">
        <v>232031</v>
      </c>
      <c r="C1307" s="96" t="str">
        <f t="shared" si="152"/>
        <v>CPOS232031</v>
      </c>
      <c r="D1307" s="95" t="s">
        <v>1372</v>
      </c>
      <c r="E1307" s="63" t="s">
        <v>58</v>
      </c>
      <c r="F1307" s="64">
        <v>146.38</v>
      </c>
    </row>
    <row r="1308" spans="1:6" x14ac:dyDescent="0.25">
      <c r="A1308" s="62" t="s">
        <v>4398</v>
      </c>
      <c r="B1308" s="96">
        <v>232032</v>
      </c>
      <c r="C1308" s="96" t="str">
        <f t="shared" si="152"/>
        <v>CPOS232032</v>
      </c>
      <c r="D1308" s="95" t="s">
        <v>1373</v>
      </c>
      <c r="E1308" s="63" t="s">
        <v>58</v>
      </c>
      <c r="F1308" s="64">
        <v>147.01</v>
      </c>
    </row>
    <row r="1309" spans="1:6" x14ac:dyDescent="0.25">
      <c r="A1309" s="62" t="s">
        <v>4398</v>
      </c>
      <c r="B1309" s="96">
        <v>232033</v>
      </c>
      <c r="C1309" s="96" t="str">
        <f t="shared" si="152"/>
        <v>CPOS232033</v>
      </c>
      <c r="D1309" s="95" t="s">
        <v>1374</v>
      </c>
      <c r="E1309" s="63" t="s">
        <v>58</v>
      </c>
      <c r="F1309" s="64">
        <v>149.28</v>
      </c>
    </row>
    <row r="1310" spans="1:6" x14ac:dyDescent="0.25">
      <c r="A1310" s="62" t="s">
        <v>4398</v>
      </c>
      <c r="B1310" s="96">
        <v>232034</v>
      </c>
      <c r="C1310" s="96" t="str">
        <f t="shared" si="152"/>
        <v>CPOS232034</v>
      </c>
      <c r="D1310" s="95" t="s">
        <v>1375</v>
      </c>
      <c r="E1310" s="63" t="s">
        <v>58</v>
      </c>
      <c r="F1310" s="64">
        <v>163.93</v>
      </c>
    </row>
    <row r="1311" spans="1:6" x14ac:dyDescent="0.25">
      <c r="A1311" s="62" t="s">
        <v>4398</v>
      </c>
      <c r="B1311" s="96">
        <v>232045</v>
      </c>
      <c r="C1311" s="96" t="str">
        <f t="shared" si="152"/>
        <v>CPOS232045</v>
      </c>
      <c r="D1311" s="95" t="s">
        <v>1376</v>
      </c>
      <c r="E1311" s="63" t="s">
        <v>58</v>
      </c>
      <c r="F1311" s="64">
        <v>611.52</v>
      </c>
    </row>
    <row r="1312" spans="1:6" x14ac:dyDescent="0.25">
      <c r="A1312" s="62" t="s">
        <v>4398</v>
      </c>
      <c r="B1312" s="96">
        <v>232046</v>
      </c>
      <c r="C1312" s="96" t="str">
        <f t="shared" si="152"/>
        <v>CPOS232046</v>
      </c>
      <c r="D1312" s="95" t="s">
        <v>1377</v>
      </c>
      <c r="E1312" s="63" t="s">
        <v>58</v>
      </c>
      <c r="F1312" s="64">
        <v>686.23</v>
      </c>
    </row>
    <row r="1313" spans="1:6" x14ac:dyDescent="0.25">
      <c r="A1313" s="62" t="s">
        <v>4398</v>
      </c>
      <c r="B1313" s="96">
        <v>232055</v>
      </c>
      <c r="C1313" s="96" t="str">
        <f t="shared" si="152"/>
        <v>CPOS232055</v>
      </c>
      <c r="D1313" s="95" t="s">
        <v>1378</v>
      </c>
      <c r="E1313" s="63" t="s">
        <v>58</v>
      </c>
      <c r="F1313" s="64">
        <v>652.85</v>
      </c>
    </row>
    <row r="1314" spans="1:6" x14ac:dyDescent="0.25">
      <c r="A1314" s="62" t="s">
        <v>4398</v>
      </c>
      <c r="B1314" s="96">
        <v>232060</v>
      </c>
      <c r="C1314" s="96" t="str">
        <f t="shared" si="152"/>
        <v>CPOS232060</v>
      </c>
      <c r="D1314" s="95" t="s">
        <v>1379</v>
      </c>
      <c r="E1314" s="63" t="s">
        <v>81</v>
      </c>
      <c r="F1314" s="64">
        <v>515.19000000000005</v>
      </c>
    </row>
    <row r="1315" spans="1:6" x14ac:dyDescent="0.25">
      <c r="D1315" s="94" t="s">
        <v>1380</v>
      </c>
    </row>
    <row r="1316" spans="1:6" x14ac:dyDescent="0.25">
      <c r="D1316" s="94" t="s">
        <v>1381</v>
      </c>
    </row>
    <row r="1317" spans="1:6" x14ac:dyDescent="0.25">
      <c r="A1317" s="62" t="s">
        <v>4398</v>
      </c>
      <c r="B1317" s="96">
        <v>240101</v>
      </c>
      <c r="C1317" s="96" t="str">
        <f t="shared" ref="C1317:C1333" si="153">A1317&amp;B1317</f>
        <v>CPOS240101</v>
      </c>
      <c r="D1317" s="95" t="s">
        <v>1382</v>
      </c>
      <c r="E1317" s="63" t="s">
        <v>81</v>
      </c>
      <c r="F1317" s="64">
        <v>519.08000000000004</v>
      </c>
    </row>
    <row r="1318" spans="1:6" x14ac:dyDescent="0.25">
      <c r="A1318" s="62" t="s">
        <v>4398</v>
      </c>
      <c r="B1318" s="96">
        <v>240103</v>
      </c>
      <c r="C1318" s="96" t="str">
        <f t="shared" si="153"/>
        <v>CPOS240103</v>
      </c>
      <c r="D1318" s="95" t="s">
        <v>1383</v>
      </c>
      <c r="E1318" s="63" t="s">
        <v>81</v>
      </c>
      <c r="F1318" s="64">
        <v>530.17999999999995</v>
      </c>
    </row>
    <row r="1319" spans="1:6" x14ac:dyDescent="0.25">
      <c r="A1319" s="62" t="s">
        <v>4398</v>
      </c>
      <c r="B1319" s="96">
        <v>240104</v>
      </c>
      <c r="C1319" s="96" t="str">
        <f t="shared" si="153"/>
        <v>CPOS240104</v>
      </c>
      <c r="D1319" s="95" t="s">
        <v>1384</v>
      </c>
      <c r="E1319" s="63" t="s">
        <v>81</v>
      </c>
      <c r="F1319" s="64">
        <v>286</v>
      </c>
    </row>
    <row r="1320" spans="1:6" x14ac:dyDescent="0.25">
      <c r="A1320" s="62" t="s">
        <v>4398</v>
      </c>
      <c r="B1320" s="96">
        <v>240105</v>
      </c>
      <c r="C1320" s="96" t="str">
        <f t="shared" si="153"/>
        <v>CPOS240105</v>
      </c>
      <c r="D1320" s="95" t="s">
        <v>1385</v>
      </c>
      <c r="E1320" s="63" t="s">
        <v>81</v>
      </c>
      <c r="F1320" s="64">
        <v>426.68</v>
      </c>
    </row>
    <row r="1321" spans="1:6" x14ac:dyDescent="0.25">
      <c r="A1321" s="62" t="s">
        <v>4398</v>
      </c>
      <c r="B1321" s="96">
        <v>240106</v>
      </c>
      <c r="C1321" s="96" t="str">
        <f t="shared" si="153"/>
        <v>CPOS240106</v>
      </c>
      <c r="D1321" s="95" t="s">
        <v>1386</v>
      </c>
      <c r="E1321" s="63" t="s">
        <v>81</v>
      </c>
      <c r="F1321" s="64">
        <v>459.98</v>
      </c>
    </row>
    <row r="1322" spans="1:6" x14ac:dyDescent="0.25">
      <c r="A1322" s="62" t="s">
        <v>4398</v>
      </c>
      <c r="B1322" s="96">
        <v>240107</v>
      </c>
      <c r="C1322" s="96" t="str">
        <f t="shared" si="153"/>
        <v>CPOS240107</v>
      </c>
      <c r="D1322" s="95" t="s">
        <v>1387</v>
      </c>
      <c r="E1322" s="63" t="s">
        <v>81</v>
      </c>
      <c r="F1322" s="64">
        <v>610.09</v>
      </c>
    </row>
    <row r="1323" spans="1:6" x14ac:dyDescent="0.25">
      <c r="A1323" s="62" t="s">
        <v>4398</v>
      </c>
      <c r="B1323" s="96">
        <v>240108</v>
      </c>
      <c r="C1323" s="96" t="str">
        <f t="shared" si="153"/>
        <v>CPOS240108</v>
      </c>
      <c r="D1323" s="95" t="s">
        <v>1388</v>
      </c>
      <c r="E1323" s="63" t="s">
        <v>81</v>
      </c>
      <c r="F1323" s="64">
        <v>196.54</v>
      </c>
    </row>
    <row r="1324" spans="1:6" x14ac:dyDescent="0.25">
      <c r="A1324" s="62" t="s">
        <v>4398</v>
      </c>
      <c r="B1324" s="96">
        <v>240109</v>
      </c>
      <c r="C1324" s="96" t="str">
        <f t="shared" si="153"/>
        <v>CPOS240109</v>
      </c>
      <c r="D1324" s="95" t="s">
        <v>1389</v>
      </c>
      <c r="E1324" s="63" t="s">
        <v>81</v>
      </c>
      <c r="F1324" s="64">
        <v>391.95</v>
      </c>
    </row>
    <row r="1325" spans="1:6" x14ac:dyDescent="0.25">
      <c r="A1325" s="62" t="s">
        <v>4398</v>
      </c>
      <c r="B1325" s="96">
        <v>240110</v>
      </c>
      <c r="C1325" s="96" t="str">
        <f t="shared" si="153"/>
        <v>CPOS240110</v>
      </c>
      <c r="D1325" s="95" t="s">
        <v>1390</v>
      </c>
      <c r="E1325" s="63" t="s">
        <v>81</v>
      </c>
      <c r="F1325" s="64">
        <v>272.31</v>
      </c>
    </row>
    <row r="1326" spans="1:6" x14ac:dyDescent="0.25">
      <c r="A1326" s="62" t="s">
        <v>4398</v>
      </c>
      <c r="B1326" s="96">
        <v>240111</v>
      </c>
      <c r="C1326" s="96" t="str">
        <f t="shared" si="153"/>
        <v>CPOS240111</v>
      </c>
      <c r="D1326" s="95" t="s">
        <v>1391</v>
      </c>
      <c r="E1326" s="63" t="s">
        <v>81</v>
      </c>
      <c r="F1326" s="64">
        <v>456.3</v>
      </c>
    </row>
    <row r="1327" spans="1:6" ht="30" x14ac:dyDescent="0.25">
      <c r="A1327" s="62" t="s">
        <v>4398</v>
      </c>
      <c r="B1327" s="96">
        <v>240112</v>
      </c>
      <c r="C1327" s="96" t="str">
        <f t="shared" si="153"/>
        <v>CPOS240112</v>
      </c>
      <c r="D1327" s="95" t="s">
        <v>1392</v>
      </c>
      <c r="E1327" s="63" t="s">
        <v>81</v>
      </c>
      <c r="F1327" s="64">
        <v>177.47</v>
      </c>
    </row>
    <row r="1328" spans="1:6" ht="30" x14ac:dyDescent="0.25">
      <c r="A1328" s="62" t="s">
        <v>4398</v>
      </c>
      <c r="B1328" s="96">
        <v>240115</v>
      </c>
      <c r="C1328" s="96" t="str">
        <f t="shared" si="153"/>
        <v>CPOS240115</v>
      </c>
      <c r="D1328" s="95" t="s">
        <v>1393</v>
      </c>
      <c r="E1328" s="63" t="s">
        <v>81</v>
      </c>
      <c r="F1328" s="64">
        <v>183.95000000000002</v>
      </c>
    </row>
    <row r="1329" spans="1:6" ht="30" x14ac:dyDescent="0.25">
      <c r="A1329" s="62" t="s">
        <v>4398</v>
      </c>
      <c r="B1329" s="96">
        <v>240118</v>
      </c>
      <c r="C1329" s="96" t="str">
        <f t="shared" si="153"/>
        <v>CPOS240118</v>
      </c>
      <c r="D1329" s="95" t="s">
        <v>1394</v>
      </c>
      <c r="E1329" s="63" t="s">
        <v>81</v>
      </c>
      <c r="F1329" s="64">
        <v>270.31</v>
      </c>
    </row>
    <row r="1330" spans="1:6" ht="30" x14ac:dyDescent="0.25">
      <c r="A1330" s="62" t="s">
        <v>4398</v>
      </c>
      <c r="B1330" s="96">
        <v>240119</v>
      </c>
      <c r="C1330" s="96" t="str">
        <f t="shared" si="153"/>
        <v>CPOS240119</v>
      </c>
      <c r="D1330" s="95" t="s">
        <v>1395</v>
      </c>
      <c r="E1330" s="63" t="s">
        <v>81</v>
      </c>
      <c r="F1330" s="64">
        <v>306.8</v>
      </c>
    </row>
    <row r="1331" spans="1:6" x14ac:dyDescent="0.25">
      <c r="A1331" s="62" t="s">
        <v>4398</v>
      </c>
      <c r="B1331" s="96">
        <v>240120</v>
      </c>
      <c r="C1331" s="96" t="str">
        <f t="shared" si="153"/>
        <v>CPOS240120</v>
      </c>
      <c r="D1331" s="95" t="s">
        <v>1396</v>
      </c>
      <c r="E1331" s="63" t="s">
        <v>81</v>
      </c>
      <c r="F1331" s="64">
        <v>649.22</v>
      </c>
    </row>
    <row r="1332" spans="1:6" ht="30" x14ac:dyDescent="0.25">
      <c r="A1332" s="62" t="s">
        <v>4398</v>
      </c>
      <c r="B1332" s="96">
        <v>240127</v>
      </c>
      <c r="C1332" s="96" t="str">
        <f t="shared" si="153"/>
        <v>CPOS240127</v>
      </c>
      <c r="D1332" s="95" t="s">
        <v>1397</v>
      </c>
      <c r="E1332" s="63" t="s">
        <v>81</v>
      </c>
      <c r="F1332" s="64">
        <v>572.72</v>
      </c>
    </row>
    <row r="1333" spans="1:6" x14ac:dyDescent="0.25">
      <c r="A1333" s="62" t="s">
        <v>4398</v>
      </c>
      <c r="B1333" s="96">
        <v>240128</v>
      </c>
      <c r="C1333" s="96" t="str">
        <f t="shared" si="153"/>
        <v>CPOS240128</v>
      </c>
      <c r="D1333" s="95" t="s">
        <v>1398</v>
      </c>
      <c r="E1333" s="63" t="s">
        <v>81</v>
      </c>
      <c r="F1333" s="64">
        <v>752.31000000000006</v>
      </c>
    </row>
    <row r="1334" spans="1:6" x14ac:dyDescent="0.25">
      <c r="D1334" s="94" t="s">
        <v>1399</v>
      </c>
    </row>
    <row r="1335" spans="1:6" x14ac:dyDescent="0.25">
      <c r="A1335" s="62" t="s">
        <v>4398</v>
      </c>
      <c r="B1335" s="96">
        <v>240201</v>
      </c>
      <c r="C1335" s="96" t="str">
        <f t="shared" ref="C1335:C1363" si="154">A1335&amp;B1335</f>
        <v>CPOS240201</v>
      </c>
      <c r="D1335" s="95" t="s">
        <v>1400</v>
      </c>
      <c r="E1335" s="63" t="s">
        <v>81</v>
      </c>
      <c r="F1335" s="64">
        <v>724.69</v>
      </c>
    </row>
    <row r="1336" spans="1:6" x14ac:dyDescent="0.25">
      <c r="A1336" s="62" t="s">
        <v>4398</v>
      </c>
      <c r="B1336" s="96">
        <v>240202</v>
      </c>
      <c r="C1336" s="96" t="str">
        <f t="shared" si="154"/>
        <v>CPOS240202</v>
      </c>
      <c r="D1336" s="95" t="s">
        <v>1401</v>
      </c>
      <c r="E1336" s="63" t="s">
        <v>81</v>
      </c>
      <c r="F1336" s="64">
        <v>385.16</v>
      </c>
    </row>
    <row r="1337" spans="1:6" x14ac:dyDescent="0.25">
      <c r="A1337" s="62" t="s">
        <v>4398</v>
      </c>
      <c r="B1337" s="96">
        <v>240204</v>
      </c>
      <c r="C1337" s="96" t="str">
        <f t="shared" si="154"/>
        <v>CPOS240204</v>
      </c>
      <c r="D1337" s="95" t="s">
        <v>1402</v>
      </c>
      <c r="E1337" s="63" t="s">
        <v>81</v>
      </c>
      <c r="F1337" s="64">
        <v>453.43</v>
      </c>
    </row>
    <row r="1338" spans="1:6" x14ac:dyDescent="0.25">
      <c r="A1338" s="62" t="s">
        <v>4398</v>
      </c>
      <c r="B1338" s="96">
        <v>240205</v>
      </c>
      <c r="C1338" s="96" t="str">
        <f t="shared" si="154"/>
        <v>CPOS240205</v>
      </c>
      <c r="D1338" s="95" t="s">
        <v>1403</v>
      </c>
      <c r="E1338" s="63" t="s">
        <v>58</v>
      </c>
      <c r="F1338" s="64">
        <v>686.82</v>
      </c>
    </row>
    <row r="1339" spans="1:6" x14ac:dyDescent="0.25">
      <c r="A1339" s="62" t="s">
        <v>4398</v>
      </c>
      <c r="B1339" s="96">
        <v>240206</v>
      </c>
      <c r="C1339" s="96" t="str">
        <f t="shared" si="154"/>
        <v>CPOS240206</v>
      </c>
      <c r="D1339" s="95" t="s">
        <v>1404</v>
      </c>
      <c r="E1339" s="63" t="s">
        <v>81</v>
      </c>
      <c r="F1339" s="64">
        <v>580.57000000000005</v>
      </c>
    </row>
    <row r="1340" spans="1:6" x14ac:dyDescent="0.25">
      <c r="A1340" s="62" t="s">
        <v>4398</v>
      </c>
      <c r="B1340" s="96">
        <v>240207</v>
      </c>
      <c r="C1340" s="96" t="str">
        <f t="shared" si="154"/>
        <v>CPOS240207</v>
      </c>
      <c r="D1340" s="95" t="s">
        <v>1405</v>
      </c>
      <c r="E1340" s="63" t="s">
        <v>81</v>
      </c>
      <c r="F1340" s="64">
        <v>296.70999999999998</v>
      </c>
    </row>
    <row r="1341" spans="1:6" x14ac:dyDescent="0.25">
      <c r="A1341" s="62" t="s">
        <v>4398</v>
      </c>
      <c r="B1341" s="96">
        <v>240208</v>
      </c>
      <c r="C1341" s="96" t="str">
        <f t="shared" si="154"/>
        <v>CPOS240208</v>
      </c>
      <c r="D1341" s="95" t="s">
        <v>1406</v>
      </c>
      <c r="E1341" s="63" t="s">
        <v>81</v>
      </c>
      <c r="F1341" s="64">
        <v>705.63</v>
      </c>
    </row>
    <row r="1342" spans="1:6" x14ac:dyDescent="0.25">
      <c r="A1342" s="62" t="s">
        <v>4398</v>
      </c>
      <c r="B1342" s="96">
        <v>240210</v>
      </c>
      <c r="C1342" s="96" t="str">
        <f t="shared" si="154"/>
        <v>CPOS240210</v>
      </c>
      <c r="D1342" s="95" t="s">
        <v>1407</v>
      </c>
      <c r="E1342" s="63" t="s">
        <v>81</v>
      </c>
      <c r="F1342" s="64">
        <v>417.40000000000003</v>
      </c>
    </row>
    <row r="1343" spans="1:6" ht="30" x14ac:dyDescent="0.25">
      <c r="A1343" s="62" t="s">
        <v>4398</v>
      </c>
      <c r="B1343" s="96">
        <v>240227</v>
      </c>
      <c r="C1343" s="96" t="str">
        <f t="shared" si="154"/>
        <v>CPOS240227</v>
      </c>
      <c r="D1343" s="95" t="s">
        <v>1408</v>
      </c>
      <c r="E1343" s="63" t="s">
        <v>81</v>
      </c>
      <c r="F1343" s="64">
        <v>428.26</v>
      </c>
    </row>
    <row r="1344" spans="1:6" x14ac:dyDescent="0.25">
      <c r="A1344" s="62" t="s">
        <v>4398</v>
      </c>
      <c r="B1344" s="96">
        <v>240228</v>
      </c>
      <c r="C1344" s="96" t="str">
        <f t="shared" si="154"/>
        <v>CPOS240228</v>
      </c>
      <c r="D1344" s="95" t="s">
        <v>1409</v>
      </c>
      <c r="E1344" s="63" t="s">
        <v>81</v>
      </c>
      <c r="F1344" s="64">
        <v>452.95</v>
      </c>
    </row>
    <row r="1345" spans="1:6" x14ac:dyDescent="0.25">
      <c r="A1345" s="62" t="s">
        <v>4398</v>
      </c>
      <c r="B1345" s="96">
        <v>240229</v>
      </c>
      <c r="C1345" s="96" t="str">
        <f t="shared" si="154"/>
        <v>CPOS240229</v>
      </c>
      <c r="D1345" s="95" t="s">
        <v>1410</v>
      </c>
      <c r="E1345" s="63" t="s">
        <v>81</v>
      </c>
      <c r="F1345" s="64">
        <v>817.17000000000007</v>
      </c>
    </row>
    <row r="1346" spans="1:6" x14ac:dyDescent="0.25">
      <c r="A1346" s="62" t="s">
        <v>4398</v>
      </c>
      <c r="B1346" s="96">
        <v>240238</v>
      </c>
      <c r="C1346" s="96" t="str">
        <f t="shared" si="154"/>
        <v>CPOS240238</v>
      </c>
      <c r="D1346" s="95" t="s">
        <v>1411</v>
      </c>
      <c r="E1346" s="63" t="s">
        <v>58</v>
      </c>
      <c r="F1346" s="64">
        <v>772.91</v>
      </c>
    </row>
    <row r="1347" spans="1:6" x14ac:dyDescent="0.25">
      <c r="A1347" s="62" t="s">
        <v>4398</v>
      </c>
      <c r="B1347" s="96">
        <v>240241</v>
      </c>
      <c r="C1347" s="96" t="str">
        <f t="shared" si="154"/>
        <v>CPOS240241</v>
      </c>
      <c r="D1347" s="95" t="s">
        <v>1412</v>
      </c>
      <c r="E1347" s="63" t="s">
        <v>81</v>
      </c>
      <c r="F1347" s="64">
        <v>836.49</v>
      </c>
    </row>
    <row r="1348" spans="1:6" ht="30" x14ac:dyDescent="0.25">
      <c r="A1348" s="62" t="s">
        <v>4398</v>
      </c>
      <c r="B1348" s="96">
        <v>240243</v>
      </c>
      <c r="C1348" s="96" t="str">
        <f t="shared" si="154"/>
        <v>CPOS240243</v>
      </c>
      <c r="D1348" s="95" t="s">
        <v>1413</v>
      </c>
      <c r="E1348" s="63" t="s">
        <v>81</v>
      </c>
      <c r="F1348" s="64">
        <v>829.42000000000007</v>
      </c>
    </row>
    <row r="1349" spans="1:6" x14ac:dyDescent="0.25">
      <c r="A1349" s="62" t="s">
        <v>4398</v>
      </c>
      <c r="B1349" s="96">
        <v>240244</v>
      </c>
      <c r="C1349" s="96" t="str">
        <f t="shared" si="154"/>
        <v>CPOS240244</v>
      </c>
      <c r="D1349" s="95" t="s">
        <v>1414</v>
      </c>
      <c r="E1349" s="63" t="s">
        <v>81</v>
      </c>
      <c r="F1349" s="64">
        <v>511.75</v>
      </c>
    </row>
    <row r="1350" spans="1:6" x14ac:dyDescent="0.25">
      <c r="A1350" s="62" t="s">
        <v>4398</v>
      </c>
      <c r="B1350" s="96">
        <v>240245</v>
      </c>
      <c r="C1350" s="96" t="str">
        <f t="shared" si="154"/>
        <v>CPOS240245</v>
      </c>
      <c r="D1350" s="95" t="s">
        <v>1415</v>
      </c>
      <c r="E1350" s="63" t="s">
        <v>81</v>
      </c>
      <c r="F1350" s="64">
        <v>575.54999999999995</v>
      </c>
    </row>
    <row r="1351" spans="1:6" x14ac:dyDescent="0.25">
      <c r="A1351" s="62" t="s">
        <v>4398</v>
      </c>
      <c r="B1351" s="96">
        <v>240246</v>
      </c>
      <c r="C1351" s="96" t="str">
        <f t="shared" si="154"/>
        <v>CPOS240246</v>
      </c>
      <c r="D1351" s="95" t="s">
        <v>1416</v>
      </c>
      <c r="E1351" s="63" t="s">
        <v>81</v>
      </c>
      <c r="F1351" s="64">
        <v>408.85</v>
      </c>
    </row>
    <row r="1352" spans="1:6" x14ac:dyDescent="0.25">
      <c r="A1352" s="62" t="s">
        <v>4398</v>
      </c>
      <c r="B1352" s="96">
        <v>240247</v>
      </c>
      <c r="C1352" s="96" t="str">
        <f t="shared" si="154"/>
        <v>CPOS240247</v>
      </c>
      <c r="D1352" s="95" t="s">
        <v>1417</v>
      </c>
      <c r="E1352" s="63" t="s">
        <v>81</v>
      </c>
      <c r="F1352" s="64">
        <v>680.62</v>
      </c>
    </row>
    <row r="1353" spans="1:6" x14ac:dyDescent="0.25">
      <c r="A1353" s="62" t="s">
        <v>4398</v>
      </c>
      <c r="B1353" s="96">
        <v>240248</v>
      </c>
      <c r="C1353" s="96" t="str">
        <f t="shared" si="154"/>
        <v>CPOS240248</v>
      </c>
      <c r="D1353" s="95" t="s">
        <v>1418</v>
      </c>
      <c r="E1353" s="63" t="s">
        <v>81</v>
      </c>
      <c r="F1353" s="64">
        <v>670.95</v>
      </c>
    </row>
    <row r="1354" spans="1:6" x14ac:dyDescent="0.25">
      <c r="A1354" s="62" t="s">
        <v>4398</v>
      </c>
      <c r="B1354" s="96">
        <v>240249</v>
      </c>
      <c r="C1354" s="96" t="str">
        <f t="shared" si="154"/>
        <v>CPOS240249</v>
      </c>
      <c r="D1354" s="95" t="s">
        <v>1419</v>
      </c>
      <c r="E1354" s="63" t="s">
        <v>81</v>
      </c>
      <c r="F1354" s="64">
        <v>864.58</v>
      </c>
    </row>
    <row r="1355" spans="1:6" x14ac:dyDescent="0.25">
      <c r="A1355" s="62" t="s">
        <v>4398</v>
      </c>
      <c r="B1355" s="96">
        <v>240259</v>
      </c>
      <c r="C1355" s="96" t="str">
        <f t="shared" si="154"/>
        <v>CPOS240259</v>
      </c>
      <c r="D1355" s="95" t="s">
        <v>1420</v>
      </c>
      <c r="E1355" s="63" t="s">
        <v>81</v>
      </c>
      <c r="F1355" s="64">
        <v>331.94</v>
      </c>
    </row>
    <row r="1356" spans="1:6" ht="30" x14ac:dyDescent="0.25">
      <c r="A1356" s="62" t="s">
        <v>4398</v>
      </c>
      <c r="B1356" s="96">
        <v>240263</v>
      </c>
      <c r="C1356" s="96" t="str">
        <f t="shared" si="154"/>
        <v>CPOS240263</v>
      </c>
      <c r="D1356" s="95" t="s">
        <v>1421</v>
      </c>
      <c r="E1356" s="63" t="s">
        <v>81</v>
      </c>
      <c r="F1356" s="64">
        <v>448.01</v>
      </c>
    </row>
    <row r="1357" spans="1:6" x14ac:dyDescent="0.25">
      <c r="A1357" s="62" t="s">
        <v>4398</v>
      </c>
      <c r="B1357" s="96">
        <v>240281</v>
      </c>
      <c r="C1357" s="96" t="str">
        <f t="shared" si="154"/>
        <v>CPOS240281</v>
      </c>
      <c r="D1357" s="95" t="s">
        <v>1422</v>
      </c>
      <c r="E1357" s="63" t="s">
        <v>81</v>
      </c>
      <c r="F1357" s="64">
        <v>698.80000000000007</v>
      </c>
    </row>
    <row r="1358" spans="1:6" x14ac:dyDescent="0.25">
      <c r="A1358" s="62" t="s">
        <v>4398</v>
      </c>
      <c r="B1358" s="96">
        <v>240284</v>
      </c>
      <c r="C1358" s="96" t="str">
        <f t="shared" si="154"/>
        <v>CPOS240284</v>
      </c>
      <c r="D1358" s="95" t="s">
        <v>1423</v>
      </c>
      <c r="E1358" s="63" t="s">
        <v>81</v>
      </c>
      <c r="F1358" s="64">
        <v>408.90000000000003</v>
      </c>
    </row>
    <row r="1359" spans="1:6" x14ac:dyDescent="0.25">
      <c r="A1359" s="62" t="s">
        <v>4398</v>
      </c>
      <c r="B1359" s="96">
        <v>240290</v>
      </c>
      <c r="C1359" s="96" t="str">
        <f t="shared" si="154"/>
        <v>CPOS240290</v>
      </c>
      <c r="D1359" s="95" t="s">
        <v>1424</v>
      </c>
      <c r="E1359" s="63" t="s">
        <v>81</v>
      </c>
      <c r="F1359" s="64">
        <v>815.18000000000006</v>
      </c>
    </row>
    <row r="1360" spans="1:6" ht="30" x14ac:dyDescent="0.25">
      <c r="A1360" s="62" t="s">
        <v>4398</v>
      </c>
      <c r="B1360" s="96">
        <v>240291</v>
      </c>
      <c r="C1360" s="96" t="str">
        <f t="shared" si="154"/>
        <v>CPOS240291</v>
      </c>
      <c r="D1360" s="95" t="s">
        <v>1425</v>
      </c>
      <c r="E1360" s="63" t="s">
        <v>81</v>
      </c>
      <c r="F1360" s="64">
        <v>854.7</v>
      </c>
    </row>
    <row r="1361" spans="1:6" x14ac:dyDescent="0.25">
      <c r="A1361" s="62" t="s">
        <v>4398</v>
      </c>
      <c r="B1361" s="96">
        <v>240292</v>
      </c>
      <c r="C1361" s="96" t="str">
        <f t="shared" si="154"/>
        <v>CPOS240292</v>
      </c>
      <c r="D1361" s="95" t="s">
        <v>1426</v>
      </c>
      <c r="E1361" s="63" t="s">
        <v>58</v>
      </c>
      <c r="F1361" s="64">
        <v>852.48</v>
      </c>
    </row>
    <row r="1362" spans="1:6" x14ac:dyDescent="0.25">
      <c r="A1362" s="62" t="s">
        <v>4398</v>
      </c>
      <c r="B1362" s="96">
        <v>240293</v>
      </c>
      <c r="C1362" s="96" t="str">
        <f t="shared" si="154"/>
        <v>CPOS240293</v>
      </c>
      <c r="D1362" s="95" t="s">
        <v>1427</v>
      </c>
      <c r="E1362" s="63" t="s">
        <v>81</v>
      </c>
      <c r="F1362" s="64">
        <v>411.41</v>
      </c>
    </row>
    <row r="1363" spans="1:6" x14ac:dyDescent="0.25">
      <c r="A1363" s="62" t="s">
        <v>4398</v>
      </c>
      <c r="B1363" s="96">
        <v>240296</v>
      </c>
      <c r="C1363" s="96" t="str">
        <f t="shared" si="154"/>
        <v>CPOS240296</v>
      </c>
      <c r="D1363" s="95" t="s">
        <v>1428</v>
      </c>
      <c r="E1363" s="63" t="s">
        <v>58</v>
      </c>
      <c r="F1363" s="64">
        <v>856.08</v>
      </c>
    </row>
    <row r="1364" spans="1:6" x14ac:dyDescent="0.25">
      <c r="D1364" s="94" t="s">
        <v>1429</v>
      </c>
    </row>
    <row r="1365" spans="1:6" x14ac:dyDescent="0.25">
      <c r="A1365" s="62" t="s">
        <v>4398</v>
      </c>
      <c r="B1365" s="96">
        <v>240304</v>
      </c>
      <c r="C1365" s="96" t="str">
        <f t="shared" ref="C1365:C1380" si="155">A1365&amp;B1365</f>
        <v>CPOS240304</v>
      </c>
      <c r="D1365" s="95" t="s">
        <v>1430</v>
      </c>
      <c r="E1365" s="63" t="s">
        <v>110</v>
      </c>
      <c r="F1365" s="64">
        <v>482.83</v>
      </c>
    </row>
    <row r="1366" spans="1:6" x14ac:dyDescent="0.25">
      <c r="A1366" s="62" t="s">
        <v>4398</v>
      </c>
      <c r="B1366" s="96">
        <v>240306</v>
      </c>
      <c r="C1366" s="96" t="str">
        <f t="shared" si="155"/>
        <v>CPOS240306</v>
      </c>
      <c r="D1366" s="95" t="s">
        <v>1431</v>
      </c>
      <c r="E1366" s="63" t="s">
        <v>110</v>
      </c>
      <c r="F1366" s="64">
        <v>327.62</v>
      </c>
    </row>
    <row r="1367" spans="1:6" x14ac:dyDescent="0.25">
      <c r="A1367" s="62" t="s">
        <v>4398</v>
      </c>
      <c r="B1367" s="96">
        <v>240308</v>
      </c>
      <c r="C1367" s="96" t="str">
        <f t="shared" si="155"/>
        <v>CPOS240308</v>
      </c>
      <c r="D1367" s="95" t="s">
        <v>1432</v>
      </c>
      <c r="E1367" s="63" t="s">
        <v>110</v>
      </c>
      <c r="F1367" s="64">
        <v>695.13</v>
      </c>
    </row>
    <row r="1368" spans="1:6" x14ac:dyDescent="0.25">
      <c r="A1368" s="62" t="s">
        <v>4398</v>
      </c>
      <c r="B1368" s="96">
        <v>240310</v>
      </c>
      <c r="C1368" s="96" t="str">
        <f t="shared" si="155"/>
        <v>CPOS240310</v>
      </c>
      <c r="D1368" s="95" t="s">
        <v>1433</v>
      </c>
      <c r="E1368" s="63" t="s">
        <v>81</v>
      </c>
      <c r="F1368" s="64">
        <v>933.6</v>
      </c>
    </row>
    <row r="1369" spans="1:6" ht="30" x14ac:dyDescent="0.25">
      <c r="A1369" s="62" t="s">
        <v>4398</v>
      </c>
      <c r="B1369" s="96">
        <v>240320</v>
      </c>
      <c r="C1369" s="96" t="str">
        <f t="shared" si="155"/>
        <v>CPOS240320</v>
      </c>
      <c r="D1369" s="95" t="s">
        <v>1434</v>
      </c>
      <c r="E1369" s="63" t="s">
        <v>81</v>
      </c>
      <c r="F1369" s="64">
        <v>358.8</v>
      </c>
    </row>
    <row r="1370" spans="1:6" x14ac:dyDescent="0.25">
      <c r="A1370" s="62" t="s">
        <v>4398</v>
      </c>
      <c r="B1370" s="96">
        <v>240321</v>
      </c>
      <c r="C1370" s="96" t="str">
        <f t="shared" si="155"/>
        <v>CPOS240321</v>
      </c>
      <c r="D1370" s="95" t="s">
        <v>1435</v>
      </c>
      <c r="E1370" s="63" t="s">
        <v>81</v>
      </c>
      <c r="F1370" s="64">
        <v>315.19</v>
      </c>
    </row>
    <row r="1371" spans="1:6" ht="30" x14ac:dyDescent="0.25">
      <c r="A1371" s="62" t="s">
        <v>4398</v>
      </c>
      <c r="B1371" s="96">
        <v>240329</v>
      </c>
      <c r="C1371" s="96" t="str">
        <f t="shared" si="155"/>
        <v>CPOS240329</v>
      </c>
      <c r="D1371" s="95" t="s">
        <v>1436</v>
      </c>
      <c r="E1371" s="63" t="s">
        <v>81</v>
      </c>
      <c r="F1371" s="64">
        <v>514.85</v>
      </c>
    </row>
    <row r="1372" spans="1:6" ht="30" x14ac:dyDescent="0.25">
      <c r="A1372" s="62" t="s">
        <v>4398</v>
      </c>
      <c r="B1372" s="96">
        <v>240330</v>
      </c>
      <c r="C1372" s="96" t="str">
        <f t="shared" si="155"/>
        <v>CPOS240330</v>
      </c>
      <c r="D1372" s="95" t="s">
        <v>1437</v>
      </c>
      <c r="E1372" s="63" t="s">
        <v>81</v>
      </c>
      <c r="F1372" s="64">
        <v>362.8</v>
      </c>
    </row>
    <row r="1373" spans="1:6" x14ac:dyDescent="0.25">
      <c r="A1373" s="62" t="s">
        <v>4398</v>
      </c>
      <c r="B1373" s="96">
        <v>240331</v>
      </c>
      <c r="C1373" s="96" t="str">
        <f t="shared" si="155"/>
        <v>CPOS240331</v>
      </c>
      <c r="D1373" s="95" t="s">
        <v>1438</v>
      </c>
      <c r="E1373" s="63" t="s">
        <v>110</v>
      </c>
      <c r="F1373" s="64">
        <v>127.22</v>
      </c>
    </row>
    <row r="1374" spans="1:6" x14ac:dyDescent="0.25">
      <c r="A1374" s="62" t="s">
        <v>4398</v>
      </c>
      <c r="B1374" s="96">
        <v>240332</v>
      </c>
      <c r="C1374" s="96" t="str">
        <f t="shared" si="155"/>
        <v>CPOS240332</v>
      </c>
      <c r="D1374" s="95" t="s">
        <v>1439</v>
      </c>
      <c r="E1374" s="63" t="s">
        <v>110</v>
      </c>
      <c r="F1374" s="64">
        <v>142.69999999999999</v>
      </c>
    </row>
    <row r="1375" spans="1:6" ht="30" x14ac:dyDescent="0.25">
      <c r="A1375" s="62" t="s">
        <v>4398</v>
      </c>
      <c r="B1375" s="96">
        <v>240334</v>
      </c>
      <c r="C1375" s="96" t="str">
        <f t="shared" si="155"/>
        <v>CPOS240334</v>
      </c>
      <c r="D1375" s="95" t="s">
        <v>1440</v>
      </c>
      <c r="E1375" s="63" t="s">
        <v>81</v>
      </c>
      <c r="F1375" s="64">
        <v>740.37</v>
      </c>
    </row>
    <row r="1376" spans="1:6" ht="30" x14ac:dyDescent="0.25">
      <c r="A1376" s="62" t="s">
        <v>4398</v>
      </c>
      <c r="B1376" s="96">
        <v>240341</v>
      </c>
      <c r="C1376" s="96" t="str">
        <f t="shared" si="155"/>
        <v>CPOS240341</v>
      </c>
      <c r="D1376" s="95" t="s">
        <v>1441</v>
      </c>
      <c r="E1376" s="63" t="s">
        <v>81</v>
      </c>
      <c r="F1376" s="64">
        <v>554.91</v>
      </c>
    </row>
    <row r="1377" spans="1:6" x14ac:dyDescent="0.25">
      <c r="A1377" s="62" t="s">
        <v>4398</v>
      </c>
      <c r="B1377" s="96">
        <v>240368</v>
      </c>
      <c r="C1377" s="96" t="str">
        <f t="shared" si="155"/>
        <v>CPOS240368</v>
      </c>
      <c r="D1377" s="95" t="s">
        <v>1442</v>
      </c>
      <c r="E1377" s="63" t="s">
        <v>81</v>
      </c>
      <c r="F1377" s="64">
        <v>409.47</v>
      </c>
    </row>
    <row r="1378" spans="1:6" x14ac:dyDescent="0.25">
      <c r="A1378" s="62" t="s">
        <v>4398</v>
      </c>
      <c r="B1378" s="96">
        <v>240369</v>
      </c>
      <c r="C1378" s="96" t="str">
        <f t="shared" si="155"/>
        <v>CPOS240369</v>
      </c>
      <c r="D1378" s="95" t="s">
        <v>1443</v>
      </c>
      <c r="E1378" s="63" t="s">
        <v>81</v>
      </c>
      <c r="F1378" s="64">
        <v>264.49</v>
      </c>
    </row>
    <row r="1379" spans="1:6" ht="30" x14ac:dyDescent="0.25">
      <c r="A1379" s="62" t="s">
        <v>4398</v>
      </c>
      <c r="B1379" s="96">
        <v>240393</v>
      </c>
      <c r="C1379" s="96" t="str">
        <f t="shared" si="155"/>
        <v>CPOS240393</v>
      </c>
      <c r="D1379" s="95" t="s">
        <v>1444</v>
      </c>
      <c r="E1379" s="63" t="s">
        <v>81</v>
      </c>
      <c r="F1379" s="64">
        <v>659.92</v>
      </c>
    </row>
    <row r="1380" spans="1:6" x14ac:dyDescent="0.25">
      <c r="A1380" s="62" t="s">
        <v>4398</v>
      </c>
      <c r="B1380" s="96">
        <v>240398</v>
      </c>
      <c r="C1380" s="96" t="str">
        <f t="shared" si="155"/>
        <v>CPOS240398</v>
      </c>
      <c r="D1380" s="95" t="s">
        <v>1445</v>
      </c>
      <c r="E1380" s="63" t="s">
        <v>110</v>
      </c>
      <c r="F1380" s="64">
        <v>576.75</v>
      </c>
    </row>
    <row r="1381" spans="1:6" x14ac:dyDescent="0.25">
      <c r="D1381" s="94" t="s">
        <v>1446</v>
      </c>
    </row>
    <row r="1382" spans="1:6" ht="30" x14ac:dyDescent="0.25">
      <c r="A1382" s="62" t="s">
        <v>4398</v>
      </c>
      <c r="B1382" s="96">
        <v>240415</v>
      </c>
      <c r="C1382" s="96" t="str">
        <f t="shared" ref="C1382:C1405" si="156">A1382&amp;B1382</f>
        <v>CPOS240415</v>
      </c>
      <c r="D1382" s="95" t="s">
        <v>1447</v>
      </c>
      <c r="E1382" s="63" t="s">
        <v>81</v>
      </c>
      <c r="F1382" s="64">
        <v>1483.19</v>
      </c>
    </row>
    <row r="1383" spans="1:6" x14ac:dyDescent="0.25">
      <c r="A1383" s="62" t="s">
        <v>4398</v>
      </c>
      <c r="B1383" s="96">
        <v>240422</v>
      </c>
      <c r="C1383" s="96" t="str">
        <f t="shared" si="156"/>
        <v>CPOS240422</v>
      </c>
      <c r="D1383" s="95" t="s">
        <v>1448</v>
      </c>
      <c r="E1383" s="63" t="s">
        <v>81</v>
      </c>
      <c r="F1383" s="64">
        <v>789.99</v>
      </c>
    </row>
    <row r="1384" spans="1:6" ht="30" x14ac:dyDescent="0.25">
      <c r="A1384" s="62" t="s">
        <v>4398</v>
      </c>
      <c r="B1384" s="96">
        <v>240423</v>
      </c>
      <c r="C1384" s="96" t="str">
        <f t="shared" si="156"/>
        <v>CPOS240423</v>
      </c>
      <c r="D1384" s="95" t="s">
        <v>1449</v>
      </c>
      <c r="E1384" s="63" t="s">
        <v>81</v>
      </c>
      <c r="F1384" s="64">
        <v>842.37</v>
      </c>
    </row>
    <row r="1385" spans="1:6" ht="30" x14ac:dyDescent="0.25">
      <c r="A1385" s="62" t="s">
        <v>4398</v>
      </c>
      <c r="B1385" s="96">
        <v>240424</v>
      </c>
      <c r="C1385" s="96" t="str">
        <f t="shared" si="156"/>
        <v>CPOS240424</v>
      </c>
      <c r="D1385" s="95" t="s">
        <v>1450</v>
      </c>
      <c r="E1385" s="63" t="s">
        <v>81</v>
      </c>
      <c r="F1385" s="64">
        <v>1219.24</v>
      </c>
    </row>
    <row r="1386" spans="1:6" ht="30" x14ac:dyDescent="0.25">
      <c r="A1386" s="62" t="s">
        <v>4398</v>
      </c>
      <c r="B1386" s="96">
        <v>240425</v>
      </c>
      <c r="C1386" s="96" t="str">
        <f t="shared" si="156"/>
        <v>CPOS240425</v>
      </c>
      <c r="D1386" s="95" t="s">
        <v>1451</v>
      </c>
      <c r="E1386" s="63" t="s">
        <v>81</v>
      </c>
      <c r="F1386" s="64">
        <v>1088.97</v>
      </c>
    </row>
    <row r="1387" spans="1:6" ht="30" x14ac:dyDescent="0.25">
      <c r="A1387" s="62" t="s">
        <v>4398</v>
      </c>
      <c r="B1387" s="96">
        <v>240426</v>
      </c>
      <c r="C1387" s="96" t="str">
        <f t="shared" si="156"/>
        <v>CPOS240426</v>
      </c>
      <c r="D1387" s="95" t="s">
        <v>1452</v>
      </c>
      <c r="E1387" s="63" t="s">
        <v>81</v>
      </c>
      <c r="F1387" s="64">
        <v>1363.53</v>
      </c>
    </row>
    <row r="1388" spans="1:6" ht="30" x14ac:dyDescent="0.25">
      <c r="A1388" s="62" t="s">
        <v>4398</v>
      </c>
      <c r="B1388" s="96">
        <v>240427</v>
      </c>
      <c r="C1388" s="96" t="str">
        <f t="shared" si="156"/>
        <v>CPOS240427</v>
      </c>
      <c r="D1388" s="95" t="s">
        <v>1453</v>
      </c>
      <c r="E1388" s="63" t="s">
        <v>81</v>
      </c>
      <c r="F1388" s="64">
        <v>1371.93</v>
      </c>
    </row>
    <row r="1389" spans="1:6" ht="30" x14ac:dyDescent="0.25">
      <c r="A1389" s="62" t="s">
        <v>4398</v>
      </c>
      <c r="B1389" s="96">
        <v>240428</v>
      </c>
      <c r="C1389" s="96" t="str">
        <f t="shared" si="156"/>
        <v>CPOS240428</v>
      </c>
      <c r="D1389" s="95" t="s">
        <v>1454</v>
      </c>
      <c r="E1389" s="63" t="s">
        <v>81</v>
      </c>
      <c r="F1389" s="64">
        <v>1474.92</v>
      </c>
    </row>
    <row r="1390" spans="1:6" x14ac:dyDescent="0.25">
      <c r="A1390" s="62" t="s">
        <v>4398</v>
      </c>
      <c r="B1390" s="96">
        <v>240430</v>
      </c>
      <c r="C1390" s="96" t="str">
        <f t="shared" si="156"/>
        <v>CPOS240430</v>
      </c>
      <c r="D1390" s="95" t="s">
        <v>1455</v>
      </c>
      <c r="E1390" s="63" t="s">
        <v>81</v>
      </c>
      <c r="F1390" s="64">
        <v>918.76</v>
      </c>
    </row>
    <row r="1391" spans="1:6" ht="30" x14ac:dyDescent="0.25">
      <c r="A1391" s="62" t="s">
        <v>4398</v>
      </c>
      <c r="B1391" s="96">
        <v>240431</v>
      </c>
      <c r="C1391" s="96" t="str">
        <f t="shared" si="156"/>
        <v>CPOS240431</v>
      </c>
      <c r="D1391" s="95" t="s">
        <v>1456</v>
      </c>
      <c r="E1391" s="63" t="s">
        <v>81</v>
      </c>
      <c r="F1391" s="64">
        <v>991.65</v>
      </c>
    </row>
    <row r="1392" spans="1:6" ht="30" x14ac:dyDescent="0.25">
      <c r="A1392" s="62" t="s">
        <v>4398</v>
      </c>
      <c r="B1392" s="96">
        <v>240432</v>
      </c>
      <c r="C1392" s="96" t="str">
        <f t="shared" si="156"/>
        <v>CPOS240432</v>
      </c>
      <c r="D1392" s="95" t="s">
        <v>1457</v>
      </c>
      <c r="E1392" s="63" t="s">
        <v>81</v>
      </c>
      <c r="F1392" s="64">
        <v>1416.65</v>
      </c>
    </row>
    <row r="1393" spans="1:6" ht="30" x14ac:dyDescent="0.25">
      <c r="A1393" s="62" t="s">
        <v>4398</v>
      </c>
      <c r="B1393" s="96">
        <v>240433</v>
      </c>
      <c r="C1393" s="96" t="str">
        <f t="shared" si="156"/>
        <v>CPOS240433</v>
      </c>
      <c r="D1393" s="95" t="s">
        <v>1458</v>
      </c>
      <c r="E1393" s="63" t="s">
        <v>81</v>
      </c>
      <c r="F1393" s="64">
        <v>1243.0999999999999</v>
      </c>
    </row>
    <row r="1394" spans="1:6" ht="30" x14ac:dyDescent="0.25">
      <c r="A1394" s="62" t="s">
        <v>4398</v>
      </c>
      <c r="B1394" s="96">
        <v>240434</v>
      </c>
      <c r="C1394" s="96" t="str">
        <f t="shared" si="156"/>
        <v>CPOS240434</v>
      </c>
      <c r="D1394" s="95" t="s">
        <v>1459</v>
      </c>
      <c r="E1394" s="63" t="s">
        <v>81</v>
      </c>
      <c r="F1394" s="64">
        <v>1573.4</v>
      </c>
    </row>
    <row r="1395" spans="1:6" ht="30" x14ac:dyDescent="0.25">
      <c r="A1395" s="62" t="s">
        <v>4398</v>
      </c>
      <c r="B1395" s="96">
        <v>240435</v>
      </c>
      <c r="C1395" s="96" t="str">
        <f t="shared" si="156"/>
        <v>CPOS240435</v>
      </c>
      <c r="D1395" s="95" t="s">
        <v>1460</v>
      </c>
      <c r="E1395" s="63" t="s">
        <v>81</v>
      </c>
      <c r="F1395" s="64">
        <v>1595.47</v>
      </c>
    </row>
    <row r="1396" spans="1:6" ht="30" x14ac:dyDescent="0.25">
      <c r="A1396" s="62" t="s">
        <v>4398</v>
      </c>
      <c r="B1396" s="96">
        <v>240436</v>
      </c>
      <c r="C1396" s="96" t="str">
        <f t="shared" si="156"/>
        <v>CPOS240436</v>
      </c>
      <c r="D1396" s="95" t="s">
        <v>1461</v>
      </c>
      <c r="E1396" s="63" t="s">
        <v>81</v>
      </c>
      <c r="F1396" s="64">
        <v>1591.08</v>
      </c>
    </row>
    <row r="1397" spans="1:6" ht="30" x14ac:dyDescent="0.25">
      <c r="A1397" s="62" t="s">
        <v>4398</v>
      </c>
      <c r="B1397" s="96">
        <v>240437</v>
      </c>
      <c r="C1397" s="96" t="str">
        <f t="shared" si="156"/>
        <v>CPOS240437</v>
      </c>
      <c r="D1397" s="95" t="s">
        <v>1462</v>
      </c>
      <c r="E1397" s="63" t="s">
        <v>81</v>
      </c>
      <c r="F1397" s="64">
        <v>1710.89</v>
      </c>
    </row>
    <row r="1398" spans="1:6" ht="30" x14ac:dyDescent="0.25">
      <c r="A1398" s="62" t="s">
        <v>4398</v>
      </c>
      <c r="B1398" s="96">
        <v>240438</v>
      </c>
      <c r="C1398" s="96" t="str">
        <f t="shared" si="156"/>
        <v>CPOS240438</v>
      </c>
      <c r="D1398" s="95" t="s">
        <v>1463</v>
      </c>
      <c r="E1398" s="63" t="s">
        <v>81</v>
      </c>
      <c r="F1398" s="64">
        <v>1555.49</v>
      </c>
    </row>
    <row r="1399" spans="1:6" ht="30" x14ac:dyDescent="0.25">
      <c r="A1399" s="62" t="s">
        <v>4398</v>
      </c>
      <c r="B1399" s="96">
        <v>240440</v>
      </c>
      <c r="C1399" s="96" t="str">
        <f t="shared" si="156"/>
        <v>CPOS240440</v>
      </c>
      <c r="D1399" s="95" t="s">
        <v>1464</v>
      </c>
      <c r="E1399" s="63" t="s">
        <v>81</v>
      </c>
      <c r="F1399" s="64">
        <v>1307.4000000000001</v>
      </c>
    </row>
    <row r="1400" spans="1:6" ht="30" x14ac:dyDescent="0.25">
      <c r="A1400" s="62" t="s">
        <v>4398</v>
      </c>
      <c r="B1400" s="96">
        <v>240441</v>
      </c>
      <c r="C1400" s="96" t="str">
        <f t="shared" si="156"/>
        <v>CPOS240441</v>
      </c>
      <c r="D1400" s="95" t="s">
        <v>1465</v>
      </c>
      <c r="E1400" s="63" t="s">
        <v>81</v>
      </c>
      <c r="F1400" s="64">
        <v>1733.8500000000001</v>
      </c>
    </row>
    <row r="1401" spans="1:6" ht="30" x14ac:dyDescent="0.25">
      <c r="A1401" s="62" t="s">
        <v>4398</v>
      </c>
      <c r="B1401" s="96">
        <v>240442</v>
      </c>
      <c r="C1401" s="96" t="str">
        <f t="shared" si="156"/>
        <v>CPOS240442</v>
      </c>
      <c r="D1401" s="95" t="s">
        <v>1466</v>
      </c>
      <c r="E1401" s="63" t="s">
        <v>81</v>
      </c>
      <c r="F1401" s="64">
        <v>1392.25</v>
      </c>
    </row>
    <row r="1402" spans="1:6" ht="30" x14ac:dyDescent="0.25">
      <c r="A1402" s="62" t="s">
        <v>4398</v>
      </c>
      <c r="B1402" s="96">
        <v>240443</v>
      </c>
      <c r="C1402" s="96" t="str">
        <f t="shared" si="156"/>
        <v>CPOS240443</v>
      </c>
      <c r="D1402" s="95" t="s">
        <v>1467</v>
      </c>
      <c r="E1402" s="63" t="s">
        <v>81</v>
      </c>
      <c r="F1402" s="64">
        <v>1121.6300000000001</v>
      </c>
    </row>
    <row r="1403" spans="1:6" ht="30" x14ac:dyDescent="0.25">
      <c r="A1403" s="62" t="s">
        <v>4398</v>
      </c>
      <c r="B1403" s="96">
        <v>240461</v>
      </c>
      <c r="C1403" s="96" t="str">
        <f t="shared" si="156"/>
        <v>CPOS240461</v>
      </c>
      <c r="D1403" s="95" t="s">
        <v>1468</v>
      </c>
      <c r="E1403" s="63" t="s">
        <v>81</v>
      </c>
      <c r="F1403" s="64">
        <v>670.13</v>
      </c>
    </row>
    <row r="1404" spans="1:6" ht="30" x14ac:dyDescent="0.25">
      <c r="A1404" s="62" t="s">
        <v>4398</v>
      </c>
      <c r="B1404" s="96">
        <v>240462</v>
      </c>
      <c r="C1404" s="96" t="str">
        <f t="shared" si="156"/>
        <v>CPOS240462</v>
      </c>
      <c r="D1404" s="95" t="s">
        <v>1469</v>
      </c>
      <c r="E1404" s="63" t="s">
        <v>81</v>
      </c>
      <c r="F1404" s="64">
        <v>1256.04</v>
      </c>
    </row>
    <row r="1405" spans="1:6" ht="30" x14ac:dyDescent="0.25">
      <c r="A1405" s="62" t="s">
        <v>4398</v>
      </c>
      <c r="B1405" s="96">
        <v>240463</v>
      </c>
      <c r="C1405" s="96" t="str">
        <f t="shared" si="156"/>
        <v>CPOS240463</v>
      </c>
      <c r="D1405" s="95" t="s">
        <v>1470</v>
      </c>
      <c r="E1405" s="63" t="s">
        <v>81</v>
      </c>
      <c r="F1405" s="64">
        <v>1048.21</v>
      </c>
    </row>
    <row r="1406" spans="1:6" x14ac:dyDescent="0.25">
      <c r="D1406" s="94" t="s">
        <v>1471</v>
      </c>
    </row>
    <row r="1407" spans="1:6" ht="30" x14ac:dyDescent="0.25">
      <c r="A1407" s="62" t="s">
        <v>4398</v>
      </c>
      <c r="B1407" s="96">
        <v>240504</v>
      </c>
      <c r="C1407" s="96" t="str">
        <f t="shared" ref="C1407:C1412" si="157">A1407&amp;B1407</f>
        <v>CPOS240504</v>
      </c>
      <c r="D1407" s="95" t="s">
        <v>1472</v>
      </c>
      <c r="E1407" s="63" t="s">
        <v>81</v>
      </c>
      <c r="F1407" s="64">
        <v>1257.67</v>
      </c>
    </row>
    <row r="1408" spans="1:6" ht="30" x14ac:dyDescent="0.25">
      <c r="A1408" s="62" t="s">
        <v>4398</v>
      </c>
      <c r="B1408" s="96">
        <v>240505</v>
      </c>
      <c r="C1408" s="96" t="str">
        <f t="shared" si="157"/>
        <v>CPOS240505</v>
      </c>
      <c r="D1408" s="95" t="s">
        <v>1473</v>
      </c>
      <c r="E1408" s="63" t="s">
        <v>81</v>
      </c>
      <c r="F1408" s="64">
        <v>994.4</v>
      </c>
    </row>
    <row r="1409" spans="1:6" ht="30" x14ac:dyDescent="0.25">
      <c r="A1409" s="62" t="s">
        <v>4398</v>
      </c>
      <c r="B1409" s="96">
        <v>240506</v>
      </c>
      <c r="C1409" s="96" t="str">
        <f t="shared" si="157"/>
        <v>CPOS240506</v>
      </c>
      <c r="D1409" s="95" t="s">
        <v>1474</v>
      </c>
      <c r="E1409" s="63" t="s">
        <v>81</v>
      </c>
      <c r="F1409" s="64">
        <v>784.74</v>
      </c>
    </row>
    <row r="1410" spans="1:6" x14ac:dyDescent="0.25">
      <c r="A1410" s="62" t="s">
        <v>4398</v>
      </c>
      <c r="B1410" s="96">
        <v>240512</v>
      </c>
      <c r="C1410" s="96" t="str">
        <f t="shared" si="157"/>
        <v>CPOS240512</v>
      </c>
      <c r="D1410" s="95" t="s">
        <v>1475</v>
      </c>
      <c r="E1410" s="63" t="s">
        <v>117</v>
      </c>
      <c r="F1410" s="64">
        <v>16875.150000000001</v>
      </c>
    </row>
    <row r="1411" spans="1:6" ht="30" x14ac:dyDescent="0.25">
      <c r="A1411" s="62" t="s">
        <v>4398</v>
      </c>
      <c r="B1411" s="96">
        <v>240517</v>
      </c>
      <c r="C1411" s="96" t="str">
        <f t="shared" si="157"/>
        <v>CPOS240517</v>
      </c>
      <c r="D1411" s="95" t="s">
        <v>1476</v>
      </c>
      <c r="E1411" s="63" t="s">
        <v>81</v>
      </c>
      <c r="F1411" s="64">
        <v>1321.26</v>
      </c>
    </row>
    <row r="1412" spans="1:6" ht="30" x14ac:dyDescent="0.25">
      <c r="A1412" s="62" t="s">
        <v>4398</v>
      </c>
      <c r="B1412" s="96">
        <v>240518</v>
      </c>
      <c r="C1412" s="96" t="str">
        <f t="shared" si="157"/>
        <v>CPOS240518</v>
      </c>
      <c r="D1412" s="95" t="s">
        <v>1477</v>
      </c>
      <c r="E1412" s="63" t="s">
        <v>81</v>
      </c>
      <c r="F1412" s="64">
        <v>1389.19</v>
      </c>
    </row>
    <row r="1413" spans="1:6" x14ac:dyDescent="0.25">
      <c r="D1413" s="94" t="s">
        <v>1380</v>
      </c>
    </row>
    <row r="1414" spans="1:6" x14ac:dyDescent="0.25">
      <c r="A1414" s="62" t="s">
        <v>4398</v>
      </c>
      <c r="B1414" s="96">
        <v>240603</v>
      </c>
      <c r="C1414" s="96" t="str">
        <f>A1414&amp;B1414</f>
        <v>CPOS240603</v>
      </c>
      <c r="D1414" s="95" t="s">
        <v>1478</v>
      </c>
      <c r="E1414" s="63" t="s">
        <v>110</v>
      </c>
      <c r="F1414" s="64">
        <v>713.17</v>
      </c>
    </row>
    <row r="1415" spans="1:6" x14ac:dyDescent="0.25">
      <c r="D1415" s="94" t="s">
        <v>1399</v>
      </c>
    </row>
    <row r="1416" spans="1:6" x14ac:dyDescent="0.25">
      <c r="A1416" s="62" t="s">
        <v>4398</v>
      </c>
      <c r="B1416" s="96">
        <v>240703</v>
      </c>
      <c r="C1416" s="96" t="str">
        <f t="shared" ref="C1416:C1417" si="158">A1416&amp;B1416</f>
        <v>CPOS240703</v>
      </c>
      <c r="D1416" s="95" t="s">
        <v>1479</v>
      </c>
      <c r="E1416" s="63" t="s">
        <v>81</v>
      </c>
      <c r="F1416" s="64">
        <v>463.40000000000003</v>
      </c>
    </row>
    <row r="1417" spans="1:6" ht="30" x14ac:dyDescent="0.25">
      <c r="A1417" s="62" t="s">
        <v>4398</v>
      </c>
      <c r="B1417" s="96">
        <v>240704</v>
      </c>
      <c r="C1417" s="96" t="str">
        <f t="shared" si="158"/>
        <v>CPOS240704</v>
      </c>
      <c r="D1417" s="95" t="s">
        <v>1480</v>
      </c>
      <c r="E1417" s="63" t="s">
        <v>81</v>
      </c>
      <c r="F1417" s="64">
        <v>613.76</v>
      </c>
    </row>
    <row r="1418" spans="1:6" x14ac:dyDescent="0.25">
      <c r="D1418" s="94" t="s">
        <v>1481</v>
      </c>
    </row>
    <row r="1419" spans="1:6" ht="30" x14ac:dyDescent="0.25">
      <c r="A1419" s="62" t="s">
        <v>4398</v>
      </c>
      <c r="B1419" s="96">
        <v>240802</v>
      </c>
      <c r="C1419" s="96" t="str">
        <f t="shared" ref="C1419:C1421" si="159">A1419&amp;B1419</f>
        <v>CPOS240802</v>
      </c>
      <c r="D1419" s="95" t="s">
        <v>1482</v>
      </c>
      <c r="E1419" s="63" t="s">
        <v>110</v>
      </c>
      <c r="F1419" s="64">
        <v>797.59</v>
      </c>
    </row>
    <row r="1420" spans="1:6" x14ac:dyDescent="0.25">
      <c r="A1420" s="62" t="s">
        <v>4398</v>
      </c>
      <c r="B1420" s="96">
        <v>240803</v>
      </c>
      <c r="C1420" s="96" t="str">
        <f t="shared" si="159"/>
        <v>CPOS240803</v>
      </c>
      <c r="D1420" s="95" t="s">
        <v>1483</v>
      </c>
      <c r="E1420" s="63" t="s">
        <v>110</v>
      </c>
      <c r="F1420" s="64">
        <v>893.94</v>
      </c>
    </row>
    <row r="1421" spans="1:6" ht="30" x14ac:dyDescent="0.25">
      <c r="A1421" s="62" t="s">
        <v>4398</v>
      </c>
      <c r="B1421" s="96">
        <v>240804</v>
      </c>
      <c r="C1421" s="96" t="str">
        <f t="shared" si="159"/>
        <v>CPOS240804</v>
      </c>
      <c r="D1421" s="95" t="s">
        <v>1484</v>
      </c>
      <c r="E1421" s="63" t="s">
        <v>110</v>
      </c>
      <c r="F1421" s="64">
        <v>712.07</v>
      </c>
    </row>
    <row r="1422" spans="1:6" x14ac:dyDescent="0.25">
      <c r="D1422" s="94" t="s">
        <v>693</v>
      </c>
    </row>
    <row r="1423" spans="1:6" x14ac:dyDescent="0.25">
      <c r="A1423" s="62" t="s">
        <v>4398</v>
      </c>
      <c r="B1423" s="96">
        <v>242002</v>
      </c>
      <c r="C1423" s="96" t="str">
        <f t="shared" ref="C1423:C1434" si="160">A1423&amp;B1423</f>
        <v>CPOS242002</v>
      </c>
      <c r="D1423" s="95" t="s">
        <v>1485</v>
      </c>
      <c r="E1423" s="63" t="s">
        <v>81</v>
      </c>
      <c r="F1423" s="64">
        <v>25.07</v>
      </c>
    </row>
    <row r="1424" spans="1:6" x14ac:dyDescent="0.25">
      <c r="A1424" s="62" t="s">
        <v>4398</v>
      </c>
      <c r="B1424" s="96">
        <v>242004</v>
      </c>
      <c r="C1424" s="96" t="str">
        <f t="shared" si="160"/>
        <v>CPOS242004</v>
      </c>
      <c r="D1424" s="95" t="s">
        <v>1486</v>
      </c>
      <c r="E1424" s="63" t="s">
        <v>110</v>
      </c>
      <c r="F1424" s="64">
        <v>7.51</v>
      </c>
    </row>
    <row r="1425" spans="1:6" x14ac:dyDescent="0.25">
      <c r="A1425" s="62" t="s">
        <v>4398</v>
      </c>
      <c r="B1425" s="96">
        <v>242006</v>
      </c>
      <c r="C1425" s="96" t="str">
        <f t="shared" si="160"/>
        <v>CPOS242006</v>
      </c>
      <c r="D1425" s="95" t="s">
        <v>1487</v>
      </c>
      <c r="E1425" s="63" t="s">
        <v>110</v>
      </c>
      <c r="F1425" s="64">
        <v>15.040000000000001</v>
      </c>
    </row>
    <row r="1426" spans="1:6" x14ac:dyDescent="0.25">
      <c r="A1426" s="62" t="s">
        <v>4398</v>
      </c>
      <c r="B1426" s="96">
        <v>242009</v>
      </c>
      <c r="C1426" s="96" t="str">
        <f t="shared" si="160"/>
        <v>CPOS242009</v>
      </c>
      <c r="D1426" s="95" t="s">
        <v>1488</v>
      </c>
      <c r="E1426" s="63" t="s">
        <v>110</v>
      </c>
      <c r="F1426" s="64">
        <v>30.310000000000002</v>
      </c>
    </row>
    <row r="1427" spans="1:6" x14ac:dyDescent="0.25">
      <c r="A1427" s="62" t="s">
        <v>4398</v>
      </c>
      <c r="B1427" s="96">
        <v>242010</v>
      </c>
      <c r="C1427" s="96" t="str">
        <f t="shared" si="160"/>
        <v>CPOS242010</v>
      </c>
      <c r="D1427" s="95" t="s">
        <v>1489</v>
      </c>
      <c r="E1427" s="63" t="s">
        <v>117</v>
      </c>
      <c r="F1427" s="64">
        <v>1534.2</v>
      </c>
    </row>
    <row r="1428" spans="1:6" x14ac:dyDescent="0.25">
      <c r="A1428" s="62" t="s">
        <v>4398</v>
      </c>
      <c r="B1428" s="96">
        <v>242012</v>
      </c>
      <c r="C1428" s="96" t="str">
        <f t="shared" si="160"/>
        <v>CPOS242012</v>
      </c>
      <c r="D1428" s="95" t="s">
        <v>1490</v>
      </c>
      <c r="E1428" s="63" t="s">
        <v>110</v>
      </c>
      <c r="F1428" s="64">
        <v>81.56</v>
      </c>
    </row>
    <row r="1429" spans="1:6" ht="30" x14ac:dyDescent="0.25">
      <c r="A1429" s="62" t="s">
        <v>4398</v>
      </c>
      <c r="B1429" s="96">
        <v>242014</v>
      </c>
      <c r="C1429" s="96" t="str">
        <f t="shared" si="160"/>
        <v>CPOS242014</v>
      </c>
      <c r="D1429" s="95" t="s">
        <v>1491</v>
      </c>
      <c r="E1429" s="63" t="s">
        <v>110</v>
      </c>
      <c r="F1429" s="64">
        <v>143.44999999999999</v>
      </c>
    </row>
    <row r="1430" spans="1:6" x14ac:dyDescent="0.25">
      <c r="A1430" s="62" t="s">
        <v>4398</v>
      </c>
      <c r="B1430" s="96">
        <v>242020</v>
      </c>
      <c r="C1430" s="96" t="str">
        <f t="shared" si="160"/>
        <v>CPOS242020</v>
      </c>
      <c r="D1430" s="95" t="s">
        <v>1492</v>
      </c>
      <c r="E1430" s="63" t="s">
        <v>81</v>
      </c>
      <c r="F1430" s="64">
        <v>111.94</v>
      </c>
    </row>
    <row r="1431" spans="1:6" x14ac:dyDescent="0.25">
      <c r="A1431" s="62" t="s">
        <v>4398</v>
      </c>
      <c r="B1431" s="96">
        <v>242023</v>
      </c>
      <c r="C1431" s="96" t="str">
        <f t="shared" si="160"/>
        <v>CPOS242023</v>
      </c>
      <c r="D1431" s="95" t="s">
        <v>1493</v>
      </c>
      <c r="E1431" s="63" t="s">
        <v>81</v>
      </c>
      <c r="F1431" s="64">
        <v>57.870000000000005</v>
      </c>
    </row>
    <row r="1432" spans="1:6" x14ac:dyDescent="0.25">
      <c r="A1432" s="62" t="s">
        <v>4398</v>
      </c>
      <c r="B1432" s="96">
        <v>242027</v>
      </c>
      <c r="C1432" s="96" t="str">
        <f t="shared" si="160"/>
        <v>CPOS242027</v>
      </c>
      <c r="D1432" s="95" t="s">
        <v>1494</v>
      </c>
      <c r="E1432" s="63" t="s">
        <v>81</v>
      </c>
      <c r="F1432" s="64">
        <v>19.690000000000001</v>
      </c>
    </row>
    <row r="1433" spans="1:6" ht="30" x14ac:dyDescent="0.25">
      <c r="A1433" s="62" t="s">
        <v>4398</v>
      </c>
      <c r="B1433" s="96">
        <v>242030</v>
      </c>
      <c r="C1433" s="96" t="str">
        <f t="shared" si="160"/>
        <v>CPOS242030</v>
      </c>
      <c r="D1433" s="95" t="s">
        <v>1495</v>
      </c>
      <c r="E1433" s="63" t="s">
        <v>81</v>
      </c>
      <c r="F1433" s="64">
        <v>301.55</v>
      </c>
    </row>
    <row r="1434" spans="1:6" ht="30" x14ac:dyDescent="0.25">
      <c r="A1434" s="62" t="s">
        <v>4398</v>
      </c>
      <c r="B1434" s="96">
        <v>242031</v>
      </c>
      <c r="C1434" s="96" t="str">
        <f t="shared" si="160"/>
        <v>CPOS242031</v>
      </c>
      <c r="D1434" s="95" t="s">
        <v>1496</v>
      </c>
      <c r="E1434" s="63" t="s">
        <v>81</v>
      </c>
      <c r="F1434" s="64">
        <v>459.01</v>
      </c>
    </row>
    <row r="1435" spans="1:6" x14ac:dyDescent="0.25">
      <c r="D1435" s="94" t="s">
        <v>1497</v>
      </c>
    </row>
    <row r="1436" spans="1:6" x14ac:dyDescent="0.25">
      <c r="D1436" s="94" t="s">
        <v>1498</v>
      </c>
    </row>
    <row r="1437" spans="1:6" x14ac:dyDescent="0.25">
      <c r="A1437" s="62" t="s">
        <v>4398</v>
      </c>
      <c r="B1437" s="96">
        <v>250102</v>
      </c>
      <c r="C1437" s="96" t="str">
        <f t="shared" ref="C1437:C1464" si="161">A1437&amp;B1437</f>
        <v>CPOS250102</v>
      </c>
      <c r="D1437" s="95" t="s">
        <v>1499</v>
      </c>
      <c r="E1437" s="63" t="s">
        <v>81</v>
      </c>
      <c r="F1437" s="64">
        <v>534.37</v>
      </c>
    </row>
    <row r="1438" spans="1:6" x14ac:dyDescent="0.25">
      <c r="A1438" s="62" t="s">
        <v>4398</v>
      </c>
      <c r="B1438" s="96">
        <v>250103</v>
      </c>
      <c r="C1438" s="96" t="str">
        <f t="shared" si="161"/>
        <v>CPOS250103</v>
      </c>
      <c r="D1438" s="95" t="s">
        <v>1500</v>
      </c>
      <c r="E1438" s="63" t="s">
        <v>81</v>
      </c>
      <c r="F1438" s="64">
        <v>277.76</v>
      </c>
    </row>
    <row r="1439" spans="1:6" x14ac:dyDescent="0.25">
      <c r="A1439" s="62" t="s">
        <v>4398</v>
      </c>
      <c r="B1439" s="96">
        <v>250104</v>
      </c>
      <c r="C1439" s="96" t="str">
        <f t="shared" si="161"/>
        <v>CPOS250104</v>
      </c>
      <c r="D1439" s="95" t="s">
        <v>1501</v>
      </c>
      <c r="E1439" s="63" t="s">
        <v>81</v>
      </c>
      <c r="F1439" s="64">
        <v>610.01</v>
      </c>
    </row>
    <row r="1440" spans="1:6" x14ac:dyDescent="0.25">
      <c r="A1440" s="62" t="s">
        <v>4398</v>
      </c>
      <c r="B1440" s="96">
        <v>250105</v>
      </c>
      <c r="C1440" s="96" t="str">
        <f t="shared" si="161"/>
        <v>CPOS250105</v>
      </c>
      <c r="D1440" s="95" t="s">
        <v>1502</v>
      </c>
      <c r="E1440" s="63" t="s">
        <v>81</v>
      </c>
      <c r="F1440" s="64">
        <v>671.41</v>
      </c>
    </row>
    <row r="1441" spans="1:6" x14ac:dyDescent="0.25">
      <c r="A1441" s="62" t="s">
        <v>4398</v>
      </c>
      <c r="B1441" s="96">
        <v>250106</v>
      </c>
      <c r="C1441" s="96" t="str">
        <f t="shared" si="161"/>
        <v>CPOS250106</v>
      </c>
      <c r="D1441" s="95" t="s">
        <v>1503</v>
      </c>
      <c r="E1441" s="63" t="s">
        <v>81</v>
      </c>
      <c r="F1441" s="64">
        <v>536.9</v>
      </c>
    </row>
    <row r="1442" spans="1:6" x14ac:dyDescent="0.25">
      <c r="A1442" s="62" t="s">
        <v>4398</v>
      </c>
      <c r="B1442" s="96">
        <v>250107</v>
      </c>
      <c r="C1442" s="96" t="str">
        <f t="shared" si="161"/>
        <v>CPOS250107</v>
      </c>
      <c r="D1442" s="95" t="s">
        <v>1504</v>
      </c>
      <c r="E1442" s="63" t="s">
        <v>81</v>
      </c>
      <c r="F1442" s="64">
        <v>257.19</v>
      </c>
    </row>
    <row r="1443" spans="1:6" x14ac:dyDescent="0.25">
      <c r="A1443" s="62" t="s">
        <v>4398</v>
      </c>
      <c r="B1443" s="96">
        <v>250108</v>
      </c>
      <c r="C1443" s="96" t="str">
        <f t="shared" si="161"/>
        <v>CPOS250108</v>
      </c>
      <c r="D1443" s="95" t="s">
        <v>1505</v>
      </c>
      <c r="E1443" s="63" t="s">
        <v>81</v>
      </c>
      <c r="F1443" s="64">
        <v>555.67999999999995</v>
      </c>
    </row>
    <row r="1444" spans="1:6" x14ac:dyDescent="0.25">
      <c r="A1444" s="62" t="s">
        <v>4398</v>
      </c>
      <c r="B1444" s="96">
        <v>250109</v>
      </c>
      <c r="C1444" s="96" t="str">
        <f t="shared" si="161"/>
        <v>CPOS250109</v>
      </c>
      <c r="D1444" s="95" t="s">
        <v>1506</v>
      </c>
      <c r="E1444" s="63" t="s">
        <v>81</v>
      </c>
      <c r="F1444" s="64">
        <v>634.20000000000005</v>
      </c>
    </row>
    <row r="1445" spans="1:6" x14ac:dyDescent="0.25">
      <c r="A1445" s="62" t="s">
        <v>4398</v>
      </c>
      <c r="B1445" s="96">
        <v>250110</v>
      </c>
      <c r="C1445" s="96" t="str">
        <f t="shared" si="161"/>
        <v>CPOS250110</v>
      </c>
      <c r="D1445" s="95" t="s">
        <v>1507</v>
      </c>
      <c r="E1445" s="63" t="s">
        <v>81</v>
      </c>
      <c r="F1445" s="64">
        <v>630.61</v>
      </c>
    </row>
    <row r="1446" spans="1:6" x14ac:dyDescent="0.25">
      <c r="A1446" s="62" t="s">
        <v>4398</v>
      </c>
      <c r="B1446" s="96">
        <v>250111</v>
      </c>
      <c r="C1446" s="96" t="str">
        <f t="shared" si="161"/>
        <v>CPOS250111</v>
      </c>
      <c r="D1446" s="95" t="s">
        <v>1508</v>
      </c>
      <c r="E1446" s="63" t="s">
        <v>81</v>
      </c>
      <c r="F1446" s="64">
        <v>502.38</v>
      </c>
    </row>
    <row r="1447" spans="1:6" ht="30" x14ac:dyDescent="0.25">
      <c r="A1447" s="62" t="s">
        <v>4398</v>
      </c>
      <c r="B1447" s="96">
        <v>250112</v>
      </c>
      <c r="C1447" s="96" t="str">
        <f t="shared" si="161"/>
        <v>CPOS250112</v>
      </c>
      <c r="D1447" s="95" t="s">
        <v>1509</v>
      </c>
      <c r="E1447" s="63" t="s">
        <v>81</v>
      </c>
      <c r="F1447" s="64">
        <v>208</v>
      </c>
    </row>
    <row r="1448" spans="1:6" x14ac:dyDescent="0.25">
      <c r="A1448" s="62" t="s">
        <v>4398</v>
      </c>
      <c r="B1448" s="96">
        <v>250124</v>
      </c>
      <c r="C1448" s="96" t="str">
        <f t="shared" si="161"/>
        <v>CPOS250124</v>
      </c>
      <c r="D1448" s="95" t="s">
        <v>1510</v>
      </c>
      <c r="E1448" s="63" t="s">
        <v>81</v>
      </c>
      <c r="F1448" s="64">
        <v>450</v>
      </c>
    </row>
    <row r="1449" spans="1:6" x14ac:dyDescent="0.25">
      <c r="A1449" s="62" t="s">
        <v>4398</v>
      </c>
      <c r="B1449" s="96">
        <v>250136</v>
      </c>
      <c r="C1449" s="96" t="str">
        <f t="shared" si="161"/>
        <v>CPOS250136</v>
      </c>
      <c r="D1449" s="95" t="s">
        <v>1511</v>
      </c>
      <c r="E1449" s="63" t="s">
        <v>81</v>
      </c>
      <c r="F1449" s="64">
        <v>926.99</v>
      </c>
    </row>
    <row r="1450" spans="1:6" x14ac:dyDescent="0.25">
      <c r="A1450" s="62" t="s">
        <v>4398</v>
      </c>
      <c r="B1450" s="96">
        <v>250137</v>
      </c>
      <c r="C1450" s="96" t="str">
        <f t="shared" si="161"/>
        <v>CPOS250137</v>
      </c>
      <c r="D1450" s="95" t="s">
        <v>1512</v>
      </c>
      <c r="E1450" s="63" t="s">
        <v>81</v>
      </c>
      <c r="F1450" s="64">
        <v>766.08</v>
      </c>
    </row>
    <row r="1451" spans="1:6" x14ac:dyDescent="0.25">
      <c r="A1451" s="62" t="s">
        <v>4398</v>
      </c>
      <c r="B1451" s="96">
        <v>250138</v>
      </c>
      <c r="C1451" s="96" t="str">
        <f t="shared" si="161"/>
        <v>CPOS250138</v>
      </c>
      <c r="D1451" s="95" t="s">
        <v>1513</v>
      </c>
      <c r="E1451" s="63" t="s">
        <v>81</v>
      </c>
      <c r="F1451" s="64">
        <v>633.9</v>
      </c>
    </row>
    <row r="1452" spans="1:6" x14ac:dyDescent="0.25">
      <c r="A1452" s="62" t="s">
        <v>4398</v>
      </c>
      <c r="B1452" s="96">
        <v>250140</v>
      </c>
      <c r="C1452" s="96" t="str">
        <f t="shared" si="161"/>
        <v>CPOS250140</v>
      </c>
      <c r="D1452" s="95" t="s">
        <v>1514</v>
      </c>
      <c r="E1452" s="63" t="s">
        <v>81</v>
      </c>
      <c r="F1452" s="64">
        <v>466.36</v>
      </c>
    </row>
    <row r="1453" spans="1:6" x14ac:dyDescent="0.25">
      <c r="A1453" s="62" t="s">
        <v>4398</v>
      </c>
      <c r="B1453" s="96">
        <v>250141</v>
      </c>
      <c r="C1453" s="96" t="str">
        <f t="shared" si="161"/>
        <v>CPOS250141</v>
      </c>
      <c r="D1453" s="95" t="s">
        <v>1515</v>
      </c>
      <c r="E1453" s="63" t="s">
        <v>81</v>
      </c>
      <c r="F1453" s="64">
        <v>541.5</v>
      </c>
    </row>
    <row r="1454" spans="1:6" x14ac:dyDescent="0.25">
      <c r="A1454" s="62" t="s">
        <v>4398</v>
      </c>
      <c r="B1454" s="96">
        <v>250143</v>
      </c>
      <c r="C1454" s="96" t="str">
        <f t="shared" si="161"/>
        <v>CPOS250143</v>
      </c>
      <c r="D1454" s="95" t="s">
        <v>1516</v>
      </c>
      <c r="E1454" s="63" t="s">
        <v>81</v>
      </c>
      <c r="F1454" s="64">
        <v>425.42</v>
      </c>
    </row>
    <row r="1455" spans="1:6" x14ac:dyDescent="0.25">
      <c r="A1455" s="62" t="s">
        <v>4398</v>
      </c>
      <c r="B1455" s="96">
        <v>250144</v>
      </c>
      <c r="C1455" s="96" t="str">
        <f t="shared" si="161"/>
        <v>CPOS250144</v>
      </c>
      <c r="D1455" s="95" t="s">
        <v>1517</v>
      </c>
      <c r="E1455" s="63" t="s">
        <v>81</v>
      </c>
      <c r="F1455" s="64">
        <v>436.67</v>
      </c>
    </row>
    <row r="1456" spans="1:6" x14ac:dyDescent="0.25">
      <c r="A1456" s="62" t="s">
        <v>4398</v>
      </c>
      <c r="B1456" s="96">
        <v>250145</v>
      </c>
      <c r="C1456" s="96" t="str">
        <f t="shared" si="161"/>
        <v>CPOS250145</v>
      </c>
      <c r="D1456" s="95" t="s">
        <v>1518</v>
      </c>
      <c r="E1456" s="63" t="s">
        <v>81</v>
      </c>
      <c r="F1456" s="64">
        <v>531.66999999999996</v>
      </c>
    </row>
    <row r="1457" spans="1:6" x14ac:dyDescent="0.25">
      <c r="A1457" s="62" t="s">
        <v>4398</v>
      </c>
      <c r="B1457" s="96">
        <v>250146</v>
      </c>
      <c r="C1457" s="96" t="str">
        <f t="shared" si="161"/>
        <v>CPOS250146</v>
      </c>
      <c r="D1457" s="95" t="s">
        <v>1519</v>
      </c>
      <c r="E1457" s="63" t="s">
        <v>81</v>
      </c>
      <c r="F1457" s="64">
        <v>567</v>
      </c>
    </row>
    <row r="1458" spans="1:6" x14ac:dyDescent="0.25">
      <c r="A1458" s="62" t="s">
        <v>4398</v>
      </c>
      <c r="B1458" s="96">
        <v>250147</v>
      </c>
      <c r="C1458" s="96" t="str">
        <f t="shared" si="161"/>
        <v>CPOS250147</v>
      </c>
      <c r="D1458" s="95" t="s">
        <v>1520</v>
      </c>
      <c r="E1458" s="63" t="s">
        <v>81</v>
      </c>
      <c r="F1458" s="64">
        <v>565.89</v>
      </c>
    </row>
    <row r="1459" spans="1:6" x14ac:dyDescent="0.25">
      <c r="A1459" s="62" t="s">
        <v>4398</v>
      </c>
      <c r="B1459" s="96">
        <v>250148</v>
      </c>
      <c r="C1459" s="96" t="str">
        <f t="shared" si="161"/>
        <v>CPOS250148</v>
      </c>
      <c r="D1459" s="95" t="s">
        <v>1521</v>
      </c>
      <c r="E1459" s="63" t="s">
        <v>81</v>
      </c>
      <c r="F1459" s="64">
        <v>585.55999999999995</v>
      </c>
    </row>
    <row r="1460" spans="1:6" x14ac:dyDescent="0.25">
      <c r="A1460" s="62" t="s">
        <v>4398</v>
      </c>
      <c r="B1460" s="96">
        <v>250149</v>
      </c>
      <c r="C1460" s="96" t="str">
        <f t="shared" si="161"/>
        <v>CPOS250149</v>
      </c>
      <c r="D1460" s="95" t="s">
        <v>1522</v>
      </c>
      <c r="E1460" s="63" t="s">
        <v>81</v>
      </c>
      <c r="F1460" s="64">
        <v>339.35</v>
      </c>
    </row>
    <row r="1461" spans="1:6" x14ac:dyDescent="0.25">
      <c r="A1461" s="62" t="s">
        <v>4398</v>
      </c>
      <c r="B1461" s="96">
        <v>250150</v>
      </c>
      <c r="C1461" s="96" t="str">
        <f t="shared" si="161"/>
        <v>CPOS250150</v>
      </c>
      <c r="D1461" s="95" t="s">
        <v>1523</v>
      </c>
      <c r="E1461" s="63" t="s">
        <v>81</v>
      </c>
      <c r="F1461" s="64">
        <v>403.42</v>
      </c>
    </row>
    <row r="1462" spans="1:6" x14ac:dyDescent="0.25">
      <c r="A1462" s="62" t="s">
        <v>4398</v>
      </c>
      <c r="B1462" s="96">
        <v>250151</v>
      </c>
      <c r="C1462" s="96" t="str">
        <f t="shared" si="161"/>
        <v>CPOS250151</v>
      </c>
      <c r="D1462" s="95" t="s">
        <v>1524</v>
      </c>
      <c r="E1462" s="63" t="s">
        <v>81</v>
      </c>
      <c r="F1462" s="64">
        <v>537.59</v>
      </c>
    </row>
    <row r="1463" spans="1:6" x14ac:dyDescent="0.25">
      <c r="A1463" s="62" t="s">
        <v>4398</v>
      </c>
      <c r="B1463" s="96">
        <v>250152</v>
      </c>
      <c r="C1463" s="96" t="str">
        <f t="shared" si="161"/>
        <v>CPOS250152</v>
      </c>
      <c r="D1463" s="95" t="s">
        <v>1525</v>
      </c>
      <c r="E1463" s="63" t="s">
        <v>81</v>
      </c>
      <c r="F1463" s="64">
        <v>467.59000000000003</v>
      </c>
    </row>
    <row r="1464" spans="1:6" x14ac:dyDescent="0.25">
      <c r="A1464" s="62" t="s">
        <v>4398</v>
      </c>
      <c r="B1464" s="96">
        <v>250153</v>
      </c>
      <c r="C1464" s="96" t="str">
        <f t="shared" si="161"/>
        <v>CPOS250153</v>
      </c>
      <c r="D1464" s="95" t="s">
        <v>1526</v>
      </c>
      <c r="E1464" s="63" t="s">
        <v>81</v>
      </c>
      <c r="F1464" s="64">
        <v>422.2</v>
      </c>
    </row>
    <row r="1465" spans="1:6" x14ac:dyDescent="0.25">
      <c r="D1465" s="94" t="s">
        <v>1527</v>
      </c>
    </row>
    <row r="1466" spans="1:6" x14ac:dyDescent="0.25">
      <c r="A1466" s="62" t="s">
        <v>4398</v>
      </c>
      <c r="B1466" s="96">
        <v>250201</v>
      </c>
      <c r="C1466" s="96" t="str">
        <f t="shared" ref="C1466:C1479" si="162">A1466&amp;B1466</f>
        <v>CPOS250201</v>
      </c>
      <c r="D1466" s="95" t="s">
        <v>1528</v>
      </c>
      <c r="E1466" s="63" t="s">
        <v>81</v>
      </c>
      <c r="F1466" s="64">
        <v>748.95</v>
      </c>
    </row>
    <row r="1467" spans="1:6" x14ac:dyDescent="0.25">
      <c r="A1467" s="62" t="s">
        <v>4398</v>
      </c>
      <c r="B1467" s="96">
        <v>250202</v>
      </c>
      <c r="C1467" s="96" t="str">
        <f t="shared" si="162"/>
        <v>CPOS250202</v>
      </c>
      <c r="D1467" s="95" t="s">
        <v>1529</v>
      </c>
      <c r="E1467" s="63" t="s">
        <v>81</v>
      </c>
      <c r="F1467" s="64">
        <v>706.6</v>
      </c>
    </row>
    <row r="1468" spans="1:6" x14ac:dyDescent="0.25">
      <c r="A1468" s="62" t="s">
        <v>4398</v>
      </c>
      <c r="B1468" s="96">
        <v>250204</v>
      </c>
      <c r="C1468" s="96" t="str">
        <f t="shared" si="162"/>
        <v>CPOS250204</v>
      </c>
      <c r="D1468" s="95" t="s">
        <v>1530</v>
      </c>
      <c r="E1468" s="63" t="s">
        <v>81</v>
      </c>
      <c r="F1468" s="64">
        <v>732.36</v>
      </c>
    </row>
    <row r="1469" spans="1:6" x14ac:dyDescent="0.25">
      <c r="A1469" s="62" t="s">
        <v>4398</v>
      </c>
      <c r="B1469" s="96">
        <v>250205</v>
      </c>
      <c r="C1469" s="96" t="str">
        <f t="shared" si="162"/>
        <v>CPOS250205</v>
      </c>
      <c r="D1469" s="95" t="s">
        <v>1531</v>
      </c>
      <c r="E1469" s="63" t="s">
        <v>81</v>
      </c>
      <c r="F1469" s="64">
        <v>669.92</v>
      </c>
    </row>
    <row r="1470" spans="1:6" x14ac:dyDescent="0.25">
      <c r="A1470" s="62" t="s">
        <v>4398</v>
      </c>
      <c r="B1470" s="96">
        <v>250206</v>
      </c>
      <c r="C1470" s="96" t="str">
        <f t="shared" si="162"/>
        <v>CPOS250206</v>
      </c>
      <c r="D1470" s="95" t="s">
        <v>1532</v>
      </c>
      <c r="E1470" s="63" t="s">
        <v>81</v>
      </c>
      <c r="F1470" s="64">
        <v>643.4</v>
      </c>
    </row>
    <row r="1471" spans="1:6" x14ac:dyDescent="0.25">
      <c r="A1471" s="62" t="s">
        <v>4398</v>
      </c>
      <c r="B1471" s="96">
        <v>250207</v>
      </c>
      <c r="C1471" s="96" t="str">
        <f t="shared" si="162"/>
        <v>CPOS250207</v>
      </c>
      <c r="D1471" s="95" t="s">
        <v>1533</v>
      </c>
      <c r="E1471" s="63" t="s">
        <v>81</v>
      </c>
      <c r="F1471" s="64">
        <v>712.45</v>
      </c>
    </row>
    <row r="1472" spans="1:6" x14ac:dyDescent="0.25">
      <c r="A1472" s="62" t="s">
        <v>4398</v>
      </c>
      <c r="B1472" s="96">
        <v>250211</v>
      </c>
      <c r="C1472" s="96" t="str">
        <f t="shared" si="162"/>
        <v>CPOS250211</v>
      </c>
      <c r="D1472" s="95" t="s">
        <v>1534</v>
      </c>
      <c r="E1472" s="63" t="s">
        <v>81</v>
      </c>
      <c r="F1472" s="64">
        <v>723.41</v>
      </c>
    </row>
    <row r="1473" spans="1:6" x14ac:dyDescent="0.25">
      <c r="A1473" s="62" t="s">
        <v>4398</v>
      </c>
      <c r="B1473" s="96">
        <v>250221</v>
      </c>
      <c r="C1473" s="96" t="str">
        <f t="shared" si="162"/>
        <v>CPOS250221</v>
      </c>
      <c r="D1473" s="95" t="s">
        <v>1535</v>
      </c>
      <c r="E1473" s="63" t="s">
        <v>81</v>
      </c>
      <c r="F1473" s="64">
        <v>706.73</v>
      </c>
    </row>
    <row r="1474" spans="1:6" x14ac:dyDescent="0.25">
      <c r="A1474" s="62" t="s">
        <v>4398</v>
      </c>
      <c r="B1474" s="96">
        <v>250222</v>
      </c>
      <c r="C1474" s="96" t="str">
        <f t="shared" si="162"/>
        <v>CPOS250222</v>
      </c>
      <c r="D1474" s="95" t="s">
        <v>1536</v>
      </c>
      <c r="E1474" s="63" t="s">
        <v>81</v>
      </c>
      <c r="F1474" s="64">
        <v>1146.1199999999999</v>
      </c>
    </row>
    <row r="1475" spans="1:6" x14ac:dyDescent="0.25">
      <c r="A1475" s="62" t="s">
        <v>4398</v>
      </c>
      <c r="B1475" s="96">
        <v>250223</v>
      </c>
      <c r="C1475" s="96" t="str">
        <f t="shared" si="162"/>
        <v>CPOS250223</v>
      </c>
      <c r="D1475" s="95" t="s">
        <v>1537</v>
      </c>
      <c r="E1475" s="63" t="s">
        <v>81</v>
      </c>
      <c r="F1475" s="64">
        <v>423.02</v>
      </c>
    </row>
    <row r="1476" spans="1:6" x14ac:dyDescent="0.25">
      <c r="A1476" s="62" t="s">
        <v>4398</v>
      </c>
      <c r="B1476" s="96">
        <v>250224</v>
      </c>
      <c r="C1476" s="96" t="str">
        <f t="shared" si="162"/>
        <v>CPOS250224</v>
      </c>
      <c r="D1476" s="95" t="s">
        <v>1538</v>
      </c>
      <c r="E1476" s="63" t="s">
        <v>81</v>
      </c>
      <c r="F1476" s="64">
        <v>493.2</v>
      </c>
    </row>
    <row r="1477" spans="1:6" x14ac:dyDescent="0.25">
      <c r="A1477" s="62" t="s">
        <v>4398</v>
      </c>
      <c r="B1477" s="96">
        <v>250225</v>
      </c>
      <c r="C1477" s="96" t="str">
        <f t="shared" si="162"/>
        <v>CPOS250225</v>
      </c>
      <c r="D1477" s="95" t="s">
        <v>1539</v>
      </c>
      <c r="E1477" s="63" t="s">
        <v>81</v>
      </c>
      <c r="F1477" s="64">
        <v>673.78</v>
      </c>
    </row>
    <row r="1478" spans="1:6" ht="30" x14ac:dyDescent="0.25">
      <c r="A1478" s="62" t="s">
        <v>4398</v>
      </c>
      <c r="B1478" s="96">
        <v>250226</v>
      </c>
      <c r="C1478" s="96" t="str">
        <f t="shared" si="162"/>
        <v>CPOS250226</v>
      </c>
      <c r="D1478" s="95" t="s">
        <v>1540</v>
      </c>
      <c r="E1478" s="63" t="s">
        <v>81</v>
      </c>
      <c r="F1478" s="64">
        <v>583.97</v>
      </c>
    </row>
    <row r="1479" spans="1:6" x14ac:dyDescent="0.25">
      <c r="A1479" s="62" t="s">
        <v>4398</v>
      </c>
      <c r="B1479" s="96">
        <v>250230</v>
      </c>
      <c r="C1479" s="96" t="str">
        <f t="shared" si="162"/>
        <v>CPOS250230</v>
      </c>
      <c r="D1479" s="95" t="s">
        <v>1541</v>
      </c>
      <c r="E1479" s="63" t="s">
        <v>81</v>
      </c>
      <c r="F1479" s="64">
        <v>554.37</v>
      </c>
    </row>
    <row r="1480" spans="1:6" x14ac:dyDescent="0.25">
      <c r="D1480" s="94" t="s">
        <v>1542</v>
      </c>
    </row>
    <row r="1481" spans="1:6" x14ac:dyDescent="0.25">
      <c r="A1481" s="62" t="s">
        <v>4398</v>
      </c>
      <c r="B1481" s="96">
        <v>250310</v>
      </c>
      <c r="C1481" s="96" t="str">
        <f>A1481&amp;B1481</f>
        <v>CPOS250310</v>
      </c>
      <c r="D1481" s="95" t="s">
        <v>1543</v>
      </c>
      <c r="E1481" s="63" t="s">
        <v>81</v>
      </c>
      <c r="F1481" s="64">
        <v>530.13</v>
      </c>
    </row>
    <row r="1482" spans="1:6" x14ac:dyDescent="0.25">
      <c r="D1482" s="94" t="s">
        <v>693</v>
      </c>
    </row>
    <row r="1483" spans="1:6" ht="30" x14ac:dyDescent="0.25">
      <c r="A1483" s="62" t="s">
        <v>4398</v>
      </c>
      <c r="B1483" s="96">
        <v>252002</v>
      </c>
      <c r="C1483" s="96" t="str">
        <f>A1483&amp;B1483</f>
        <v>CPOS252002</v>
      </c>
      <c r="D1483" s="95" t="s">
        <v>1544</v>
      </c>
      <c r="E1483" s="63" t="s">
        <v>81</v>
      </c>
      <c r="F1483" s="64">
        <v>136.6</v>
      </c>
    </row>
    <row r="1484" spans="1:6" x14ac:dyDescent="0.25">
      <c r="D1484" s="94" t="s">
        <v>1545</v>
      </c>
    </row>
    <row r="1485" spans="1:6" x14ac:dyDescent="0.25">
      <c r="D1485" s="94" t="s">
        <v>1546</v>
      </c>
    </row>
    <row r="1486" spans="1:6" x14ac:dyDescent="0.25">
      <c r="A1486" s="62" t="s">
        <v>4398</v>
      </c>
      <c r="B1486" s="96">
        <v>260102</v>
      </c>
      <c r="C1486" s="96" t="str">
        <f t="shared" ref="C1486:C1505" si="163">A1486&amp;B1486</f>
        <v>CPOS260102</v>
      </c>
      <c r="D1486" s="95" t="s">
        <v>1547</v>
      </c>
      <c r="E1486" s="63" t="s">
        <v>81</v>
      </c>
      <c r="F1486" s="64">
        <v>64.97</v>
      </c>
    </row>
    <row r="1487" spans="1:6" x14ac:dyDescent="0.25">
      <c r="A1487" s="62" t="s">
        <v>4398</v>
      </c>
      <c r="B1487" s="96">
        <v>260104</v>
      </c>
      <c r="C1487" s="96" t="str">
        <f t="shared" si="163"/>
        <v>CPOS260104</v>
      </c>
      <c r="D1487" s="95" t="s">
        <v>1548</v>
      </c>
      <c r="E1487" s="63" t="s">
        <v>81</v>
      </c>
      <c r="F1487" s="64">
        <v>78.67</v>
      </c>
    </row>
    <row r="1488" spans="1:6" x14ac:dyDescent="0.25">
      <c r="A1488" s="62" t="s">
        <v>4398</v>
      </c>
      <c r="B1488" s="96">
        <v>260106</v>
      </c>
      <c r="C1488" s="96" t="str">
        <f t="shared" si="163"/>
        <v>CPOS260106</v>
      </c>
      <c r="D1488" s="95" t="s">
        <v>1549</v>
      </c>
      <c r="E1488" s="63" t="s">
        <v>81</v>
      </c>
      <c r="F1488" s="64">
        <v>91.460000000000008</v>
      </c>
    </row>
    <row r="1489" spans="1:6" x14ac:dyDescent="0.25">
      <c r="A1489" s="62" t="s">
        <v>4398</v>
      </c>
      <c r="B1489" s="96">
        <v>260108</v>
      </c>
      <c r="C1489" s="96" t="str">
        <f t="shared" si="163"/>
        <v>CPOS260108</v>
      </c>
      <c r="D1489" s="95" t="s">
        <v>1550</v>
      </c>
      <c r="E1489" s="63" t="s">
        <v>81</v>
      </c>
      <c r="F1489" s="64">
        <v>102.36</v>
      </c>
    </row>
    <row r="1490" spans="1:6" x14ac:dyDescent="0.25">
      <c r="A1490" s="62" t="s">
        <v>4398</v>
      </c>
      <c r="B1490" s="96">
        <v>260112</v>
      </c>
      <c r="C1490" s="96" t="str">
        <f t="shared" si="163"/>
        <v>CPOS260112</v>
      </c>
      <c r="D1490" s="95" t="s">
        <v>1551</v>
      </c>
      <c r="E1490" s="63" t="s">
        <v>81</v>
      </c>
      <c r="F1490" s="64">
        <v>178.27</v>
      </c>
    </row>
    <row r="1491" spans="1:6" x14ac:dyDescent="0.25">
      <c r="A1491" s="62" t="s">
        <v>4398</v>
      </c>
      <c r="B1491" s="96">
        <v>260114</v>
      </c>
      <c r="C1491" s="96" t="str">
        <f t="shared" si="163"/>
        <v>CPOS260114</v>
      </c>
      <c r="D1491" s="95" t="s">
        <v>1552</v>
      </c>
      <c r="E1491" s="63" t="s">
        <v>81</v>
      </c>
      <c r="F1491" s="64">
        <v>219.66</v>
      </c>
    </row>
    <row r="1492" spans="1:6" x14ac:dyDescent="0.25">
      <c r="A1492" s="62" t="s">
        <v>4398</v>
      </c>
      <c r="B1492" s="96">
        <v>260116</v>
      </c>
      <c r="C1492" s="96" t="str">
        <f t="shared" si="163"/>
        <v>CPOS260116</v>
      </c>
      <c r="D1492" s="95" t="s">
        <v>1553</v>
      </c>
      <c r="E1492" s="63" t="s">
        <v>81</v>
      </c>
      <c r="F1492" s="64">
        <v>263.16000000000003</v>
      </c>
    </row>
    <row r="1493" spans="1:6" x14ac:dyDescent="0.25">
      <c r="A1493" s="62" t="s">
        <v>4398</v>
      </c>
      <c r="B1493" s="96">
        <v>260117</v>
      </c>
      <c r="C1493" s="96" t="str">
        <f t="shared" si="163"/>
        <v>CPOS260117</v>
      </c>
      <c r="D1493" s="95" t="s">
        <v>1554</v>
      </c>
      <c r="E1493" s="63" t="s">
        <v>81</v>
      </c>
      <c r="F1493" s="64">
        <v>226.20000000000002</v>
      </c>
    </row>
    <row r="1494" spans="1:6" x14ac:dyDescent="0.25">
      <c r="A1494" s="62" t="s">
        <v>4398</v>
      </c>
      <c r="B1494" s="96">
        <v>260118</v>
      </c>
      <c r="C1494" s="96" t="str">
        <f t="shared" si="163"/>
        <v>CPOS260118</v>
      </c>
      <c r="D1494" s="95" t="s">
        <v>1555</v>
      </c>
      <c r="E1494" s="63" t="s">
        <v>81</v>
      </c>
      <c r="F1494" s="64">
        <v>2040.42</v>
      </c>
    </row>
    <row r="1495" spans="1:6" x14ac:dyDescent="0.25">
      <c r="A1495" s="62" t="s">
        <v>4398</v>
      </c>
      <c r="B1495" s="96">
        <v>260119</v>
      </c>
      <c r="C1495" s="96" t="str">
        <f t="shared" si="163"/>
        <v>CPOS260119</v>
      </c>
      <c r="D1495" s="95" t="s">
        <v>1556</v>
      </c>
      <c r="E1495" s="63" t="s">
        <v>81</v>
      </c>
      <c r="F1495" s="64">
        <v>254.06</v>
      </c>
    </row>
    <row r="1496" spans="1:6" x14ac:dyDescent="0.25">
      <c r="A1496" s="62" t="s">
        <v>4398</v>
      </c>
      <c r="B1496" s="96">
        <v>260121</v>
      </c>
      <c r="C1496" s="96" t="str">
        <f t="shared" si="163"/>
        <v>CPOS260121</v>
      </c>
      <c r="D1496" s="95" t="s">
        <v>1557</v>
      </c>
      <c r="E1496" s="63" t="s">
        <v>81</v>
      </c>
      <c r="F1496" s="64">
        <v>232.88</v>
      </c>
    </row>
    <row r="1497" spans="1:6" x14ac:dyDescent="0.25">
      <c r="A1497" s="62" t="s">
        <v>4398</v>
      </c>
      <c r="B1497" s="96">
        <v>260123</v>
      </c>
      <c r="C1497" s="96" t="str">
        <f t="shared" si="163"/>
        <v>CPOS260123</v>
      </c>
      <c r="D1497" s="95" t="s">
        <v>1558</v>
      </c>
      <c r="E1497" s="63" t="s">
        <v>81</v>
      </c>
      <c r="F1497" s="64">
        <v>67.2</v>
      </c>
    </row>
    <row r="1498" spans="1:6" x14ac:dyDescent="0.25">
      <c r="A1498" s="62" t="s">
        <v>4398</v>
      </c>
      <c r="B1498" s="96">
        <v>260124</v>
      </c>
      <c r="C1498" s="96" t="str">
        <f t="shared" si="163"/>
        <v>CPOS260124</v>
      </c>
      <c r="D1498" s="95" t="s">
        <v>1559</v>
      </c>
      <c r="E1498" s="63" t="s">
        <v>81</v>
      </c>
      <c r="F1498" s="64">
        <v>172.51</v>
      </c>
    </row>
    <row r="1499" spans="1:6" x14ac:dyDescent="0.25">
      <c r="A1499" s="62" t="s">
        <v>4398</v>
      </c>
      <c r="B1499" s="96">
        <v>260126</v>
      </c>
      <c r="C1499" s="96" t="str">
        <f t="shared" si="163"/>
        <v>CPOS260126</v>
      </c>
      <c r="D1499" s="95" t="s">
        <v>1560</v>
      </c>
      <c r="E1499" s="63" t="s">
        <v>81</v>
      </c>
      <c r="F1499" s="64">
        <v>199.39000000000001</v>
      </c>
    </row>
    <row r="1500" spans="1:6" x14ac:dyDescent="0.25">
      <c r="A1500" s="62" t="s">
        <v>4398</v>
      </c>
      <c r="B1500" s="96">
        <v>260131</v>
      </c>
      <c r="C1500" s="96" t="str">
        <f t="shared" si="163"/>
        <v>CPOS260131</v>
      </c>
      <c r="D1500" s="95" t="s">
        <v>1561</v>
      </c>
      <c r="E1500" s="63" t="s">
        <v>81</v>
      </c>
      <c r="F1500" s="64">
        <v>351.04</v>
      </c>
    </row>
    <row r="1501" spans="1:6" x14ac:dyDescent="0.25">
      <c r="A1501" s="62" t="s">
        <v>4398</v>
      </c>
      <c r="B1501" s="96">
        <v>260135</v>
      </c>
      <c r="C1501" s="96" t="str">
        <f t="shared" si="163"/>
        <v>CPOS260135</v>
      </c>
      <c r="D1501" s="95" t="s">
        <v>1562</v>
      </c>
      <c r="E1501" s="63" t="s">
        <v>81</v>
      </c>
      <c r="F1501" s="64">
        <v>4400</v>
      </c>
    </row>
    <row r="1502" spans="1:6" ht="30" x14ac:dyDescent="0.25">
      <c r="A1502" s="62" t="s">
        <v>4398</v>
      </c>
      <c r="B1502" s="96">
        <v>260140</v>
      </c>
      <c r="C1502" s="96" t="str">
        <f t="shared" si="163"/>
        <v>CPOS260140</v>
      </c>
      <c r="D1502" s="95" t="s">
        <v>1563</v>
      </c>
      <c r="E1502" s="63" t="s">
        <v>81</v>
      </c>
      <c r="F1502" s="64">
        <v>241.6</v>
      </c>
    </row>
    <row r="1503" spans="1:6" ht="30" x14ac:dyDescent="0.25">
      <c r="A1503" s="62" t="s">
        <v>4398</v>
      </c>
      <c r="B1503" s="96">
        <v>260143</v>
      </c>
      <c r="C1503" s="96" t="str">
        <f t="shared" si="163"/>
        <v>CPOS260143</v>
      </c>
      <c r="D1503" s="95" t="s">
        <v>1564</v>
      </c>
      <c r="E1503" s="63" t="s">
        <v>81</v>
      </c>
      <c r="F1503" s="64">
        <v>270.39999999999998</v>
      </c>
    </row>
    <row r="1504" spans="1:6" ht="30" x14ac:dyDescent="0.25">
      <c r="A1504" s="62" t="s">
        <v>4398</v>
      </c>
      <c r="B1504" s="96">
        <v>260144</v>
      </c>
      <c r="C1504" s="96" t="str">
        <f t="shared" si="163"/>
        <v>CPOS260144</v>
      </c>
      <c r="D1504" s="95" t="s">
        <v>1565</v>
      </c>
      <c r="E1504" s="63" t="s">
        <v>81</v>
      </c>
      <c r="F1504" s="64">
        <v>98.320000000000007</v>
      </c>
    </row>
    <row r="1505" spans="1:6" ht="30" x14ac:dyDescent="0.25">
      <c r="A1505" s="62" t="s">
        <v>4398</v>
      </c>
      <c r="B1505" s="96">
        <v>260145</v>
      </c>
      <c r="C1505" s="96" t="str">
        <f t="shared" si="163"/>
        <v>CPOS260145</v>
      </c>
      <c r="D1505" s="95" t="s">
        <v>1566</v>
      </c>
      <c r="E1505" s="63" t="s">
        <v>81</v>
      </c>
      <c r="F1505" s="64">
        <v>106</v>
      </c>
    </row>
    <row r="1506" spans="1:6" x14ac:dyDescent="0.25">
      <c r="D1506" s="94" t="s">
        <v>1567</v>
      </c>
    </row>
    <row r="1507" spans="1:6" x14ac:dyDescent="0.25">
      <c r="A1507" s="62" t="s">
        <v>4398</v>
      </c>
      <c r="B1507" s="96">
        <v>260202</v>
      </c>
      <c r="C1507" s="96" t="str">
        <f t="shared" ref="C1507:C1514" si="164">A1507&amp;B1507</f>
        <v>CPOS260202</v>
      </c>
      <c r="D1507" s="95" t="s">
        <v>1568</v>
      </c>
      <c r="E1507" s="63" t="s">
        <v>81</v>
      </c>
      <c r="F1507" s="64">
        <v>98.88</v>
      </c>
    </row>
    <row r="1508" spans="1:6" x14ac:dyDescent="0.25">
      <c r="A1508" s="62" t="s">
        <v>4398</v>
      </c>
      <c r="B1508" s="96">
        <v>260204</v>
      </c>
      <c r="C1508" s="96" t="str">
        <f t="shared" si="164"/>
        <v>CPOS260204</v>
      </c>
      <c r="D1508" s="95" t="s">
        <v>1569</v>
      </c>
      <c r="E1508" s="63" t="s">
        <v>81</v>
      </c>
      <c r="F1508" s="64">
        <v>160.69</v>
      </c>
    </row>
    <row r="1509" spans="1:6" x14ac:dyDescent="0.25">
      <c r="A1509" s="62" t="s">
        <v>4398</v>
      </c>
      <c r="B1509" s="96">
        <v>260206</v>
      </c>
      <c r="C1509" s="96" t="str">
        <f t="shared" si="164"/>
        <v>CPOS260206</v>
      </c>
      <c r="D1509" s="95" t="s">
        <v>1570</v>
      </c>
      <c r="E1509" s="63" t="s">
        <v>81</v>
      </c>
      <c r="F1509" s="64">
        <v>211.13</v>
      </c>
    </row>
    <row r="1510" spans="1:6" x14ac:dyDescent="0.25">
      <c r="A1510" s="62" t="s">
        <v>4398</v>
      </c>
      <c r="B1510" s="96">
        <v>260212</v>
      </c>
      <c r="C1510" s="96" t="str">
        <f t="shared" si="164"/>
        <v>CPOS260212</v>
      </c>
      <c r="D1510" s="95" t="s">
        <v>1571</v>
      </c>
      <c r="E1510" s="63" t="s">
        <v>81</v>
      </c>
      <c r="F1510" s="64">
        <v>162.52000000000001</v>
      </c>
    </row>
    <row r="1511" spans="1:6" x14ac:dyDescent="0.25">
      <c r="A1511" s="62" t="s">
        <v>4398</v>
      </c>
      <c r="B1511" s="96">
        <v>260214</v>
      </c>
      <c r="C1511" s="96" t="str">
        <f t="shared" si="164"/>
        <v>CPOS260214</v>
      </c>
      <c r="D1511" s="95" t="s">
        <v>1572</v>
      </c>
      <c r="E1511" s="63" t="s">
        <v>81</v>
      </c>
      <c r="F1511" s="64">
        <v>227.75</v>
      </c>
    </row>
    <row r="1512" spans="1:6" x14ac:dyDescent="0.25">
      <c r="A1512" s="62" t="s">
        <v>4398</v>
      </c>
      <c r="B1512" s="96">
        <v>260216</v>
      </c>
      <c r="C1512" s="96" t="str">
        <f t="shared" si="164"/>
        <v>CPOS260216</v>
      </c>
      <c r="D1512" s="95" t="s">
        <v>1573</v>
      </c>
      <c r="E1512" s="63" t="s">
        <v>81</v>
      </c>
      <c r="F1512" s="64">
        <v>279.82</v>
      </c>
    </row>
    <row r="1513" spans="1:6" x14ac:dyDescent="0.25">
      <c r="A1513" s="62" t="s">
        <v>4398</v>
      </c>
      <c r="B1513" s="96">
        <v>260217</v>
      </c>
      <c r="C1513" s="96" t="str">
        <f t="shared" si="164"/>
        <v>CPOS260217</v>
      </c>
      <c r="D1513" s="95" t="s">
        <v>1574</v>
      </c>
      <c r="E1513" s="63" t="s">
        <v>81</v>
      </c>
      <c r="F1513" s="64">
        <v>385.97</v>
      </c>
    </row>
    <row r="1514" spans="1:6" x14ac:dyDescent="0.25">
      <c r="A1514" s="62" t="s">
        <v>4398</v>
      </c>
      <c r="B1514" s="96">
        <v>260218</v>
      </c>
      <c r="C1514" s="96" t="str">
        <f t="shared" si="164"/>
        <v>CPOS260218</v>
      </c>
      <c r="D1514" s="95" t="s">
        <v>1575</v>
      </c>
      <c r="E1514" s="63" t="s">
        <v>81</v>
      </c>
      <c r="F1514" s="64">
        <v>548.33000000000004</v>
      </c>
    </row>
    <row r="1515" spans="1:6" x14ac:dyDescent="0.25">
      <c r="D1515" s="94" t="s">
        <v>1576</v>
      </c>
    </row>
    <row r="1516" spans="1:6" x14ac:dyDescent="0.25">
      <c r="A1516" s="62" t="s">
        <v>4398</v>
      </c>
      <c r="B1516" s="96">
        <v>260306</v>
      </c>
      <c r="C1516" s="96" t="str">
        <f t="shared" ref="C1516:C1518" si="165">A1516&amp;B1516</f>
        <v>CPOS260306</v>
      </c>
      <c r="D1516" s="95" t="s">
        <v>1577</v>
      </c>
      <c r="E1516" s="63" t="s">
        <v>81</v>
      </c>
      <c r="F1516" s="64">
        <v>424.66</v>
      </c>
    </row>
    <row r="1517" spans="1:6" x14ac:dyDescent="0.25">
      <c r="A1517" s="62" t="s">
        <v>4398</v>
      </c>
      <c r="B1517" s="96">
        <v>260307</v>
      </c>
      <c r="C1517" s="96" t="str">
        <f t="shared" si="165"/>
        <v>CPOS260307</v>
      </c>
      <c r="D1517" s="95" t="s">
        <v>1578</v>
      </c>
      <c r="E1517" s="63" t="s">
        <v>81</v>
      </c>
      <c r="F1517" s="64">
        <v>486.16</v>
      </c>
    </row>
    <row r="1518" spans="1:6" x14ac:dyDescent="0.25">
      <c r="A1518" s="62" t="s">
        <v>4398</v>
      </c>
      <c r="B1518" s="96">
        <v>260309</v>
      </c>
      <c r="C1518" s="96" t="str">
        <f t="shared" si="165"/>
        <v>CPOS260309</v>
      </c>
      <c r="D1518" s="95" t="s">
        <v>1579</v>
      </c>
      <c r="E1518" s="63" t="s">
        <v>81</v>
      </c>
      <c r="F1518" s="64">
        <v>588.6</v>
      </c>
    </row>
    <row r="1519" spans="1:6" x14ac:dyDescent="0.25">
      <c r="D1519" s="94" t="s">
        <v>1580</v>
      </c>
    </row>
    <row r="1520" spans="1:6" x14ac:dyDescent="0.25">
      <c r="A1520" s="62" t="s">
        <v>4398</v>
      </c>
      <c r="B1520" s="96">
        <v>260401</v>
      </c>
      <c r="C1520" s="96" t="str">
        <f t="shared" ref="C1520:C1521" si="166">A1520&amp;B1520</f>
        <v>CPOS260401</v>
      </c>
      <c r="D1520" s="95" t="s">
        <v>1581</v>
      </c>
      <c r="E1520" s="63" t="s">
        <v>81</v>
      </c>
      <c r="F1520" s="64">
        <v>265</v>
      </c>
    </row>
    <row r="1521" spans="1:6" x14ac:dyDescent="0.25">
      <c r="A1521" s="62" t="s">
        <v>4398</v>
      </c>
      <c r="B1521" s="96">
        <v>260403</v>
      </c>
      <c r="C1521" s="96" t="str">
        <f t="shared" si="166"/>
        <v>CPOS260403</v>
      </c>
      <c r="D1521" s="95" t="s">
        <v>1582</v>
      </c>
      <c r="E1521" s="63" t="s">
        <v>81</v>
      </c>
      <c r="F1521" s="64">
        <v>337.97</v>
      </c>
    </row>
    <row r="1522" spans="1:6" x14ac:dyDescent="0.25">
      <c r="D1522" s="94" t="s">
        <v>693</v>
      </c>
    </row>
    <row r="1523" spans="1:6" x14ac:dyDescent="0.25">
      <c r="A1523" s="62" t="s">
        <v>4398</v>
      </c>
      <c r="B1523" s="96">
        <v>262001</v>
      </c>
      <c r="C1523" s="96" t="str">
        <f t="shared" ref="C1523:C1525" si="167">A1523&amp;B1523</f>
        <v>CPOS262001</v>
      </c>
      <c r="D1523" s="95" t="s">
        <v>1583</v>
      </c>
      <c r="E1523" s="63" t="s">
        <v>110</v>
      </c>
      <c r="F1523" s="64">
        <v>3.2800000000000002</v>
      </c>
    </row>
    <row r="1524" spans="1:6" x14ac:dyDescent="0.25">
      <c r="A1524" s="62" t="s">
        <v>4398</v>
      </c>
      <c r="B1524" s="96">
        <v>262002</v>
      </c>
      <c r="C1524" s="96" t="str">
        <f t="shared" si="167"/>
        <v>CPOS262002</v>
      </c>
      <c r="D1524" s="95" t="s">
        <v>1584</v>
      </c>
      <c r="E1524" s="63" t="s">
        <v>81</v>
      </c>
      <c r="F1524" s="64">
        <v>36.9</v>
      </c>
    </row>
    <row r="1525" spans="1:6" x14ac:dyDescent="0.25">
      <c r="A1525" s="62" t="s">
        <v>4398</v>
      </c>
      <c r="B1525" s="96">
        <v>262006</v>
      </c>
      <c r="C1525" s="96" t="str">
        <f t="shared" si="167"/>
        <v>CPOS262006</v>
      </c>
      <c r="D1525" s="95" t="s">
        <v>1585</v>
      </c>
      <c r="E1525" s="63" t="s">
        <v>58</v>
      </c>
      <c r="F1525" s="64">
        <v>38.25</v>
      </c>
    </row>
    <row r="1526" spans="1:6" x14ac:dyDescent="0.25">
      <c r="D1526" s="94" t="s">
        <v>1586</v>
      </c>
    </row>
    <row r="1527" spans="1:6" x14ac:dyDescent="0.25">
      <c r="D1527" s="94" t="s">
        <v>1587</v>
      </c>
    </row>
    <row r="1528" spans="1:6" x14ac:dyDescent="0.25">
      <c r="A1528" s="62" t="s">
        <v>4398</v>
      </c>
      <c r="B1528" s="96">
        <v>270201</v>
      </c>
      <c r="C1528" s="96" t="str">
        <f t="shared" ref="C1528:C1530" si="168">A1528&amp;B1528</f>
        <v>CPOS270201</v>
      </c>
      <c r="D1528" s="95" t="s">
        <v>1588</v>
      </c>
      <c r="E1528" s="63" t="s">
        <v>81</v>
      </c>
      <c r="F1528" s="64">
        <v>350</v>
      </c>
    </row>
    <row r="1529" spans="1:6" x14ac:dyDescent="0.25">
      <c r="A1529" s="62" t="s">
        <v>4398</v>
      </c>
      <c r="B1529" s="96">
        <v>270204</v>
      </c>
      <c r="C1529" s="96" t="str">
        <f t="shared" si="168"/>
        <v>CPOS270204</v>
      </c>
      <c r="D1529" s="95" t="s">
        <v>1589</v>
      </c>
      <c r="E1529" s="63" t="s">
        <v>81</v>
      </c>
      <c r="F1529" s="64">
        <v>530</v>
      </c>
    </row>
    <row r="1530" spans="1:6" x14ac:dyDescent="0.25">
      <c r="A1530" s="62" t="s">
        <v>4398</v>
      </c>
      <c r="B1530" s="96">
        <v>270205</v>
      </c>
      <c r="C1530" s="96" t="str">
        <f t="shared" si="168"/>
        <v>CPOS270205</v>
      </c>
      <c r="D1530" s="95" t="s">
        <v>1590</v>
      </c>
      <c r="E1530" s="63" t="s">
        <v>81</v>
      </c>
      <c r="F1530" s="64">
        <v>106.72</v>
      </c>
    </row>
    <row r="1531" spans="1:6" x14ac:dyDescent="0.25">
      <c r="D1531" s="94" t="s">
        <v>1591</v>
      </c>
    </row>
    <row r="1532" spans="1:6" x14ac:dyDescent="0.25">
      <c r="A1532" s="62" t="s">
        <v>4398</v>
      </c>
      <c r="B1532" s="96">
        <v>270303</v>
      </c>
      <c r="C1532" s="96" t="str">
        <f>A1532&amp;B1532</f>
        <v>CPOS270303</v>
      </c>
      <c r="D1532" s="95" t="s">
        <v>1592</v>
      </c>
      <c r="E1532" s="63" t="s">
        <v>81</v>
      </c>
      <c r="F1532" s="64">
        <v>136.47</v>
      </c>
    </row>
    <row r="1533" spans="1:6" x14ac:dyDescent="0.25">
      <c r="D1533" s="94" t="s">
        <v>1593</v>
      </c>
    </row>
    <row r="1534" spans="1:6" x14ac:dyDescent="0.25">
      <c r="A1534" s="62" t="s">
        <v>4398</v>
      </c>
      <c r="B1534" s="96">
        <v>270403</v>
      </c>
      <c r="C1534" s="96" t="str">
        <f t="shared" ref="C1534:C1538" si="169">A1534&amp;B1534</f>
        <v>CPOS270403</v>
      </c>
      <c r="D1534" s="95" t="s">
        <v>1594</v>
      </c>
      <c r="E1534" s="63" t="s">
        <v>81</v>
      </c>
      <c r="F1534" s="64">
        <v>497.71000000000004</v>
      </c>
    </row>
    <row r="1535" spans="1:6" ht="30" x14ac:dyDescent="0.25">
      <c r="A1535" s="62" t="s">
        <v>4398</v>
      </c>
      <c r="B1535" s="96">
        <v>270404</v>
      </c>
      <c r="C1535" s="96" t="str">
        <f t="shared" si="169"/>
        <v>CPOS270404</v>
      </c>
      <c r="D1535" s="95" t="s">
        <v>1595</v>
      </c>
      <c r="E1535" s="63" t="s">
        <v>110</v>
      </c>
      <c r="F1535" s="64">
        <v>229.3</v>
      </c>
    </row>
    <row r="1536" spans="1:6" ht="30" x14ac:dyDescent="0.25">
      <c r="A1536" s="62" t="s">
        <v>4398</v>
      </c>
      <c r="B1536" s="96">
        <v>270405</v>
      </c>
      <c r="C1536" s="96" t="str">
        <f t="shared" si="169"/>
        <v>CPOS270405</v>
      </c>
      <c r="D1536" s="95" t="s">
        <v>1596</v>
      </c>
      <c r="E1536" s="63" t="s">
        <v>110</v>
      </c>
      <c r="F1536" s="64">
        <v>43.58</v>
      </c>
    </row>
    <row r="1537" spans="1:6" ht="30" x14ac:dyDescent="0.25">
      <c r="A1537" s="62" t="s">
        <v>4398</v>
      </c>
      <c r="B1537" s="96">
        <v>270406</v>
      </c>
      <c r="C1537" s="96" t="str">
        <f t="shared" si="169"/>
        <v>CPOS270406</v>
      </c>
      <c r="D1537" s="95" t="s">
        <v>1597</v>
      </c>
      <c r="E1537" s="63" t="s">
        <v>110</v>
      </c>
      <c r="F1537" s="64">
        <v>126.13000000000001</v>
      </c>
    </row>
    <row r="1538" spans="1:6" ht="30" x14ac:dyDescent="0.25">
      <c r="A1538" s="62" t="s">
        <v>4398</v>
      </c>
      <c r="B1538" s="96">
        <v>270407</v>
      </c>
      <c r="C1538" s="96" t="str">
        <f t="shared" si="169"/>
        <v>CPOS270407</v>
      </c>
      <c r="D1538" s="95" t="s">
        <v>1598</v>
      </c>
      <c r="E1538" s="63" t="s">
        <v>110</v>
      </c>
      <c r="F1538" s="64">
        <v>74.63</v>
      </c>
    </row>
    <row r="1539" spans="1:6" x14ac:dyDescent="0.25">
      <c r="D1539" s="94" t="s">
        <v>1599</v>
      </c>
    </row>
    <row r="1540" spans="1:6" x14ac:dyDescent="0.25">
      <c r="D1540" s="94" t="s">
        <v>1600</v>
      </c>
    </row>
    <row r="1541" spans="1:6" x14ac:dyDescent="0.25">
      <c r="A1541" s="62" t="s">
        <v>4398</v>
      </c>
      <c r="B1541" s="96">
        <v>280102</v>
      </c>
      <c r="C1541" s="96" t="str">
        <f t="shared" ref="C1541:C1563" si="170">A1541&amp;B1541</f>
        <v>CPOS280102</v>
      </c>
      <c r="D1541" s="95" t="s">
        <v>1601</v>
      </c>
      <c r="E1541" s="63" t="s">
        <v>117</v>
      </c>
      <c r="F1541" s="64">
        <v>177.96</v>
      </c>
    </row>
    <row r="1542" spans="1:6" x14ac:dyDescent="0.25">
      <c r="A1542" s="62" t="s">
        <v>4398</v>
      </c>
      <c r="B1542" s="96">
        <v>280103</v>
      </c>
      <c r="C1542" s="96" t="str">
        <f t="shared" si="170"/>
        <v>CPOS280103</v>
      </c>
      <c r="D1542" s="95" t="s">
        <v>1602</v>
      </c>
      <c r="E1542" s="63" t="s">
        <v>117</v>
      </c>
      <c r="F1542" s="64">
        <v>375.54</v>
      </c>
    </row>
    <row r="1543" spans="1:6" x14ac:dyDescent="0.25">
      <c r="A1543" s="62" t="s">
        <v>4398</v>
      </c>
      <c r="B1543" s="96">
        <v>280104</v>
      </c>
      <c r="C1543" s="96" t="str">
        <f t="shared" si="170"/>
        <v>CPOS280104</v>
      </c>
      <c r="D1543" s="95" t="s">
        <v>1603</v>
      </c>
      <c r="E1543" s="63" t="s">
        <v>117</v>
      </c>
      <c r="F1543" s="64">
        <v>141.43</v>
      </c>
    </row>
    <row r="1544" spans="1:6" x14ac:dyDescent="0.25">
      <c r="A1544" s="62" t="s">
        <v>4398</v>
      </c>
      <c r="B1544" s="96">
        <v>280105</v>
      </c>
      <c r="C1544" s="96" t="str">
        <f t="shared" si="170"/>
        <v>CPOS280105</v>
      </c>
      <c r="D1544" s="95" t="s">
        <v>1604</v>
      </c>
      <c r="E1544" s="63" t="s">
        <v>117</v>
      </c>
      <c r="F1544" s="64">
        <v>319.33</v>
      </c>
    </row>
    <row r="1545" spans="1:6" x14ac:dyDescent="0.25">
      <c r="A1545" s="62" t="s">
        <v>4398</v>
      </c>
      <c r="B1545" s="96">
        <v>280107</v>
      </c>
      <c r="C1545" s="96" t="str">
        <f t="shared" si="170"/>
        <v>CPOS280107</v>
      </c>
      <c r="D1545" s="95" t="s">
        <v>1605</v>
      </c>
      <c r="E1545" s="63" t="s">
        <v>117</v>
      </c>
      <c r="F1545" s="64">
        <v>118.81</v>
      </c>
    </row>
    <row r="1546" spans="1:6" x14ac:dyDescent="0.25">
      <c r="A1546" s="62" t="s">
        <v>4398</v>
      </c>
      <c r="B1546" s="96">
        <v>280108</v>
      </c>
      <c r="C1546" s="96" t="str">
        <f t="shared" si="170"/>
        <v>CPOS280108</v>
      </c>
      <c r="D1546" s="95" t="s">
        <v>1606</v>
      </c>
      <c r="E1546" s="63" t="s">
        <v>117</v>
      </c>
      <c r="F1546" s="64">
        <v>145.49</v>
      </c>
    </row>
    <row r="1547" spans="1:6" x14ac:dyDescent="0.25">
      <c r="A1547" s="62" t="s">
        <v>4398</v>
      </c>
      <c r="B1547" s="96">
        <v>280109</v>
      </c>
      <c r="C1547" s="96" t="str">
        <f t="shared" si="170"/>
        <v>CPOS280109</v>
      </c>
      <c r="D1547" s="95" t="s">
        <v>1607</v>
      </c>
      <c r="E1547" s="63" t="s">
        <v>117</v>
      </c>
      <c r="F1547" s="64">
        <v>220.94</v>
      </c>
    </row>
    <row r="1548" spans="1:6" x14ac:dyDescent="0.25">
      <c r="A1548" s="62" t="s">
        <v>4398</v>
      </c>
      <c r="B1548" s="96">
        <v>280112</v>
      </c>
      <c r="C1548" s="96" t="str">
        <f t="shared" si="170"/>
        <v>CPOS280112</v>
      </c>
      <c r="D1548" s="95" t="s">
        <v>1608</v>
      </c>
      <c r="E1548" s="63" t="s">
        <v>117</v>
      </c>
      <c r="F1548" s="64">
        <v>78.73</v>
      </c>
    </row>
    <row r="1549" spans="1:6" x14ac:dyDescent="0.25">
      <c r="A1549" s="62" t="s">
        <v>4398</v>
      </c>
      <c r="B1549" s="96">
        <v>280113</v>
      </c>
      <c r="C1549" s="96" t="str">
        <f t="shared" si="170"/>
        <v>CPOS280113</v>
      </c>
      <c r="D1549" s="95" t="s">
        <v>1609</v>
      </c>
      <c r="E1549" s="63" t="s">
        <v>117</v>
      </c>
      <c r="F1549" s="64">
        <v>85.37</v>
      </c>
    </row>
    <row r="1550" spans="1:6" x14ac:dyDescent="0.25">
      <c r="A1550" s="62" t="s">
        <v>4398</v>
      </c>
      <c r="B1550" s="96">
        <v>280115</v>
      </c>
      <c r="C1550" s="96" t="str">
        <f t="shared" si="170"/>
        <v>CPOS280115</v>
      </c>
      <c r="D1550" s="95" t="s">
        <v>1610</v>
      </c>
      <c r="E1550" s="63" t="s">
        <v>117</v>
      </c>
      <c r="F1550" s="64">
        <v>297.11</v>
      </c>
    </row>
    <row r="1551" spans="1:6" x14ac:dyDescent="0.25">
      <c r="A1551" s="62" t="s">
        <v>4398</v>
      </c>
      <c r="B1551" s="96">
        <v>280116</v>
      </c>
      <c r="C1551" s="96" t="str">
        <f t="shared" si="170"/>
        <v>CPOS280116</v>
      </c>
      <c r="D1551" s="95" t="s">
        <v>1611</v>
      </c>
      <c r="E1551" s="63" t="s">
        <v>58</v>
      </c>
      <c r="F1551" s="64">
        <v>156.82</v>
      </c>
    </row>
    <row r="1552" spans="1:6" x14ac:dyDescent="0.25">
      <c r="A1552" s="62" t="s">
        <v>4398</v>
      </c>
      <c r="B1552" s="96">
        <v>280117</v>
      </c>
      <c r="C1552" s="96" t="str">
        <f t="shared" si="170"/>
        <v>CPOS280117</v>
      </c>
      <c r="D1552" s="95" t="s">
        <v>1612</v>
      </c>
      <c r="E1552" s="63" t="s">
        <v>58</v>
      </c>
      <c r="F1552" s="64">
        <v>172.46</v>
      </c>
    </row>
    <row r="1553" spans="1:6" x14ac:dyDescent="0.25">
      <c r="A1553" s="62" t="s">
        <v>4398</v>
      </c>
      <c r="B1553" s="96">
        <v>280118</v>
      </c>
      <c r="C1553" s="96" t="str">
        <f t="shared" si="170"/>
        <v>CPOS280118</v>
      </c>
      <c r="D1553" s="95" t="s">
        <v>1613</v>
      </c>
      <c r="E1553" s="63" t="s">
        <v>58</v>
      </c>
      <c r="F1553" s="64">
        <v>1471.23</v>
      </c>
    </row>
    <row r="1554" spans="1:6" x14ac:dyDescent="0.25">
      <c r="A1554" s="62" t="s">
        <v>4398</v>
      </c>
      <c r="B1554" s="96">
        <v>280121</v>
      </c>
      <c r="C1554" s="96" t="str">
        <f t="shared" si="170"/>
        <v>CPOS280121</v>
      </c>
      <c r="D1554" s="95" t="s">
        <v>1614</v>
      </c>
      <c r="E1554" s="63" t="s">
        <v>58</v>
      </c>
      <c r="F1554" s="64">
        <v>187.39000000000001</v>
      </c>
    </row>
    <row r="1555" spans="1:6" x14ac:dyDescent="0.25">
      <c r="A1555" s="62" t="s">
        <v>4398</v>
      </c>
      <c r="B1555" s="96">
        <v>280125</v>
      </c>
      <c r="C1555" s="96" t="str">
        <f t="shared" si="170"/>
        <v>CPOS280125</v>
      </c>
      <c r="D1555" s="95" t="s">
        <v>1615</v>
      </c>
      <c r="E1555" s="63" t="s">
        <v>58</v>
      </c>
      <c r="F1555" s="64">
        <v>22.27</v>
      </c>
    </row>
    <row r="1556" spans="1:6" x14ac:dyDescent="0.25">
      <c r="A1556" s="62" t="s">
        <v>4398</v>
      </c>
      <c r="B1556" s="96">
        <v>280127</v>
      </c>
      <c r="C1556" s="96" t="str">
        <f t="shared" si="170"/>
        <v>CPOS280127</v>
      </c>
      <c r="D1556" s="95" t="s">
        <v>1616</v>
      </c>
      <c r="E1556" s="63" t="s">
        <v>117</v>
      </c>
      <c r="F1556" s="64">
        <v>410.16</v>
      </c>
    </row>
    <row r="1557" spans="1:6" ht="30" x14ac:dyDescent="0.25">
      <c r="A1557" s="62" t="s">
        <v>4398</v>
      </c>
      <c r="B1557" s="96">
        <v>280128</v>
      </c>
      <c r="C1557" s="96" t="str">
        <f t="shared" si="170"/>
        <v>CPOS280128</v>
      </c>
      <c r="D1557" s="95" t="s">
        <v>1617</v>
      </c>
      <c r="E1557" s="63" t="s">
        <v>117</v>
      </c>
      <c r="F1557" s="64">
        <v>663.12</v>
      </c>
    </row>
    <row r="1558" spans="1:6" x14ac:dyDescent="0.25">
      <c r="A1558" s="62" t="s">
        <v>4398</v>
      </c>
      <c r="B1558" s="96">
        <v>280129</v>
      </c>
      <c r="C1558" s="96" t="str">
        <f t="shared" si="170"/>
        <v>CPOS280129</v>
      </c>
      <c r="D1558" s="95" t="s">
        <v>1618</v>
      </c>
      <c r="E1558" s="63" t="s">
        <v>117</v>
      </c>
      <c r="F1558" s="64">
        <v>504.45</v>
      </c>
    </row>
    <row r="1559" spans="1:6" x14ac:dyDescent="0.25">
      <c r="A1559" s="62" t="s">
        <v>4398</v>
      </c>
      <c r="B1559" s="96">
        <v>280133</v>
      </c>
      <c r="C1559" s="96" t="str">
        <f t="shared" si="170"/>
        <v>CPOS280133</v>
      </c>
      <c r="D1559" s="95" t="s">
        <v>1619</v>
      </c>
      <c r="E1559" s="63" t="s">
        <v>58</v>
      </c>
      <c r="F1559" s="64">
        <v>560.29999999999995</v>
      </c>
    </row>
    <row r="1560" spans="1:6" ht="30" x14ac:dyDescent="0.25">
      <c r="A1560" s="62" t="s">
        <v>4398</v>
      </c>
      <c r="B1560" s="96">
        <v>280136</v>
      </c>
      <c r="C1560" s="96" t="str">
        <f t="shared" si="170"/>
        <v>CPOS280136</v>
      </c>
      <c r="D1560" s="95" t="s">
        <v>1620</v>
      </c>
      <c r="E1560" s="63" t="s">
        <v>117</v>
      </c>
      <c r="F1560" s="64">
        <v>261.23</v>
      </c>
    </row>
    <row r="1561" spans="1:6" ht="30" x14ac:dyDescent="0.25">
      <c r="A1561" s="62" t="s">
        <v>4398</v>
      </c>
      <c r="B1561" s="96">
        <v>280137</v>
      </c>
      <c r="C1561" s="96" t="str">
        <f t="shared" si="170"/>
        <v>CPOS280137</v>
      </c>
      <c r="D1561" s="95" t="s">
        <v>1621</v>
      </c>
      <c r="E1561" s="63" t="s">
        <v>117</v>
      </c>
      <c r="F1561" s="64">
        <v>226.46</v>
      </c>
    </row>
    <row r="1562" spans="1:6" ht="30" x14ac:dyDescent="0.25">
      <c r="A1562" s="62" t="s">
        <v>4398</v>
      </c>
      <c r="B1562" s="96">
        <v>280140</v>
      </c>
      <c r="C1562" s="96" t="str">
        <f t="shared" si="170"/>
        <v>CPOS280140</v>
      </c>
      <c r="D1562" s="95" t="s">
        <v>1622</v>
      </c>
      <c r="E1562" s="63" t="s">
        <v>58</v>
      </c>
      <c r="F1562" s="64">
        <v>489.24</v>
      </c>
    </row>
    <row r="1563" spans="1:6" ht="30" x14ac:dyDescent="0.25">
      <c r="A1563" s="62" t="s">
        <v>4398</v>
      </c>
      <c r="B1563" s="96">
        <v>280144</v>
      </c>
      <c r="C1563" s="96" t="str">
        <f t="shared" si="170"/>
        <v>CPOS280144</v>
      </c>
      <c r="D1563" s="95" t="s">
        <v>1623</v>
      </c>
      <c r="E1563" s="63" t="s">
        <v>117</v>
      </c>
      <c r="F1563" s="64">
        <v>439.13</v>
      </c>
    </row>
    <row r="1564" spans="1:6" x14ac:dyDescent="0.25">
      <c r="D1564" s="94" t="s">
        <v>1624</v>
      </c>
    </row>
    <row r="1565" spans="1:6" x14ac:dyDescent="0.25">
      <c r="A1565" s="62" t="s">
        <v>4398</v>
      </c>
      <c r="B1565" s="96">
        <v>280502</v>
      </c>
      <c r="C1565" s="96" t="str">
        <f t="shared" ref="C1565:C1569" si="171">A1565&amp;B1565</f>
        <v>CPOS280502</v>
      </c>
      <c r="D1565" s="95" t="s">
        <v>1625</v>
      </c>
      <c r="E1565" s="63" t="s">
        <v>58</v>
      </c>
      <c r="F1565" s="64">
        <v>11.51</v>
      </c>
    </row>
    <row r="1566" spans="1:6" x14ac:dyDescent="0.25">
      <c r="A1566" s="62" t="s">
        <v>4398</v>
      </c>
      <c r="B1566" s="96">
        <v>280504</v>
      </c>
      <c r="C1566" s="96" t="str">
        <f t="shared" si="171"/>
        <v>CPOS280504</v>
      </c>
      <c r="D1566" s="95" t="s">
        <v>1626</v>
      </c>
      <c r="E1566" s="63" t="s">
        <v>58</v>
      </c>
      <c r="F1566" s="64">
        <v>16.72</v>
      </c>
    </row>
    <row r="1567" spans="1:6" x14ac:dyDescent="0.25">
      <c r="A1567" s="62" t="s">
        <v>4398</v>
      </c>
      <c r="B1567" s="96">
        <v>280506</v>
      </c>
      <c r="C1567" s="96" t="str">
        <f t="shared" si="171"/>
        <v>CPOS280506</v>
      </c>
      <c r="D1567" s="95" t="s">
        <v>1627</v>
      </c>
      <c r="E1567" s="63" t="s">
        <v>58</v>
      </c>
      <c r="F1567" s="64">
        <v>27.41</v>
      </c>
    </row>
    <row r="1568" spans="1:6" ht="30" x14ac:dyDescent="0.25">
      <c r="A1568" s="62" t="s">
        <v>4398</v>
      </c>
      <c r="B1568" s="96">
        <v>280507</v>
      </c>
      <c r="C1568" s="96" t="str">
        <f t="shared" si="171"/>
        <v>CPOS280507</v>
      </c>
      <c r="D1568" s="95" t="s">
        <v>1628</v>
      </c>
      <c r="E1568" s="63" t="s">
        <v>58</v>
      </c>
      <c r="F1568" s="64">
        <v>118.60000000000001</v>
      </c>
    </row>
    <row r="1569" spans="1:6" x14ac:dyDescent="0.25">
      <c r="A1569" s="62" t="s">
        <v>4398</v>
      </c>
      <c r="B1569" s="96">
        <v>280508</v>
      </c>
      <c r="C1569" s="96" t="str">
        <f t="shared" si="171"/>
        <v>CPOS280508</v>
      </c>
      <c r="D1569" s="95" t="s">
        <v>1629</v>
      </c>
      <c r="E1569" s="63" t="s">
        <v>58</v>
      </c>
      <c r="F1569" s="64">
        <v>44.04</v>
      </c>
    </row>
    <row r="1570" spans="1:6" x14ac:dyDescent="0.25">
      <c r="D1570" s="94" t="s">
        <v>693</v>
      </c>
    </row>
    <row r="1571" spans="1:6" x14ac:dyDescent="0.25">
      <c r="A1571" s="62" t="s">
        <v>4398</v>
      </c>
      <c r="B1571" s="96">
        <v>282002</v>
      </c>
      <c r="C1571" s="96" t="str">
        <f t="shared" ref="C1571:C1604" si="172">A1571&amp;B1571</f>
        <v>CPOS282002</v>
      </c>
      <c r="D1571" s="95" t="s">
        <v>1630</v>
      </c>
      <c r="E1571" s="63" t="s">
        <v>58</v>
      </c>
      <c r="F1571" s="64">
        <v>36.56</v>
      </c>
    </row>
    <row r="1572" spans="1:6" x14ac:dyDescent="0.25">
      <c r="A1572" s="62" t="s">
        <v>4398</v>
      </c>
      <c r="B1572" s="96">
        <v>282003</v>
      </c>
      <c r="C1572" s="96" t="str">
        <f t="shared" si="172"/>
        <v>CPOS282003</v>
      </c>
      <c r="D1572" s="95" t="s">
        <v>1631</v>
      </c>
      <c r="E1572" s="63" t="s">
        <v>58</v>
      </c>
      <c r="F1572" s="64">
        <v>534.05999999999995</v>
      </c>
    </row>
    <row r="1573" spans="1:6" x14ac:dyDescent="0.25">
      <c r="A1573" s="62" t="s">
        <v>4398</v>
      </c>
      <c r="B1573" s="96">
        <v>282004</v>
      </c>
      <c r="C1573" s="96" t="str">
        <f t="shared" si="172"/>
        <v>CPOS282004</v>
      </c>
      <c r="D1573" s="95" t="s">
        <v>1632</v>
      </c>
      <c r="E1573" s="63" t="s">
        <v>58</v>
      </c>
      <c r="F1573" s="64">
        <v>31.44</v>
      </c>
    </row>
    <row r="1574" spans="1:6" x14ac:dyDescent="0.25">
      <c r="A1574" s="62" t="s">
        <v>4398</v>
      </c>
      <c r="B1574" s="96">
        <v>282005</v>
      </c>
      <c r="C1574" s="96" t="str">
        <f t="shared" si="172"/>
        <v>CPOS282005</v>
      </c>
      <c r="D1574" s="95" t="s">
        <v>1633</v>
      </c>
      <c r="E1574" s="63" t="s">
        <v>117</v>
      </c>
      <c r="F1574" s="64">
        <v>744.80000000000007</v>
      </c>
    </row>
    <row r="1575" spans="1:6" x14ac:dyDescent="0.25">
      <c r="A1575" s="62" t="s">
        <v>4398</v>
      </c>
      <c r="B1575" s="96">
        <v>282006</v>
      </c>
      <c r="C1575" s="96" t="str">
        <f t="shared" si="172"/>
        <v>CPOS282006</v>
      </c>
      <c r="D1575" s="95" t="s">
        <v>1634</v>
      </c>
      <c r="E1575" s="63" t="s">
        <v>58</v>
      </c>
      <c r="F1575" s="64">
        <v>4.1399999999999997</v>
      </c>
    </row>
    <row r="1576" spans="1:6" x14ac:dyDescent="0.25">
      <c r="A1576" s="62" t="s">
        <v>4398</v>
      </c>
      <c r="B1576" s="96">
        <v>282007</v>
      </c>
      <c r="C1576" s="96" t="str">
        <f t="shared" si="172"/>
        <v>CPOS282007</v>
      </c>
      <c r="D1576" s="95" t="s">
        <v>1635</v>
      </c>
      <c r="E1576" s="63" t="s">
        <v>117</v>
      </c>
      <c r="F1576" s="64">
        <v>278.86</v>
      </c>
    </row>
    <row r="1577" spans="1:6" x14ac:dyDescent="0.25">
      <c r="A1577" s="62" t="s">
        <v>4398</v>
      </c>
      <c r="B1577" s="96">
        <v>282009</v>
      </c>
      <c r="C1577" s="96" t="str">
        <f t="shared" si="172"/>
        <v>CPOS282009</v>
      </c>
      <c r="D1577" s="95" t="s">
        <v>1636</v>
      </c>
      <c r="E1577" s="63" t="s">
        <v>58</v>
      </c>
      <c r="F1577" s="64">
        <v>60.82</v>
      </c>
    </row>
    <row r="1578" spans="1:6" x14ac:dyDescent="0.25">
      <c r="A1578" s="62" t="s">
        <v>4398</v>
      </c>
      <c r="B1578" s="96">
        <v>282017</v>
      </c>
      <c r="C1578" s="96" t="str">
        <f t="shared" si="172"/>
        <v>CPOS282017</v>
      </c>
      <c r="D1578" s="95" t="s">
        <v>1637</v>
      </c>
      <c r="E1578" s="63" t="s">
        <v>117</v>
      </c>
      <c r="F1578" s="64">
        <v>1787.7</v>
      </c>
    </row>
    <row r="1579" spans="1:6" x14ac:dyDescent="0.25">
      <c r="A1579" s="62" t="s">
        <v>4398</v>
      </c>
      <c r="B1579" s="96">
        <v>282021</v>
      </c>
      <c r="C1579" s="96" t="str">
        <f t="shared" si="172"/>
        <v>CPOS282021</v>
      </c>
      <c r="D1579" s="95" t="s">
        <v>1638</v>
      </c>
      <c r="E1579" s="63" t="s">
        <v>58</v>
      </c>
      <c r="F1579" s="64">
        <v>162.80000000000001</v>
      </c>
    </row>
    <row r="1580" spans="1:6" x14ac:dyDescent="0.25">
      <c r="A1580" s="62" t="s">
        <v>4398</v>
      </c>
      <c r="B1580" s="96">
        <v>282022</v>
      </c>
      <c r="C1580" s="96" t="str">
        <f t="shared" si="172"/>
        <v>CPOS282022</v>
      </c>
      <c r="D1580" s="95" t="s">
        <v>1639</v>
      </c>
      <c r="E1580" s="63" t="s">
        <v>58</v>
      </c>
      <c r="F1580" s="64">
        <v>146.16999999999999</v>
      </c>
    </row>
    <row r="1581" spans="1:6" x14ac:dyDescent="0.25">
      <c r="A1581" s="62" t="s">
        <v>4398</v>
      </c>
      <c r="B1581" s="96">
        <v>282023</v>
      </c>
      <c r="C1581" s="96" t="str">
        <f t="shared" si="172"/>
        <v>CPOS282023</v>
      </c>
      <c r="D1581" s="95" t="s">
        <v>1640</v>
      </c>
      <c r="E1581" s="63" t="s">
        <v>58</v>
      </c>
      <c r="F1581" s="64">
        <v>122.62</v>
      </c>
    </row>
    <row r="1582" spans="1:6" x14ac:dyDescent="0.25">
      <c r="A1582" s="62" t="s">
        <v>4398</v>
      </c>
      <c r="B1582" s="96">
        <v>282033</v>
      </c>
      <c r="C1582" s="96" t="str">
        <f t="shared" si="172"/>
        <v>CPOS282033</v>
      </c>
      <c r="D1582" s="95" t="s">
        <v>1641</v>
      </c>
      <c r="E1582" s="63" t="s">
        <v>58</v>
      </c>
      <c r="F1582" s="64">
        <v>27.43</v>
      </c>
    </row>
    <row r="1583" spans="1:6" x14ac:dyDescent="0.25">
      <c r="A1583" s="62" t="s">
        <v>4398</v>
      </c>
      <c r="B1583" s="96">
        <v>282036</v>
      </c>
      <c r="C1583" s="96" t="str">
        <f t="shared" si="172"/>
        <v>CPOS282036</v>
      </c>
      <c r="D1583" s="95" t="s">
        <v>1642</v>
      </c>
      <c r="E1583" s="63" t="s">
        <v>58</v>
      </c>
      <c r="F1583" s="64">
        <v>114.64</v>
      </c>
    </row>
    <row r="1584" spans="1:6" x14ac:dyDescent="0.25">
      <c r="A1584" s="62" t="s">
        <v>4398</v>
      </c>
      <c r="B1584" s="96">
        <v>282037</v>
      </c>
      <c r="C1584" s="96" t="str">
        <f t="shared" si="172"/>
        <v>CPOS282037</v>
      </c>
      <c r="D1584" s="95" t="s">
        <v>1643</v>
      </c>
      <c r="E1584" s="63" t="s">
        <v>58</v>
      </c>
      <c r="F1584" s="64">
        <v>161.36000000000001</v>
      </c>
    </row>
    <row r="1585" spans="1:6" x14ac:dyDescent="0.25">
      <c r="A1585" s="62" t="s">
        <v>4398</v>
      </c>
      <c r="B1585" s="96">
        <v>282041</v>
      </c>
      <c r="C1585" s="96" t="str">
        <f t="shared" si="172"/>
        <v>CPOS282041</v>
      </c>
      <c r="D1585" s="95" t="s">
        <v>1644</v>
      </c>
      <c r="E1585" s="63" t="s">
        <v>58</v>
      </c>
      <c r="F1585" s="64">
        <v>30.42</v>
      </c>
    </row>
    <row r="1586" spans="1:6" x14ac:dyDescent="0.25">
      <c r="A1586" s="62" t="s">
        <v>4398</v>
      </c>
      <c r="B1586" s="96">
        <v>282042</v>
      </c>
      <c r="C1586" s="96" t="str">
        <f t="shared" si="172"/>
        <v>CPOS282042</v>
      </c>
      <c r="D1586" s="95" t="s">
        <v>1645</v>
      </c>
      <c r="E1586" s="63" t="s">
        <v>58</v>
      </c>
      <c r="F1586" s="64">
        <v>23.86</v>
      </c>
    </row>
    <row r="1587" spans="1:6" x14ac:dyDescent="0.25">
      <c r="A1587" s="62" t="s">
        <v>4398</v>
      </c>
      <c r="B1587" s="96">
        <v>282043</v>
      </c>
      <c r="C1587" s="96" t="str">
        <f t="shared" si="172"/>
        <v>CPOS282043</v>
      </c>
      <c r="D1587" s="95" t="s">
        <v>1646</v>
      </c>
      <c r="E1587" s="63" t="s">
        <v>1647</v>
      </c>
      <c r="F1587" s="64">
        <v>106.23</v>
      </c>
    </row>
    <row r="1588" spans="1:6" x14ac:dyDescent="0.25">
      <c r="A1588" s="62" t="s">
        <v>4398</v>
      </c>
      <c r="B1588" s="96">
        <v>282051</v>
      </c>
      <c r="C1588" s="96" t="str">
        <f t="shared" si="172"/>
        <v>CPOS282051</v>
      </c>
      <c r="D1588" s="95" t="s">
        <v>1648</v>
      </c>
      <c r="E1588" s="63" t="s">
        <v>58</v>
      </c>
      <c r="F1588" s="64">
        <v>12.52</v>
      </c>
    </row>
    <row r="1589" spans="1:6" x14ac:dyDescent="0.25">
      <c r="A1589" s="62" t="s">
        <v>4398</v>
      </c>
      <c r="B1589" s="96">
        <v>282055</v>
      </c>
      <c r="C1589" s="96" t="str">
        <f t="shared" si="172"/>
        <v>CPOS282055</v>
      </c>
      <c r="D1589" s="95" t="s">
        <v>1649</v>
      </c>
      <c r="E1589" s="63" t="s">
        <v>58</v>
      </c>
      <c r="F1589" s="64">
        <v>85.47</v>
      </c>
    </row>
    <row r="1590" spans="1:6" ht="30" x14ac:dyDescent="0.25">
      <c r="A1590" s="62" t="s">
        <v>4398</v>
      </c>
      <c r="B1590" s="96">
        <v>282058</v>
      </c>
      <c r="C1590" s="96" t="str">
        <f t="shared" si="172"/>
        <v>CPOS282058</v>
      </c>
      <c r="D1590" s="95" t="s">
        <v>1650</v>
      </c>
      <c r="E1590" s="63" t="s">
        <v>117</v>
      </c>
      <c r="F1590" s="64">
        <v>1357.45</v>
      </c>
    </row>
    <row r="1591" spans="1:6" x14ac:dyDescent="0.25">
      <c r="A1591" s="62" t="s">
        <v>4398</v>
      </c>
      <c r="B1591" s="96">
        <v>282059</v>
      </c>
      <c r="C1591" s="96" t="str">
        <f t="shared" si="172"/>
        <v>CPOS282059</v>
      </c>
      <c r="D1591" s="95" t="s">
        <v>1651</v>
      </c>
      <c r="E1591" s="63" t="s">
        <v>58</v>
      </c>
      <c r="F1591" s="64">
        <v>28.05</v>
      </c>
    </row>
    <row r="1592" spans="1:6" x14ac:dyDescent="0.25">
      <c r="A1592" s="62" t="s">
        <v>4398</v>
      </c>
      <c r="B1592" s="96">
        <v>282060</v>
      </c>
      <c r="C1592" s="96" t="str">
        <f t="shared" si="172"/>
        <v>CPOS282060</v>
      </c>
      <c r="D1592" s="95" t="s">
        <v>1652</v>
      </c>
      <c r="E1592" s="63" t="s">
        <v>58</v>
      </c>
      <c r="F1592" s="64">
        <v>150.96</v>
      </c>
    </row>
    <row r="1593" spans="1:6" ht="30" x14ac:dyDescent="0.25">
      <c r="A1593" s="62" t="s">
        <v>4398</v>
      </c>
      <c r="B1593" s="96">
        <v>282065</v>
      </c>
      <c r="C1593" s="96" t="str">
        <f t="shared" si="172"/>
        <v>CPOS282065</v>
      </c>
      <c r="D1593" s="95" t="s">
        <v>1653</v>
      </c>
      <c r="E1593" s="63" t="s">
        <v>58</v>
      </c>
      <c r="F1593" s="64">
        <v>687.7</v>
      </c>
    </row>
    <row r="1594" spans="1:6" x14ac:dyDescent="0.25">
      <c r="A1594" s="62" t="s">
        <v>4398</v>
      </c>
      <c r="B1594" s="96">
        <v>282071</v>
      </c>
      <c r="C1594" s="96" t="str">
        <f t="shared" si="172"/>
        <v>CPOS282071</v>
      </c>
      <c r="D1594" s="95" t="s">
        <v>1654</v>
      </c>
      <c r="E1594" s="63" t="s">
        <v>58</v>
      </c>
      <c r="F1594" s="64">
        <v>21.02</v>
      </c>
    </row>
    <row r="1595" spans="1:6" x14ac:dyDescent="0.25">
      <c r="A1595" s="62" t="s">
        <v>4398</v>
      </c>
      <c r="B1595" s="96">
        <v>282072</v>
      </c>
      <c r="C1595" s="96" t="str">
        <f t="shared" si="172"/>
        <v>CPOS282072</v>
      </c>
      <c r="D1595" s="95" t="s">
        <v>1655</v>
      </c>
      <c r="E1595" s="63" t="s">
        <v>58</v>
      </c>
      <c r="F1595" s="64">
        <v>72.069999999999993</v>
      </c>
    </row>
    <row r="1596" spans="1:6" x14ac:dyDescent="0.25">
      <c r="A1596" s="62" t="s">
        <v>4398</v>
      </c>
      <c r="B1596" s="96">
        <v>282075</v>
      </c>
      <c r="C1596" s="96" t="str">
        <f t="shared" si="172"/>
        <v>CPOS282075</v>
      </c>
      <c r="D1596" s="95" t="s">
        <v>1656</v>
      </c>
      <c r="E1596" s="63" t="s">
        <v>58</v>
      </c>
      <c r="F1596" s="64">
        <v>38.44</v>
      </c>
    </row>
    <row r="1597" spans="1:6" x14ac:dyDescent="0.25">
      <c r="A1597" s="62" t="s">
        <v>4398</v>
      </c>
      <c r="B1597" s="96">
        <v>282076</v>
      </c>
      <c r="C1597" s="96" t="str">
        <f t="shared" si="172"/>
        <v>CPOS282076</v>
      </c>
      <c r="D1597" s="95" t="s">
        <v>1657</v>
      </c>
      <c r="E1597" s="63" t="s">
        <v>58</v>
      </c>
      <c r="F1597" s="64">
        <v>28.580000000000002</v>
      </c>
    </row>
    <row r="1598" spans="1:6" x14ac:dyDescent="0.25">
      <c r="A1598" s="62" t="s">
        <v>4398</v>
      </c>
      <c r="B1598" s="96">
        <v>282077</v>
      </c>
      <c r="C1598" s="96" t="str">
        <f t="shared" si="172"/>
        <v>CPOS282077</v>
      </c>
      <c r="D1598" s="95" t="s">
        <v>1658</v>
      </c>
      <c r="E1598" s="63" t="s">
        <v>58</v>
      </c>
      <c r="F1598" s="64">
        <v>103.68</v>
      </c>
    </row>
    <row r="1599" spans="1:6" x14ac:dyDescent="0.25">
      <c r="A1599" s="62" t="s">
        <v>4398</v>
      </c>
      <c r="B1599" s="96">
        <v>282078</v>
      </c>
      <c r="C1599" s="96" t="str">
        <f t="shared" si="172"/>
        <v>CPOS282078</v>
      </c>
      <c r="D1599" s="95" t="s">
        <v>1659</v>
      </c>
      <c r="E1599" s="63" t="s">
        <v>58</v>
      </c>
      <c r="F1599" s="64">
        <v>175.09</v>
      </c>
    </row>
    <row r="1600" spans="1:6" ht="30" x14ac:dyDescent="0.25">
      <c r="A1600" s="62" t="s">
        <v>4398</v>
      </c>
      <c r="B1600" s="96">
        <v>282079</v>
      </c>
      <c r="C1600" s="96" t="str">
        <f t="shared" si="172"/>
        <v>CPOS282079</v>
      </c>
      <c r="D1600" s="95" t="s">
        <v>1660</v>
      </c>
      <c r="E1600" s="63" t="s">
        <v>117</v>
      </c>
      <c r="F1600" s="64">
        <v>1913.53</v>
      </c>
    </row>
    <row r="1601" spans="1:6" x14ac:dyDescent="0.25">
      <c r="A1601" s="62" t="s">
        <v>4398</v>
      </c>
      <c r="B1601" s="96">
        <v>282080</v>
      </c>
      <c r="C1601" s="96" t="str">
        <f t="shared" si="172"/>
        <v>CPOS282080</v>
      </c>
      <c r="D1601" s="95" t="s">
        <v>1661</v>
      </c>
      <c r="E1601" s="63" t="s">
        <v>58</v>
      </c>
      <c r="F1601" s="64">
        <v>11401.85</v>
      </c>
    </row>
    <row r="1602" spans="1:6" ht="30" x14ac:dyDescent="0.25">
      <c r="A1602" s="62" t="s">
        <v>4398</v>
      </c>
      <c r="B1602" s="96">
        <v>282081</v>
      </c>
      <c r="C1602" s="96" t="str">
        <f t="shared" si="172"/>
        <v>CPOS282081</v>
      </c>
      <c r="D1602" s="95" t="s">
        <v>1662</v>
      </c>
      <c r="E1602" s="63" t="s">
        <v>58</v>
      </c>
      <c r="F1602" s="64">
        <v>12261</v>
      </c>
    </row>
    <row r="1603" spans="1:6" x14ac:dyDescent="0.25">
      <c r="A1603" s="62" t="s">
        <v>4398</v>
      </c>
      <c r="B1603" s="96">
        <v>282082</v>
      </c>
      <c r="C1603" s="96" t="str">
        <f t="shared" si="172"/>
        <v>CPOS282082</v>
      </c>
      <c r="D1603" s="95" t="s">
        <v>1663</v>
      </c>
      <c r="E1603" s="63" t="s">
        <v>117</v>
      </c>
      <c r="F1603" s="64">
        <v>838.14</v>
      </c>
    </row>
    <row r="1604" spans="1:6" x14ac:dyDescent="0.25">
      <c r="A1604" s="62" t="s">
        <v>4398</v>
      </c>
      <c r="B1604" s="96">
        <v>282083</v>
      </c>
      <c r="C1604" s="96" t="str">
        <f t="shared" si="172"/>
        <v>CPOS282083</v>
      </c>
      <c r="D1604" s="95" t="s">
        <v>1664</v>
      </c>
      <c r="E1604" s="63" t="s">
        <v>117</v>
      </c>
      <c r="F1604" s="64">
        <v>1636.64</v>
      </c>
    </row>
    <row r="1605" spans="1:6" x14ac:dyDescent="0.25">
      <c r="D1605" s="94" t="s">
        <v>1665</v>
      </c>
    </row>
    <row r="1606" spans="1:6" x14ac:dyDescent="0.25">
      <c r="D1606" s="94" t="s">
        <v>1666</v>
      </c>
    </row>
    <row r="1607" spans="1:6" x14ac:dyDescent="0.25">
      <c r="A1607" s="62" t="s">
        <v>4398</v>
      </c>
      <c r="B1607" s="96">
        <v>290102</v>
      </c>
      <c r="C1607" s="96" t="str">
        <f t="shared" ref="C1607:C1611" si="173">A1607&amp;B1607</f>
        <v>CPOS290102</v>
      </c>
      <c r="D1607" s="95" t="s">
        <v>1667</v>
      </c>
      <c r="E1607" s="63" t="s">
        <v>110</v>
      </c>
      <c r="F1607" s="64">
        <v>12.450000000000001</v>
      </c>
    </row>
    <row r="1608" spans="1:6" x14ac:dyDescent="0.25">
      <c r="A1608" s="62" t="s">
        <v>4398</v>
      </c>
      <c r="B1608" s="96">
        <v>290103</v>
      </c>
      <c r="C1608" s="96" t="str">
        <f t="shared" si="173"/>
        <v>CPOS290103</v>
      </c>
      <c r="D1608" s="95" t="s">
        <v>1668</v>
      </c>
      <c r="E1608" s="63" t="s">
        <v>329</v>
      </c>
      <c r="F1608" s="64">
        <v>60.75</v>
      </c>
    </row>
    <row r="1609" spans="1:6" x14ac:dyDescent="0.25">
      <c r="A1609" s="62" t="s">
        <v>4398</v>
      </c>
      <c r="B1609" s="96">
        <v>290104</v>
      </c>
      <c r="C1609" s="96" t="str">
        <f t="shared" si="173"/>
        <v>CPOS290104</v>
      </c>
      <c r="D1609" s="95" t="s">
        <v>1669</v>
      </c>
      <c r="E1609" s="63" t="s">
        <v>110</v>
      </c>
      <c r="F1609" s="64">
        <v>13.81</v>
      </c>
    </row>
    <row r="1610" spans="1:6" x14ac:dyDescent="0.25">
      <c r="A1610" s="62" t="s">
        <v>4398</v>
      </c>
      <c r="B1610" s="96">
        <v>290121</v>
      </c>
      <c r="C1610" s="96" t="str">
        <f t="shared" si="173"/>
        <v>CPOS290121</v>
      </c>
      <c r="D1610" s="95" t="s">
        <v>1670</v>
      </c>
      <c r="E1610" s="63" t="s">
        <v>329</v>
      </c>
      <c r="F1610" s="64">
        <v>14.82</v>
      </c>
    </row>
    <row r="1611" spans="1:6" x14ac:dyDescent="0.25">
      <c r="A1611" s="62" t="s">
        <v>4398</v>
      </c>
      <c r="B1611" s="96">
        <v>290123</v>
      </c>
      <c r="C1611" s="96" t="str">
        <f t="shared" si="173"/>
        <v>CPOS290123</v>
      </c>
      <c r="D1611" s="95" t="s">
        <v>1671</v>
      </c>
      <c r="E1611" s="63" t="s">
        <v>329</v>
      </c>
      <c r="F1611" s="64">
        <v>12.75</v>
      </c>
    </row>
    <row r="1612" spans="1:6" x14ac:dyDescent="0.25">
      <c r="D1612" s="94" t="s">
        <v>1672</v>
      </c>
    </row>
    <row r="1613" spans="1:6" x14ac:dyDescent="0.25">
      <c r="A1613" s="62" t="s">
        <v>4398</v>
      </c>
      <c r="B1613" s="96">
        <v>290301</v>
      </c>
      <c r="C1613" s="96" t="str">
        <f t="shared" ref="C1613:C1616" si="174">A1613&amp;B1613</f>
        <v>CPOS290301</v>
      </c>
      <c r="D1613" s="95" t="s">
        <v>1673</v>
      </c>
      <c r="E1613" s="63" t="s">
        <v>110</v>
      </c>
      <c r="F1613" s="64">
        <v>10.76</v>
      </c>
    </row>
    <row r="1614" spans="1:6" x14ac:dyDescent="0.25">
      <c r="A1614" s="62" t="s">
        <v>4398</v>
      </c>
      <c r="B1614" s="96">
        <v>290302</v>
      </c>
      <c r="C1614" s="96" t="str">
        <f t="shared" si="174"/>
        <v>CPOS290302</v>
      </c>
      <c r="D1614" s="95" t="s">
        <v>1674</v>
      </c>
      <c r="E1614" s="63" t="s">
        <v>110</v>
      </c>
      <c r="F1614" s="64">
        <v>13.3</v>
      </c>
    </row>
    <row r="1615" spans="1:6" x14ac:dyDescent="0.25">
      <c r="A1615" s="62" t="s">
        <v>4398</v>
      </c>
      <c r="B1615" s="96">
        <v>290303</v>
      </c>
      <c r="C1615" s="96" t="str">
        <f t="shared" si="174"/>
        <v>CPOS290303</v>
      </c>
      <c r="D1615" s="95" t="s">
        <v>1675</v>
      </c>
      <c r="E1615" s="63" t="s">
        <v>110</v>
      </c>
      <c r="F1615" s="64">
        <v>10.31</v>
      </c>
    </row>
    <row r="1616" spans="1:6" x14ac:dyDescent="0.25">
      <c r="A1616" s="62" t="s">
        <v>4398</v>
      </c>
      <c r="B1616" s="96">
        <v>290304</v>
      </c>
      <c r="C1616" s="96" t="str">
        <f t="shared" si="174"/>
        <v>CPOS290304</v>
      </c>
      <c r="D1616" s="95" t="s">
        <v>1676</v>
      </c>
      <c r="E1616" s="63" t="s">
        <v>110</v>
      </c>
      <c r="F1616" s="64">
        <v>14.98</v>
      </c>
    </row>
    <row r="1617" spans="1:6" x14ac:dyDescent="0.25">
      <c r="D1617" s="94" t="s">
        <v>693</v>
      </c>
    </row>
    <row r="1618" spans="1:6" x14ac:dyDescent="0.25">
      <c r="A1618" s="62" t="s">
        <v>4398</v>
      </c>
      <c r="B1618" s="96">
        <v>292003</v>
      </c>
      <c r="C1618" s="96" t="str">
        <f>A1618&amp;B1618</f>
        <v>CPOS292003</v>
      </c>
      <c r="D1618" s="95" t="s">
        <v>1677</v>
      </c>
      <c r="E1618" s="63" t="s">
        <v>329</v>
      </c>
      <c r="F1618" s="64">
        <v>30.5</v>
      </c>
    </row>
    <row r="1619" spans="1:6" x14ac:dyDescent="0.25">
      <c r="D1619" s="94" t="s">
        <v>1678</v>
      </c>
    </row>
    <row r="1620" spans="1:6" x14ac:dyDescent="0.25">
      <c r="D1620" s="94" t="s">
        <v>1679</v>
      </c>
    </row>
    <row r="1621" spans="1:6" ht="30" x14ac:dyDescent="0.25">
      <c r="A1621" s="62" t="s">
        <v>4398</v>
      </c>
      <c r="B1621" s="96">
        <v>300101</v>
      </c>
      <c r="C1621" s="96" t="str">
        <f t="shared" ref="C1621:C1632" si="175">A1621&amp;B1621</f>
        <v>CPOS300101</v>
      </c>
      <c r="D1621" s="95" t="s">
        <v>1680</v>
      </c>
      <c r="E1621" s="63" t="s">
        <v>110</v>
      </c>
      <c r="F1621" s="64">
        <v>153.66999999999999</v>
      </c>
    </row>
    <row r="1622" spans="1:6" ht="30" x14ac:dyDescent="0.25">
      <c r="A1622" s="62" t="s">
        <v>4398</v>
      </c>
      <c r="B1622" s="96">
        <v>300102</v>
      </c>
      <c r="C1622" s="96" t="str">
        <f t="shared" si="175"/>
        <v>CPOS300102</v>
      </c>
      <c r="D1622" s="95" t="s">
        <v>1681</v>
      </c>
      <c r="E1622" s="63" t="s">
        <v>58</v>
      </c>
      <c r="F1622" s="64">
        <v>122.2</v>
      </c>
    </row>
    <row r="1623" spans="1:6" ht="30" x14ac:dyDescent="0.25">
      <c r="A1623" s="62" t="s">
        <v>4398</v>
      </c>
      <c r="B1623" s="96">
        <v>300103</v>
      </c>
      <c r="C1623" s="96" t="str">
        <f t="shared" si="175"/>
        <v>CPOS300103</v>
      </c>
      <c r="D1623" s="95" t="s">
        <v>1682</v>
      </c>
      <c r="E1623" s="63" t="s">
        <v>58</v>
      </c>
      <c r="F1623" s="64">
        <v>133.32</v>
      </c>
    </row>
    <row r="1624" spans="1:6" ht="30" x14ac:dyDescent="0.25">
      <c r="A1624" s="62" t="s">
        <v>4398</v>
      </c>
      <c r="B1624" s="96">
        <v>300104</v>
      </c>
      <c r="C1624" s="96" t="str">
        <f t="shared" si="175"/>
        <v>CPOS300104</v>
      </c>
      <c r="D1624" s="95" t="s">
        <v>1683</v>
      </c>
      <c r="E1624" s="63" t="s">
        <v>58</v>
      </c>
      <c r="F1624" s="64">
        <v>139.59</v>
      </c>
    </row>
    <row r="1625" spans="1:6" ht="30" x14ac:dyDescent="0.25">
      <c r="A1625" s="62" t="s">
        <v>4398</v>
      </c>
      <c r="B1625" s="96">
        <v>300105</v>
      </c>
      <c r="C1625" s="96" t="str">
        <f t="shared" si="175"/>
        <v>CPOS300105</v>
      </c>
      <c r="D1625" s="95" t="s">
        <v>1684</v>
      </c>
      <c r="E1625" s="63" t="s">
        <v>58</v>
      </c>
      <c r="F1625" s="64">
        <v>251.05</v>
      </c>
    </row>
    <row r="1626" spans="1:6" ht="30" x14ac:dyDescent="0.25">
      <c r="A1626" s="62" t="s">
        <v>4398</v>
      </c>
      <c r="B1626" s="96">
        <v>300107</v>
      </c>
      <c r="C1626" s="96" t="str">
        <f t="shared" si="175"/>
        <v>CPOS300107</v>
      </c>
      <c r="D1626" s="95" t="s">
        <v>1685</v>
      </c>
      <c r="E1626" s="63" t="s">
        <v>58</v>
      </c>
      <c r="F1626" s="64">
        <v>94.4</v>
      </c>
    </row>
    <row r="1627" spans="1:6" ht="30" x14ac:dyDescent="0.25">
      <c r="A1627" s="62" t="s">
        <v>4398</v>
      </c>
      <c r="B1627" s="96">
        <v>300108</v>
      </c>
      <c r="C1627" s="96" t="str">
        <f t="shared" si="175"/>
        <v>CPOS300108</v>
      </c>
      <c r="D1627" s="95" t="s">
        <v>1686</v>
      </c>
      <c r="E1627" s="63" t="s">
        <v>58</v>
      </c>
      <c r="F1627" s="64">
        <v>105.75</v>
      </c>
    </row>
    <row r="1628" spans="1:6" ht="30" x14ac:dyDescent="0.25">
      <c r="A1628" s="62" t="s">
        <v>4398</v>
      </c>
      <c r="B1628" s="96">
        <v>300109</v>
      </c>
      <c r="C1628" s="96" t="str">
        <f t="shared" si="175"/>
        <v>CPOS300109</v>
      </c>
      <c r="D1628" s="95" t="s">
        <v>1687</v>
      </c>
      <c r="E1628" s="63" t="s">
        <v>58</v>
      </c>
      <c r="F1628" s="64">
        <v>253.73000000000002</v>
      </c>
    </row>
    <row r="1629" spans="1:6" ht="30" x14ac:dyDescent="0.25">
      <c r="A1629" s="62" t="s">
        <v>4398</v>
      </c>
      <c r="B1629" s="96">
        <v>300110</v>
      </c>
      <c r="C1629" s="96" t="str">
        <f t="shared" si="175"/>
        <v>CPOS300110</v>
      </c>
      <c r="D1629" s="95" t="s">
        <v>1688</v>
      </c>
      <c r="E1629" s="63" t="s">
        <v>58</v>
      </c>
      <c r="F1629" s="64">
        <v>112.48</v>
      </c>
    </row>
    <row r="1630" spans="1:6" ht="30" x14ac:dyDescent="0.25">
      <c r="A1630" s="62" t="s">
        <v>4398</v>
      </c>
      <c r="B1630" s="96">
        <v>300111</v>
      </c>
      <c r="C1630" s="96" t="str">
        <f t="shared" si="175"/>
        <v>CPOS300111</v>
      </c>
      <c r="D1630" s="95" t="s">
        <v>1689</v>
      </c>
      <c r="E1630" s="63" t="s">
        <v>58</v>
      </c>
      <c r="F1630" s="64">
        <v>216.85</v>
      </c>
    </row>
    <row r="1631" spans="1:6" ht="30" x14ac:dyDescent="0.25">
      <c r="A1631" s="62" t="s">
        <v>4398</v>
      </c>
      <c r="B1631" s="96">
        <v>300112</v>
      </c>
      <c r="C1631" s="96" t="str">
        <f t="shared" si="175"/>
        <v>CPOS300112</v>
      </c>
      <c r="D1631" s="95" t="s">
        <v>1690</v>
      </c>
      <c r="E1631" s="63" t="s">
        <v>58</v>
      </c>
      <c r="F1631" s="64">
        <v>95.14</v>
      </c>
    </row>
    <row r="1632" spans="1:6" ht="30" x14ac:dyDescent="0.25">
      <c r="A1632" s="62" t="s">
        <v>4398</v>
      </c>
      <c r="B1632" s="96">
        <v>300113</v>
      </c>
      <c r="C1632" s="96" t="str">
        <f t="shared" si="175"/>
        <v>CPOS300113</v>
      </c>
      <c r="D1632" s="95" t="s">
        <v>1691</v>
      </c>
      <c r="E1632" s="63" t="s">
        <v>58</v>
      </c>
      <c r="F1632" s="64">
        <v>375.54</v>
      </c>
    </row>
    <row r="1633" spans="1:6" x14ac:dyDescent="0.25">
      <c r="D1633" s="94" t="s">
        <v>1692</v>
      </c>
    </row>
    <row r="1634" spans="1:6" ht="30" x14ac:dyDescent="0.25">
      <c r="A1634" s="62" t="s">
        <v>4398</v>
      </c>
      <c r="B1634" s="96">
        <v>300303</v>
      </c>
      <c r="C1634" s="96" t="str">
        <f t="shared" ref="C1634:C1635" si="176">A1634&amp;B1634</f>
        <v>CPOS300303</v>
      </c>
      <c r="D1634" s="95" t="s">
        <v>1693</v>
      </c>
      <c r="E1634" s="63" t="s">
        <v>58</v>
      </c>
      <c r="F1634" s="64">
        <v>1751.17</v>
      </c>
    </row>
    <row r="1635" spans="1:6" ht="30" x14ac:dyDescent="0.25">
      <c r="A1635" s="62" t="s">
        <v>4398</v>
      </c>
      <c r="B1635" s="96">
        <v>300304</v>
      </c>
      <c r="C1635" s="96" t="str">
        <f t="shared" si="176"/>
        <v>CPOS300304</v>
      </c>
      <c r="D1635" s="95" t="s">
        <v>1694</v>
      </c>
      <c r="E1635" s="63" t="s">
        <v>58</v>
      </c>
      <c r="F1635" s="64">
        <v>2427.4</v>
      </c>
    </row>
    <row r="1636" spans="1:6" x14ac:dyDescent="0.25">
      <c r="D1636" s="94" t="s">
        <v>1695</v>
      </c>
    </row>
    <row r="1637" spans="1:6" ht="30" x14ac:dyDescent="0.25">
      <c r="A1637" s="62" t="s">
        <v>4398</v>
      </c>
      <c r="B1637" s="96">
        <v>300401</v>
      </c>
      <c r="C1637" s="96" t="str">
        <f t="shared" ref="C1637:C1645" si="177">A1637&amp;B1637</f>
        <v>CPOS300401</v>
      </c>
      <c r="D1637" s="95" t="s">
        <v>1696</v>
      </c>
      <c r="E1637" s="63" t="s">
        <v>81</v>
      </c>
      <c r="F1637" s="64">
        <v>163.13999999999999</v>
      </c>
    </row>
    <row r="1638" spans="1:6" ht="30" x14ac:dyDescent="0.25">
      <c r="A1638" s="62" t="s">
        <v>4398</v>
      </c>
      <c r="B1638" s="96">
        <v>300402</v>
      </c>
      <c r="C1638" s="96" t="str">
        <f t="shared" si="177"/>
        <v>CPOS300402</v>
      </c>
      <c r="D1638" s="95" t="s">
        <v>1697</v>
      </c>
      <c r="E1638" s="63" t="s">
        <v>81</v>
      </c>
      <c r="F1638" s="64">
        <v>126.59</v>
      </c>
    </row>
    <row r="1639" spans="1:6" ht="30" x14ac:dyDescent="0.25">
      <c r="A1639" s="62" t="s">
        <v>4398</v>
      </c>
      <c r="B1639" s="96">
        <v>300403</v>
      </c>
      <c r="C1639" s="96" t="str">
        <f t="shared" si="177"/>
        <v>CPOS300403</v>
      </c>
      <c r="D1639" s="95" t="s">
        <v>1698</v>
      </c>
      <c r="E1639" s="63" t="s">
        <v>81</v>
      </c>
      <c r="F1639" s="64">
        <v>89.01</v>
      </c>
    </row>
    <row r="1640" spans="1:6" ht="30" x14ac:dyDescent="0.25">
      <c r="A1640" s="62" t="s">
        <v>4398</v>
      </c>
      <c r="B1640" s="96">
        <v>300404</v>
      </c>
      <c r="C1640" s="96" t="str">
        <f t="shared" si="177"/>
        <v>CPOS300404</v>
      </c>
      <c r="D1640" s="95" t="s">
        <v>1699</v>
      </c>
      <c r="E1640" s="63" t="s">
        <v>58</v>
      </c>
      <c r="F1640" s="64">
        <v>5.2</v>
      </c>
    </row>
    <row r="1641" spans="1:6" x14ac:dyDescent="0.25">
      <c r="A1641" s="62" t="s">
        <v>4398</v>
      </c>
      <c r="B1641" s="96">
        <v>300406</v>
      </c>
      <c r="C1641" s="96" t="str">
        <f t="shared" si="177"/>
        <v>CPOS300406</v>
      </c>
      <c r="D1641" s="95" t="s">
        <v>1700</v>
      </c>
      <c r="E1641" s="63" t="s">
        <v>110</v>
      </c>
      <c r="F1641" s="64">
        <v>253.18</v>
      </c>
    </row>
    <row r="1642" spans="1:6" ht="30" x14ac:dyDescent="0.25">
      <c r="A1642" s="62" t="s">
        <v>4398</v>
      </c>
      <c r="B1642" s="96">
        <v>300407</v>
      </c>
      <c r="C1642" s="96" t="str">
        <f t="shared" si="177"/>
        <v>CPOS300407</v>
      </c>
      <c r="D1642" s="95" t="s">
        <v>1701</v>
      </c>
      <c r="E1642" s="63" t="s">
        <v>81</v>
      </c>
      <c r="F1642" s="64">
        <v>8.1</v>
      </c>
    </row>
    <row r="1643" spans="1:6" x14ac:dyDescent="0.25">
      <c r="A1643" s="62" t="s">
        <v>4398</v>
      </c>
      <c r="B1643" s="96">
        <v>300409</v>
      </c>
      <c r="C1643" s="96" t="str">
        <f t="shared" si="177"/>
        <v>CPOS300409</v>
      </c>
      <c r="D1643" s="95" t="s">
        <v>1702</v>
      </c>
      <c r="E1643" s="63" t="s">
        <v>58</v>
      </c>
      <c r="F1643" s="64">
        <v>8.59</v>
      </c>
    </row>
    <row r="1644" spans="1:6" ht="30" x14ac:dyDescent="0.25">
      <c r="A1644" s="62" t="s">
        <v>4398</v>
      </c>
      <c r="B1644" s="96">
        <v>300410</v>
      </c>
      <c r="C1644" s="96" t="str">
        <f t="shared" si="177"/>
        <v>CPOS300410</v>
      </c>
      <c r="D1644" s="95" t="s">
        <v>1703</v>
      </c>
      <c r="E1644" s="63" t="s">
        <v>81</v>
      </c>
      <c r="F1644" s="64">
        <v>64.45</v>
      </c>
    </row>
    <row r="1645" spans="1:6" ht="30" x14ac:dyDescent="0.25">
      <c r="A1645" s="62" t="s">
        <v>4398</v>
      </c>
      <c r="B1645" s="96">
        <v>300411</v>
      </c>
      <c r="C1645" s="96" t="str">
        <f t="shared" si="177"/>
        <v>CPOS300411</v>
      </c>
      <c r="D1645" s="95" t="s">
        <v>1704</v>
      </c>
      <c r="E1645" s="63" t="s">
        <v>81</v>
      </c>
      <c r="F1645" s="64">
        <v>359.58</v>
      </c>
    </row>
    <row r="1646" spans="1:6" x14ac:dyDescent="0.25">
      <c r="D1646" s="94" t="s">
        <v>1705</v>
      </c>
    </row>
    <row r="1647" spans="1:6" x14ac:dyDescent="0.25">
      <c r="A1647" s="62" t="s">
        <v>4398</v>
      </c>
      <c r="B1647" s="96">
        <v>300601</v>
      </c>
      <c r="C1647" s="96" t="str">
        <f t="shared" ref="C1647:C1655" si="178">A1647&amp;B1647</f>
        <v>CPOS300601</v>
      </c>
      <c r="D1647" s="95" t="s">
        <v>1706</v>
      </c>
      <c r="E1647" s="63" t="s">
        <v>58</v>
      </c>
      <c r="F1647" s="64">
        <v>19.07</v>
      </c>
    </row>
    <row r="1648" spans="1:6" x14ac:dyDescent="0.25">
      <c r="A1648" s="62" t="s">
        <v>4398</v>
      </c>
      <c r="B1648" s="96">
        <v>300602</v>
      </c>
      <c r="C1648" s="96" t="str">
        <f t="shared" si="178"/>
        <v>CPOS300602</v>
      </c>
      <c r="D1648" s="95" t="s">
        <v>1707</v>
      </c>
      <c r="E1648" s="63" t="s">
        <v>58</v>
      </c>
      <c r="F1648" s="64">
        <v>19.07</v>
      </c>
    </row>
    <row r="1649" spans="1:6" x14ac:dyDescent="0.25">
      <c r="A1649" s="62" t="s">
        <v>4398</v>
      </c>
      <c r="B1649" s="96">
        <v>300603</v>
      </c>
      <c r="C1649" s="96" t="str">
        <f t="shared" si="178"/>
        <v>CPOS300603</v>
      </c>
      <c r="D1649" s="95" t="s">
        <v>1708</v>
      </c>
      <c r="E1649" s="63" t="s">
        <v>58</v>
      </c>
      <c r="F1649" s="64">
        <v>25.19</v>
      </c>
    </row>
    <row r="1650" spans="1:6" ht="30" x14ac:dyDescent="0.25">
      <c r="A1650" s="62" t="s">
        <v>4398</v>
      </c>
      <c r="B1650" s="96">
        <v>300605</v>
      </c>
      <c r="C1650" s="96" t="str">
        <f t="shared" si="178"/>
        <v>CPOS300605</v>
      </c>
      <c r="D1650" s="95" t="s">
        <v>1709</v>
      </c>
      <c r="E1650" s="63" t="s">
        <v>110</v>
      </c>
      <c r="F1650" s="64">
        <v>32.86</v>
      </c>
    </row>
    <row r="1651" spans="1:6" x14ac:dyDescent="0.25">
      <c r="A1651" s="62" t="s">
        <v>4398</v>
      </c>
      <c r="B1651" s="96">
        <v>300606</v>
      </c>
      <c r="C1651" s="96" t="str">
        <f t="shared" si="178"/>
        <v>CPOS300606</v>
      </c>
      <c r="D1651" s="95" t="s">
        <v>1710</v>
      </c>
      <c r="E1651" s="63" t="s">
        <v>117</v>
      </c>
      <c r="F1651" s="64">
        <v>793.04</v>
      </c>
    </row>
    <row r="1652" spans="1:6" ht="30" x14ac:dyDescent="0.25">
      <c r="A1652" s="62" t="s">
        <v>4398</v>
      </c>
      <c r="B1652" s="96">
        <v>300608</v>
      </c>
      <c r="C1652" s="96" t="str">
        <f t="shared" si="178"/>
        <v>CPOS300608</v>
      </c>
      <c r="D1652" s="95" t="s">
        <v>1711</v>
      </c>
      <c r="E1652" s="63" t="s">
        <v>58</v>
      </c>
      <c r="F1652" s="64">
        <v>19.95</v>
      </c>
    </row>
    <row r="1653" spans="1:6" ht="30" x14ac:dyDescent="0.25">
      <c r="A1653" s="62" t="s">
        <v>4398</v>
      </c>
      <c r="B1653" s="96">
        <v>300609</v>
      </c>
      <c r="C1653" s="96" t="str">
        <f t="shared" si="178"/>
        <v>CPOS300609</v>
      </c>
      <c r="D1653" s="95" t="s">
        <v>1712</v>
      </c>
      <c r="E1653" s="63" t="s">
        <v>117</v>
      </c>
      <c r="F1653" s="64">
        <v>484.77</v>
      </c>
    </row>
    <row r="1654" spans="1:6" x14ac:dyDescent="0.25">
      <c r="A1654" s="62" t="s">
        <v>4398</v>
      </c>
      <c r="B1654" s="96">
        <v>300610</v>
      </c>
      <c r="C1654" s="96" t="str">
        <f t="shared" si="178"/>
        <v>CPOS300610</v>
      </c>
      <c r="D1654" s="95" t="s">
        <v>1713</v>
      </c>
      <c r="E1654" s="63" t="s">
        <v>58</v>
      </c>
      <c r="F1654" s="64">
        <v>147.16999999999999</v>
      </c>
    </row>
    <row r="1655" spans="1:6" ht="30" x14ac:dyDescent="0.25">
      <c r="A1655" s="62" t="s">
        <v>4398</v>
      </c>
      <c r="B1655" s="96">
        <v>300611</v>
      </c>
      <c r="C1655" s="96" t="str">
        <f t="shared" si="178"/>
        <v>CPOS300611</v>
      </c>
      <c r="D1655" s="95" t="s">
        <v>1714</v>
      </c>
      <c r="E1655" s="63" t="s">
        <v>58</v>
      </c>
      <c r="F1655" s="64">
        <v>308.51</v>
      </c>
    </row>
    <row r="1656" spans="1:6" x14ac:dyDescent="0.25">
      <c r="D1656" s="94" t="s">
        <v>1715</v>
      </c>
    </row>
    <row r="1657" spans="1:6" x14ac:dyDescent="0.25">
      <c r="A1657" s="62" t="s">
        <v>4398</v>
      </c>
      <c r="B1657" s="96">
        <v>300801</v>
      </c>
      <c r="C1657" s="96" t="str">
        <f t="shared" ref="C1657:C1662" si="179">A1657&amp;B1657</f>
        <v>CPOS300801</v>
      </c>
      <c r="D1657" s="95" t="s">
        <v>1716</v>
      </c>
      <c r="E1657" s="63" t="s">
        <v>58</v>
      </c>
      <c r="F1657" s="64">
        <v>470.11</v>
      </c>
    </row>
    <row r="1658" spans="1:6" ht="30" x14ac:dyDescent="0.25">
      <c r="A1658" s="62" t="s">
        <v>4398</v>
      </c>
      <c r="B1658" s="96">
        <v>300802</v>
      </c>
      <c r="C1658" s="96" t="str">
        <f t="shared" si="179"/>
        <v>CPOS300802</v>
      </c>
      <c r="D1658" s="95" t="s">
        <v>1717</v>
      </c>
      <c r="E1658" s="63" t="s">
        <v>58</v>
      </c>
      <c r="F1658" s="64">
        <v>616.37</v>
      </c>
    </row>
    <row r="1659" spans="1:6" x14ac:dyDescent="0.25">
      <c r="A1659" s="62" t="s">
        <v>4398</v>
      </c>
      <c r="B1659" s="96">
        <v>300803</v>
      </c>
      <c r="C1659" s="96" t="str">
        <f t="shared" si="179"/>
        <v>CPOS300803</v>
      </c>
      <c r="D1659" s="95" t="s">
        <v>1718</v>
      </c>
      <c r="E1659" s="63" t="s">
        <v>58</v>
      </c>
      <c r="F1659" s="64">
        <v>722.2</v>
      </c>
    </row>
    <row r="1660" spans="1:6" x14ac:dyDescent="0.25">
      <c r="A1660" s="62" t="s">
        <v>4398</v>
      </c>
      <c r="B1660" s="96">
        <v>300804</v>
      </c>
      <c r="C1660" s="96" t="str">
        <f t="shared" si="179"/>
        <v>CPOS300804</v>
      </c>
      <c r="D1660" s="95" t="s">
        <v>1719</v>
      </c>
      <c r="E1660" s="63" t="s">
        <v>58</v>
      </c>
      <c r="F1660" s="64">
        <v>819.31000000000006</v>
      </c>
    </row>
    <row r="1661" spans="1:6" ht="30" x14ac:dyDescent="0.25">
      <c r="A1661" s="62" t="s">
        <v>4398</v>
      </c>
      <c r="B1661" s="96">
        <v>300805</v>
      </c>
      <c r="C1661" s="96" t="str">
        <f t="shared" si="179"/>
        <v>CPOS300805</v>
      </c>
      <c r="D1661" s="95" t="s">
        <v>1720</v>
      </c>
      <c r="E1661" s="63" t="s">
        <v>58</v>
      </c>
      <c r="F1661" s="64">
        <v>1416.58</v>
      </c>
    </row>
    <row r="1662" spans="1:6" x14ac:dyDescent="0.25">
      <c r="A1662" s="62" t="s">
        <v>4398</v>
      </c>
      <c r="B1662" s="96">
        <v>300806</v>
      </c>
      <c r="C1662" s="96" t="str">
        <f t="shared" si="179"/>
        <v>CPOS300806</v>
      </c>
      <c r="D1662" s="95" t="s">
        <v>1721</v>
      </c>
      <c r="E1662" s="63" t="s">
        <v>58</v>
      </c>
      <c r="F1662" s="64">
        <v>479.14</v>
      </c>
    </row>
    <row r="1663" spans="1:6" x14ac:dyDescent="0.25">
      <c r="D1663" s="94" t="s">
        <v>1722</v>
      </c>
    </row>
    <row r="1664" spans="1:6" x14ac:dyDescent="0.25">
      <c r="A1664" s="62" t="s">
        <v>4398</v>
      </c>
      <c r="B1664" s="96">
        <v>301001</v>
      </c>
      <c r="C1664" s="96" t="str">
        <f>A1664&amp;B1664</f>
        <v>CPOS301001</v>
      </c>
      <c r="D1664" s="95" t="s">
        <v>1723</v>
      </c>
      <c r="E1664" s="63" t="s">
        <v>58</v>
      </c>
      <c r="F1664" s="64">
        <v>775.44</v>
      </c>
    </row>
    <row r="1665" spans="1:6" x14ac:dyDescent="0.25">
      <c r="D1665" s="94" t="s">
        <v>1724</v>
      </c>
    </row>
    <row r="1666" spans="1:6" ht="30" x14ac:dyDescent="0.25">
      <c r="A1666" s="62" t="s">
        <v>4398</v>
      </c>
      <c r="B1666" s="96">
        <v>301201</v>
      </c>
      <c r="C1666" s="96" t="str">
        <f>A1666&amp;B1666</f>
        <v>CPOS301201</v>
      </c>
      <c r="D1666" s="95" t="s">
        <v>1725</v>
      </c>
      <c r="E1666" s="63" t="s">
        <v>58</v>
      </c>
      <c r="F1666" s="64">
        <v>620.30999999999995</v>
      </c>
    </row>
    <row r="1667" spans="1:6" x14ac:dyDescent="0.25">
      <c r="C1667" s="232"/>
      <c r="D1667" s="233" t="s">
        <v>1726</v>
      </c>
      <c r="E1667" s="227"/>
      <c r="F1667" s="229"/>
    </row>
    <row r="1668" spans="1:6" ht="30" x14ac:dyDescent="0.25">
      <c r="A1668" s="62" t="s">
        <v>4398</v>
      </c>
      <c r="B1668" s="96">
        <v>301401</v>
      </c>
      <c r="C1668" s="232" t="str">
        <f t="shared" ref="C1668:C1671" si="180">A1668&amp;B1668</f>
        <v>CPOS301401</v>
      </c>
      <c r="D1668" s="228" t="s">
        <v>1727</v>
      </c>
      <c r="E1668" s="227" t="s">
        <v>117</v>
      </c>
      <c r="F1668" s="229">
        <v>71269.119999999995</v>
      </c>
    </row>
    <row r="1669" spans="1:6" ht="30" x14ac:dyDescent="0.25">
      <c r="A1669" s="62" t="s">
        <v>4398</v>
      </c>
      <c r="B1669" s="96">
        <v>301402</v>
      </c>
      <c r="C1669" s="232" t="str">
        <f t="shared" si="180"/>
        <v>CPOS301402</v>
      </c>
      <c r="D1669" s="228" t="s">
        <v>1728</v>
      </c>
      <c r="E1669" s="227" t="s">
        <v>117</v>
      </c>
      <c r="F1669" s="229">
        <v>80626.600000000006</v>
      </c>
    </row>
    <row r="1670" spans="1:6" ht="30" x14ac:dyDescent="0.25">
      <c r="A1670" s="62" t="s">
        <v>4398</v>
      </c>
      <c r="B1670" s="96">
        <v>301403</v>
      </c>
      <c r="C1670" s="232" t="str">
        <f t="shared" si="180"/>
        <v>CPOS301403</v>
      </c>
      <c r="D1670" s="228" t="s">
        <v>1729</v>
      </c>
      <c r="E1670" s="227" t="s">
        <v>117</v>
      </c>
      <c r="F1670" s="229">
        <v>33851.5</v>
      </c>
    </row>
    <row r="1671" spans="1:6" ht="30" x14ac:dyDescent="0.25">
      <c r="A1671" s="62" t="s">
        <v>4398</v>
      </c>
      <c r="B1671" s="96">
        <v>301404</v>
      </c>
      <c r="C1671" s="232" t="str">
        <f t="shared" si="180"/>
        <v>CPOS301404</v>
      </c>
      <c r="D1671" s="228" t="s">
        <v>1730</v>
      </c>
      <c r="E1671" s="227" t="s">
        <v>117</v>
      </c>
      <c r="F1671" s="229">
        <v>36325</v>
      </c>
    </row>
    <row r="1672" spans="1:6" x14ac:dyDescent="0.25">
      <c r="C1672" s="232"/>
      <c r="D1672" s="233" t="s">
        <v>1731</v>
      </c>
      <c r="E1672" s="227"/>
      <c r="F1672" s="229"/>
    </row>
    <row r="1673" spans="1:6" x14ac:dyDescent="0.25">
      <c r="D1673" s="94" t="s">
        <v>1732</v>
      </c>
    </row>
    <row r="1674" spans="1:6" x14ac:dyDescent="0.25">
      <c r="A1674" s="62" t="s">
        <v>4398</v>
      </c>
      <c r="B1674" s="96">
        <v>320601</v>
      </c>
      <c r="C1674" s="96" t="str">
        <f t="shared" ref="C1674:C1680" si="181">A1674&amp;B1674</f>
        <v>CPOS320601</v>
      </c>
      <c r="D1674" s="95" t="s">
        <v>1733</v>
      </c>
      <c r="E1674" s="63" t="s">
        <v>81</v>
      </c>
      <c r="F1674" s="64">
        <v>11.11</v>
      </c>
    </row>
    <row r="1675" spans="1:6" x14ac:dyDescent="0.25">
      <c r="A1675" s="62" t="s">
        <v>4398</v>
      </c>
      <c r="B1675" s="96">
        <v>320603</v>
      </c>
      <c r="C1675" s="96" t="str">
        <f t="shared" si="181"/>
        <v>CPOS320603</v>
      </c>
      <c r="D1675" s="95" t="s">
        <v>1734</v>
      </c>
      <c r="E1675" s="63" t="s">
        <v>81</v>
      </c>
      <c r="F1675" s="64">
        <v>15.49</v>
      </c>
    </row>
    <row r="1676" spans="1:6" x14ac:dyDescent="0.25">
      <c r="A1676" s="62" t="s">
        <v>4398</v>
      </c>
      <c r="B1676" s="96">
        <v>320612</v>
      </c>
      <c r="C1676" s="96" t="str">
        <f t="shared" si="181"/>
        <v>CPOS320612</v>
      </c>
      <c r="D1676" s="95" t="s">
        <v>1735</v>
      </c>
      <c r="E1676" s="63" t="s">
        <v>119</v>
      </c>
      <c r="F1676" s="64">
        <v>309.85000000000002</v>
      </c>
    </row>
    <row r="1677" spans="1:6" ht="30" x14ac:dyDescent="0.25">
      <c r="A1677" s="62" t="s">
        <v>4398</v>
      </c>
      <c r="B1677" s="96">
        <v>320613</v>
      </c>
      <c r="C1677" s="96" t="str">
        <f t="shared" si="181"/>
        <v>CPOS320613</v>
      </c>
      <c r="D1677" s="95" t="s">
        <v>1736</v>
      </c>
      <c r="E1677" s="63" t="s">
        <v>81</v>
      </c>
      <c r="F1677" s="64">
        <v>82.02</v>
      </c>
    </row>
    <row r="1678" spans="1:6" ht="30" x14ac:dyDescent="0.25">
      <c r="A1678" s="62" t="s">
        <v>4398</v>
      </c>
      <c r="B1678" s="96">
        <v>320615</v>
      </c>
      <c r="C1678" s="96" t="str">
        <f t="shared" si="181"/>
        <v>CPOS320615</v>
      </c>
      <c r="D1678" s="95" t="s">
        <v>1737</v>
      </c>
      <c r="E1678" s="63" t="s">
        <v>81</v>
      </c>
      <c r="F1678" s="64">
        <v>15.860000000000001</v>
      </c>
    </row>
    <row r="1679" spans="1:6" x14ac:dyDescent="0.25">
      <c r="A1679" s="62" t="s">
        <v>4398</v>
      </c>
      <c r="B1679" s="96">
        <v>320623</v>
      </c>
      <c r="C1679" s="96" t="str">
        <f t="shared" si="181"/>
        <v>CPOS320623</v>
      </c>
      <c r="D1679" s="95" t="s">
        <v>1738</v>
      </c>
      <c r="E1679" s="63" t="s">
        <v>81</v>
      </c>
      <c r="F1679" s="64">
        <v>25.01</v>
      </c>
    </row>
    <row r="1680" spans="1:6" ht="30" x14ac:dyDescent="0.25">
      <c r="A1680" s="62" t="s">
        <v>4398</v>
      </c>
      <c r="B1680" s="96">
        <v>320635</v>
      </c>
      <c r="C1680" s="96" t="str">
        <f t="shared" si="181"/>
        <v>CPOS320635</v>
      </c>
      <c r="D1680" s="95" t="s">
        <v>1739</v>
      </c>
      <c r="E1680" s="63" t="s">
        <v>81</v>
      </c>
      <c r="F1680" s="64">
        <v>16.54</v>
      </c>
    </row>
    <row r="1681" spans="1:6" x14ac:dyDescent="0.25">
      <c r="D1681" s="94" t="s">
        <v>1740</v>
      </c>
    </row>
    <row r="1682" spans="1:6" x14ac:dyDescent="0.25">
      <c r="A1682" s="62" t="s">
        <v>4398</v>
      </c>
      <c r="B1682" s="96">
        <v>320704</v>
      </c>
      <c r="C1682" s="96" t="str">
        <f t="shared" ref="C1682:C1691" si="182">A1682&amp;B1682</f>
        <v>CPOS320704</v>
      </c>
      <c r="D1682" s="95" t="s">
        <v>1741</v>
      </c>
      <c r="E1682" s="63" t="s">
        <v>110</v>
      </c>
      <c r="F1682" s="64">
        <v>4.93</v>
      </c>
    </row>
    <row r="1683" spans="1:6" x14ac:dyDescent="0.25">
      <c r="A1683" s="62" t="s">
        <v>4398</v>
      </c>
      <c r="B1683" s="96">
        <v>320706</v>
      </c>
      <c r="C1683" s="96" t="str">
        <f t="shared" si="182"/>
        <v>CPOS320706</v>
      </c>
      <c r="D1683" s="95" t="s">
        <v>1742</v>
      </c>
      <c r="E1683" s="63" t="s">
        <v>110</v>
      </c>
      <c r="F1683" s="64">
        <v>30.16</v>
      </c>
    </row>
    <row r="1684" spans="1:6" ht="30" x14ac:dyDescent="0.25">
      <c r="A1684" s="62" t="s">
        <v>4398</v>
      </c>
      <c r="B1684" s="96">
        <v>320709</v>
      </c>
      <c r="C1684" s="96" t="str">
        <f t="shared" si="182"/>
        <v>CPOS320709</v>
      </c>
      <c r="D1684" s="95" t="s">
        <v>1743</v>
      </c>
      <c r="E1684" s="63" t="s">
        <v>110</v>
      </c>
      <c r="F1684" s="64">
        <v>5.73</v>
      </c>
    </row>
    <row r="1685" spans="1:6" x14ac:dyDescent="0.25">
      <c r="A1685" s="62" t="s">
        <v>4398</v>
      </c>
      <c r="B1685" s="96">
        <v>320711</v>
      </c>
      <c r="C1685" s="96" t="str">
        <f t="shared" si="182"/>
        <v>CPOS320711</v>
      </c>
      <c r="D1685" s="95" t="s">
        <v>1744</v>
      </c>
      <c r="E1685" s="63" t="s">
        <v>1745</v>
      </c>
      <c r="F1685" s="64">
        <v>0.08</v>
      </c>
    </row>
    <row r="1686" spans="1:6" x14ac:dyDescent="0.25">
      <c r="A1686" s="62" t="s">
        <v>4398</v>
      </c>
      <c r="B1686" s="96">
        <v>320712</v>
      </c>
      <c r="C1686" s="96" t="str">
        <f t="shared" si="182"/>
        <v>CPOS320712</v>
      </c>
      <c r="D1686" s="95" t="s">
        <v>1746</v>
      </c>
      <c r="E1686" s="63" t="s">
        <v>110</v>
      </c>
      <c r="F1686" s="64">
        <v>5.62</v>
      </c>
    </row>
    <row r="1687" spans="1:6" x14ac:dyDescent="0.25">
      <c r="A1687" s="62" t="s">
        <v>4398</v>
      </c>
      <c r="B1687" s="96">
        <v>320716</v>
      </c>
      <c r="C1687" s="96" t="str">
        <f t="shared" si="182"/>
        <v>CPOS320716</v>
      </c>
      <c r="D1687" s="95" t="s">
        <v>1747</v>
      </c>
      <c r="E1687" s="63" t="s">
        <v>1745</v>
      </c>
      <c r="F1687" s="64">
        <v>0.17</v>
      </c>
    </row>
    <row r="1688" spans="1:6" ht="30" x14ac:dyDescent="0.25">
      <c r="A1688" s="62" t="s">
        <v>4398</v>
      </c>
      <c r="B1688" s="96">
        <v>320723</v>
      </c>
      <c r="C1688" s="96" t="str">
        <f t="shared" si="182"/>
        <v>CPOS320723</v>
      </c>
      <c r="D1688" s="95" t="s">
        <v>1748</v>
      </c>
      <c r="E1688" s="63" t="s">
        <v>110</v>
      </c>
      <c r="F1688" s="64">
        <v>243.51</v>
      </c>
    </row>
    <row r="1689" spans="1:6" ht="30" x14ac:dyDescent="0.25">
      <c r="A1689" s="62" t="s">
        <v>4398</v>
      </c>
      <c r="B1689" s="96">
        <v>320724</v>
      </c>
      <c r="C1689" s="96" t="str">
        <f t="shared" si="182"/>
        <v>CPOS320724</v>
      </c>
      <c r="D1689" s="95" t="s">
        <v>1749</v>
      </c>
      <c r="E1689" s="63" t="s">
        <v>110</v>
      </c>
      <c r="F1689" s="64">
        <v>257.31</v>
      </c>
    </row>
    <row r="1690" spans="1:6" ht="30" x14ac:dyDescent="0.25">
      <c r="A1690" s="62" t="s">
        <v>4398</v>
      </c>
      <c r="B1690" s="96">
        <v>320725</v>
      </c>
      <c r="C1690" s="96" t="str">
        <f t="shared" si="182"/>
        <v>CPOS320725</v>
      </c>
      <c r="D1690" s="95" t="s">
        <v>1750</v>
      </c>
      <c r="E1690" s="63" t="s">
        <v>110</v>
      </c>
      <c r="F1690" s="64">
        <v>107.74000000000001</v>
      </c>
    </row>
    <row r="1691" spans="1:6" ht="30" x14ac:dyDescent="0.25">
      <c r="A1691" s="62" t="s">
        <v>4398</v>
      </c>
      <c r="B1691" s="96">
        <v>320726</v>
      </c>
      <c r="C1691" s="96" t="str">
        <f t="shared" si="182"/>
        <v>CPOS320726</v>
      </c>
      <c r="D1691" s="95" t="s">
        <v>1751</v>
      </c>
      <c r="E1691" s="63" t="s">
        <v>110</v>
      </c>
      <c r="F1691" s="64">
        <v>119.65</v>
      </c>
    </row>
    <row r="1692" spans="1:6" x14ac:dyDescent="0.25">
      <c r="D1692" s="94" t="s">
        <v>1752</v>
      </c>
    </row>
    <row r="1693" spans="1:6" ht="30" x14ac:dyDescent="0.25">
      <c r="A1693" s="62" t="s">
        <v>4398</v>
      </c>
      <c r="B1693" s="96">
        <v>320801</v>
      </c>
      <c r="C1693" s="96" t="str">
        <f t="shared" ref="C1693:C1702" si="183">A1693&amp;B1693</f>
        <v>CPOS320801</v>
      </c>
      <c r="D1693" s="95" t="s">
        <v>1753</v>
      </c>
      <c r="E1693" s="63" t="s">
        <v>81</v>
      </c>
      <c r="F1693" s="64">
        <v>7.76</v>
      </c>
    </row>
    <row r="1694" spans="1:6" ht="30" x14ac:dyDescent="0.25">
      <c r="A1694" s="62" t="s">
        <v>4398</v>
      </c>
      <c r="B1694" s="96">
        <v>320803</v>
      </c>
      <c r="C1694" s="96" t="str">
        <f t="shared" si="183"/>
        <v>CPOS320803</v>
      </c>
      <c r="D1694" s="95" t="s">
        <v>1754</v>
      </c>
      <c r="E1694" s="63" t="s">
        <v>81</v>
      </c>
      <c r="F1694" s="64">
        <v>13.55</v>
      </c>
    </row>
    <row r="1695" spans="1:6" x14ac:dyDescent="0.25">
      <c r="A1695" s="62" t="s">
        <v>4398</v>
      </c>
      <c r="B1695" s="96">
        <v>320805</v>
      </c>
      <c r="C1695" s="96" t="str">
        <f t="shared" si="183"/>
        <v>CPOS320805</v>
      </c>
      <c r="D1695" s="95" t="s">
        <v>1755</v>
      </c>
      <c r="E1695" s="63" t="s">
        <v>110</v>
      </c>
      <c r="F1695" s="64">
        <v>34.75</v>
      </c>
    </row>
    <row r="1696" spans="1:6" x14ac:dyDescent="0.25">
      <c r="A1696" s="62" t="s">
        <v>4398</v>
      </c>
      <c r="B1696" s="96">
        <v>320806</v>
      </c>
      <c r="C1696" s="96" t="str">
        <f t="shared" si="183"/>
        <v>CPOS320806</v>
      </c>
      <c r="D1696" s="95" t="s">
        <v>1756</v>
      </c>
      <c r="E1696" s="63" t="s">
        <v>110</v>
      </c>
      <c r="F1696" s="64">
        <v>59.78</v>
      </c>
    </row>
    <row r="1697" spans="1:6" ht="30" x14ac:dyDescent="0.25">
      <c r="A1697" s="62" t="s">
        <v>4398</v>
      </c>
      <c r="B1697" s="96">
        <v>320807</v>
      </c>
      <c r="C1697" s="96" t="str">
        <f t="shared" si="183"/>
        <v>CPOS320807</v>
      </c>
      <c r="D1697" s="95" t="s">
        <v>1757</v>
      </c>
      <c r="E1697" s="63" t="s">
        <v>110</v>
      </c>
      <c r="F1697" s="64">
        <v>99.38</v>
      </c>
    </row>
    <row r="1698" spans="1:6" ht="30" x14ac:dyDescent="0.25">
      <c r="A1698" s="62" t="s">
        <v>4398</v>
      </c>
      <c r="B1698" s="96">
        <v>320809</v>
      </c>
      <c r="C1698" s="96" t="str">
        <f t="shared" si="183"/>
        <v>CPOS320809</v>
      </c>
      <c r="D1698" s="95" t="s">
        <v>1758</v>
      </c>
      <c r="E1698" s="63" t="s">
        <v>110</v>
      </c>
      <c r="F1698" s="64">
        <v>199.03</v>
      </c>
    </row>
    <row r="1699" spans="1:6" x14ac:dyDescent="0.25">
      <c r="A1699" s="62" t="s">
        <v>4398</v>
      </c>
      <c r="B1699" s="96">
        <v>320810</v>
      </c>
      <c r="C1699" s="96" t="str">
        <f t="shared" si="183"/>
        <v>CPOS320810</v>
      </c>
      <c r="D1699" s="95" t="s">
        <v>1759</v>
      </c>
      <c r="E1699" s="63" t="s">
        <v>110</v>
      </c>
      <c r="F1699" s="64">
        <v>479.7</v>
      </c>
    </row>
    <row r="1700" spans="1:6" ht="30" x14ac:dyDescent="0.25">
      <c r="A1700" s="62" t="s">
        <v>4398</v>
      </c>
      <c r="B1700" s="96">
        <v>320811</v>
      </c>
      <c r="C1700" s="96" t="str">
        <f t="shared" si="183"/>
        <v>CPOS320811</v>
      </c>
      <c r="D1700" s="95" t="s">
        <v>1760</v>
      </c>
      <c r="E1700" s="63" t="s">
        <v>110</v>
      </c>
      <c r="F1700" s="64">
        <v>474.03000000000003</v>
      </c>
    </row>
    <row r="1701" spans="1:6" ht="30" x14ac:dyDescent="0.25">
      <c r="A1701" s="62" t="s">
        <v>4398</v>
      </c>
      <c r="B1701" s="96">
        <v>320813</v>
      </c>
      <c r="C1701" s="96" t="str">
        <f t="shared" si="183"/>
        <v>CPOS320813</v>
      </c>
      <c r="D1701" s="95" t="s">
        <v>1761</v>
      </c>
      <c r="E1701" s="63" t="s">
        <v>110</v>
      </c>
      <c r="F1701" s="64">
        <v>627.70000000000005</v>
      </c>
    </row>
    <row r="1702" spans="1:6" x14ac:dyDescent="0.25">
      <c r="A1702" s="62" t="s">
        <v>4398</v>
      </c>
      <c r="B1702" s="96">
        <v>320816</v>
      </c>
      <c r="C1702" s="96" t="str">
        <f t="shared" si="183"/>
        <v>CPOS320816</v>
      </c>
      <c r="D1702" s="95" t="s">
        <v>1762</v>
      </c>
      <c r="E1702" s="63" t="s">
        <v>110</v>
      </c>
      <c r="F1702" s="64">
        <v>155</v>
      </c>
    </row>
    <row r="1703" spans="1:6" x14ac:dyDescent="0.25">
      <c r="D1703" s="94" t="s">
        <v>1763</v>
      </c>
    </row>
    <row r="1704" spans="1:6" x14ac:dyDescent="0.25">
      <c r="A1704" s="62" t="s">
        <v>4398</v>
      </c>
      <c r="B1704" s="96">
        <v>320902</v>
      </c>
      <c r="C1704" s="96" t="str">
        <f t="shared" ref="C1704:C1705" si="184">A1704&amp;B1704</f>
        <v>CPOS320902</v>
      </c>
      <c r="D1704" s="95" t="s">
        <v>1764</v>
      </c>
      <c r="E1704" s="63" t="s">
        <v>329</v>
      </c>
      <c r="F1704" s="64">
        <v>10.97</v>
      </c>
    </row>
    <row r="1705" spans="1:6" x14ac:dyDescent="0.25">
      <c r="A1705" s="62" t="s">
        <v>4398</v>
      </c>
      <c r="B1705" s="96">
        <v>320904</v>
      </c>
      <c r="C1705" s="96" t="str">
        <f t="shared" si="184"/>
        <v>CPOS320904</v>
      </c>
      <c r="D1705" s="95" t="s">
        <v>1765</v>
      </c>
      <c r="E1705" s="63" t="s">
        <v>1766</v>
      </c>
      <c r="F1705" s="64">
        <v>112.81</v>
      </c>
    </row>
    <row r="1706" spans="1:6" x14ac:dyDescent="0.25">
      <c r="D1706" s="94" t="s">
        <v>1767</v>
      </c>
    </row>
    <row r="1707" spans="1:6" ht="30" x14ac:dyDescent="0.25">
      <c r="A1707" s="62" t="s">
        <v>4398</v>
      </c>
      <c r="B1707" s="96">
        <v>321005</v>
      </c>
      <c r="C1707" s="96" t="str">
        <f t="shared" ref="C1707:C1716" si="185">A1707&amp;B1707</f>
        <v>CPOS321005</v>
      </c>
      <c r="D1707" s="95" t="s">
        <v>1768</v>
      </c>
      <c r="E1707" s="63" t="s">
        <v>110</v>
      </c>
      <c r="F1707" s="64">
        <v>3.45</v>
      </c>
    </row>
    <row r="1708" spans="1:6" ht="30" x14ac:dyDescent="0.25">
      <c r="A1708" s="62" t="s">
        <v>4398</v>
      </c>
      <c r="B1708" s="96">
        <v>321006</v>
      </c>
      <c r="C1708" s="96" t="str">
        <f t="shared" si="185"/>
        <v>CPOS321006</v>
      </c>
      <c r="D1708" s="95" t="s">
        <v>1769</v>
      </c>
      <c r="E1708" s="63" t="s">
        <v>110</v>
      </c>
      <c r="F1708" s="64">
        <v>6.9</v>
      </c>
    </row>
    <row r="1709" spans="1:6" ht="30" x14ac:dyDescent="0.25">
      <c r="A1709" s="62" t="s">
        <v>4398</v>
      </c>
      <c r="B1709" s="96">
        <v>321007</v>
      </c>
      <c r="C1709" s="96" t="str">
        <f t="shared" si="185"/>
        <v>CPOS321007</v>
      </c>
      <c r="D1709" s="95" t="s">
        <v>1770</v>
      </c>
      <c r="E1709" s="63" t="s">
        <v>110</v>
      </c>
      <c r="F1709" s="64">
        <v>10.35</v>
      </c>
    </row>
    <row r="1710" spans="1:6" ht="30" x14ac:dyDescent="0.25">
      <c r="A1710" s="62" t="s">
        <v>4398</v>
      </c>
      <c r="B1710" s="96">
        <v>321008</v>
      </c>
      <c r="C1710" s="96" t="str">
        <f t="shared" si="185"/>
        <v>CPOS321008</v>
      </c>
      <c r="D1710" s="95" t="s">
        <v>1771</v>
      </c>
      <c r="E1710" s="63" t="s">
        <v>110</v>
      </c>
      <c r="F1710" s="64">
        <v>13.8</v>
      </c>
    </row>
    <row r="1711" spans="1:6" x14ac:dyDescent="0.25">
      <c r="A1711" s="62" t="s">
        <v>4398</v>
      </c>
      <c r="B1711" s="96">
        <v>321009</v>
      </c>
      <c r="C1711" s="96" t="str">
        <f t="shared" si="185"/>
        <v>CPOS321009</v>
      </c>
      <c r="D1711" s="95" t="s">
        <v>1772</v>
      </c>
      <c r="E1711" s="63" t="s">
        <v>110</v>
      </c>
      <c r="F1711" s="64">
        <v>12.47</v>
      </c>
    </row>
    <row r="1712" spans="1:6" ht="30" x14ac:dyDescent="0.25">
      <c r="A1712" s="62" t="s">
        <v>4398</v>
      </c>
      <c r="B1712" s="96">
        <v>321010</v>
      </c>
      <c r="C1712" s="96" t="str">
        <f t="shared" si="185"/>
        <v>CPOS321010</v>
      </c>
      <c r="D1712" s="95" t="s">
        <v>1773</v>
      </c>
      <c r="E1712" s="63" t="s">
        <v>110</v>
      </c>
      <c r="F1712" s="64">
        <v>22.11</v>
      </c>
    </row>
    <row r="1713" spans="1:6" ht="30" x14ac:dyDescent="0.25">
      <c r="A1713" s="62" t="s">
        <v>4398</v>
      </c>
      <c r="B1713" s="96">
        <v>321011</v>
      </c>
      <c r="C1713" s="96" t="str">
        <f t="shared" si="185"/>
        <v>CPOS321011</v>
      </c>
      <c r="D1713" s="95" t="s">
        <v>1774</v>
      </c>
      <c r="E1713" s="63" t="s">
        <v>110</v>
      </c>
      <c r="F1713" s="64">
        <v>32.61</v>
      </c>
    </row>
    <row r="1714" spans="1:6" ht="30" x14ac:dyDescent="0.25">
      <c r="A1714" s="62" t="s">
        <v>4398</v>
      </c>
      <c r="B1714" s="96">
        <v>321012</v>
      </c>
      <c r="C1714" s="96" t="str">
        <f t="shared" si="185"/>
        <v>CPOS321012</v>
      </c>
      <c r="D1714" s="95" t="s">
        <v>1775</v>
      </c>
      <c r="E1714" s="63" t="s">
        <v>110</v>
      </c>
      <c r="F1714" s="64">
        <v>41.82</v>
      </c>
    </row>
    <row r="1715" spans="1:6" ht="30" x14ac:dyDescent="0.25">
      <c r="A1715" s="62" t="s">
        <v>4398</v>
      </c>
      <c r="B1715" s="96">
        <v>321014</v>
      </c>
      <c r="C1715" s="96" t="str">
        <f t="shared" si="185"/>
        <v>CPOS321014</v>
      </c>
      <c r="D1715" s="95" t="s">
        <v>1776</v>
      </c>
      <c r="E1715" s="63" t="s">
        <v>110</v>
      </c>
      <c r="F1715" s="64">
        <v>62.89</v>
      </c>
    </row>
    <row r="1716" spans="1:6" ht="30" x14ac:dyDescent="0.25">
      <c r="A1716" s="62" t="s">
        <v>4398</v>
      </c>
      <c r="B1716" s="96">
        <v>321016</v>
      </c>
      <c r="C1716" s="96" t="str">
        <f t="shared" si="185"/>
        <v>CPOS321016</v>
      </c>
      <c r="D1716" s="95" t="s">
        <v>1777</v>
      </c>
      <c r="E1716" s="63" t="s">
        <v>110</v>
      </c>
      <c r="F1716" s="64">
        <v>20.73</v>
      </c>
    </row>
    <row r="1717" spans="1:6" x14ac:dyDescent="0.25">
      <c r="D1717" s="94" t="s">
        <v>1778</v>
      </c>
    </row>
    <row r="1718" spans="1:6" ht="30" x14ac:dyDescent="0.25">
      <c r="A1718" s="62" t="s">
        <v>4398</v>
      </c>
      <c r="B1718" s="96">
        <v>321101</v>
      </c>
      <c r="C1718" s="96" t="str">
        <f t="shared" ref="C1718:C1750" si="186">A1718&amp;B1718</f>
        <v>CPOS321101</v>
      </c>
      <c r="D1718" s="95" t="s">
        <v>1779</v>
      </c>
      <c r="E1718" s="63" t="s">
        <v>110</v>
      </c>
      <c r="F1718" s="64">
        <v>24</v>
      </c>
    </row>
    <row r="1719" spans="1:6" ht="30" x14ac:dyDescent="0.25">
      <c r="A1719" s="62" t="s">
        <v>4398</v>
      </c>
      <c r="B1719" s="96">
        <v>321102</v>
      </c>
      <c r="C1719" s="96" t="str">
        <f t="shared" si="186"/>
        <v>CPOS321102</v>
      </c>
      <c r="D1719" s="95" t="s">
        <v>1780</v>
      </c>
      <c r="E1719" s="63" t="s">
        <v>110</v>
      </c>
      <c r="F1719" s="64">
        <v>22.04</v>
      </c>
    </row>
    <row r="1720" spans="1:6" ht="30" x14ac:dyDescent="0.25">
      <c r="A1720" s="62" t="s">
        <v>4398</v>
      </c>
      <c r="B1720" s="96">
        <v>321103</v>
      </c>
      <c r="C1720" s="96" t="str">
        <f t="shared" si="186"/>
        <v>CPOS321103</v>
      </c>
      <c r="D1720" s="95" t="s">
        <v>1781</v>
      </c>
      <c r="E1720" s="63" t="s">
        <v>110</v>
      </c>
      <c r="F1720" s="64">
        <v>19.57</v>
      </c>
    </row>
    <row r="1721" spans="1:6" ht="30" x14ac:dyDescent="0.25">
      <c r="A1721" s="62" t="s">
        <v>4398</v>
      </c>
      <c r="B1721" s="96">
        <v>321104</v>
      </c>
      <c r="C1721" s="96" t="str">
        <f t="shared" si="186"/>
        <v>CPOS321104</v>
      </c>
      <c r="D1721" s="95" t="s">
        <v>1782</v>
      </c>
      <c r="E1721" s="63" t="s">
        <v>110</v>
      </c>
      <c r="F1721" s="64">
        <v>19.14</v>
      </c>
    </row>
    <row r="1722" spans="1:6" ht="30" x14ac:dyDescent="0.25">
      <c r="A1722" s="62" t="s">
        <v>4398</v>
      </c>
      <c r="B1722" s="96">
        <v>321105</v>
      </c>
      <c r="C1722" s="96" t="str">
        <f t="shared" si="186"/>
        <v>CPOS321105</v>
      </c>
      <c r="D1722" s="95" t="s">
        <v>1783</v>
      </c>
      <c r="E1722" s="63" t="s">
        <v>110</v>
      </c>
      <c r="F1722" s="64">
        <v>17.88</v>
      </c>
    </row>
    <row r="1723" spans="1:6" ht="30" x14ac:dyDescent="0.25">
      <c r="A1723" s="62" t="s">
        <v>4398</v>
      </c>
      <c r="B1723" s="96">
        <v>321106</v>
      </c>
      <c r="C1723" s="96" t="str">
        <f t="shared" si="186"/>
        <v>CPOS321106</v>
      </c>
      <c r="D1723" s="95" t="s">
        <v>1784</v>
      </c>
      <c r="E1723" s="63" t="s">
        <v>110</v>
      </c>
      <c r="F1723" s="64">
        <v>20.740000000000002</v>
      </c>
    </row>
    <row r="1724" spans="1:6" ht="30" x14ac:dyDescent="0.25">
      <c r="A1724" s="62" t="s">
        <v>4398</v>
      </c>
      <c r="B1724" s="96">
        <v>321107</v>
      </c>
      <c r="C1724" s="96" t="str">
        <f t="shared" si="186"/>
        <v>CPOS321107</v>
      </c>
      <c r="D1724" s="95" t="s">
        <v>1785</v>
      </c>
      <c r="E1724" s="63" t="s">
        <v>110</v>
      </c>
      <c r="F1724" s="64">
        <v>27.64</v>
      </c>
    </row>
    <row r="1725" spans="1:6" ht="30" x14ac:dyDescent="0.25">
      <c r="A1725" s="62" t="s">
        <v>4398</v>
      </c>
      <c r="B1725" s="96">
        <v>321108</v>
      </c>
      <c r="C1725" s="96" t="str">
        <f t="shared" si="186"/>
        <v>CPOS321108</v>
      </c>
      <c r="D1725" s="95" t="s">
        <v>1786</v>
      </c>
      <c r="E1725" s="63" t="s">
        <v>110</v>
      </c>
      <c r="F1725" s="64">
        <v>30.82</v>
      </c>
    </row>
    <row r="1726" spans="1:6" ht="30" x14ac:dyDescent="0.25">
      <c r="A1726" s="62" t="s">
        <v>4398</v>
      </c>
      <c r="B1726" s="96">
        <v>321109</v>
      </c>
      <c r="C1726" s="96" t="str">
        <f t="shared" si="186"/>
        <v>CPOS321109</v>
      </c>
      <c r="D1726" s="95" t="s">
        <v>1787</v>
      </c>
      <c r="E1726" s="63" t="s">
        <v>110</v>
      </c>
      <c r="F1726" s="64">
        <v>34.29</v>
      </c>
    </row>
    <row r="1727" spans="1:6" x14ac:dyDescent="0.25">
      <c r="A1727" s="62" t="s">
        <v>4398</v>
      </c>
      <c r="B1727" s="96">
        <v>321115</v>
      </c>
      <c r="C1727" s="96" t="str">
        <f t="shared" si="186"/>
        <v>CPOS321115</v>
      </c>
      <c r="D1727" s="95" t="s">
        <v>1788</v>
      </c>
      <c r="E1727" s="63" t="s">
        <v>81</v>
      </c>
      <c r="F1727" s="64">
        <v>20.149999999999999</v>
      </c>
    </row>
    <row r="1728" spans="1:6" ht="30" x14ac:dyDescent="0.25">
      <c r="A1728" s="62" t="s">
        <v>4398</v>
      </c>
      <c r="B1728" s="96">
        <v>321120</v>
      </c>
      <c r="C1728" s="96" t="str">
        <f t="shared" si="186"/>
        <v>CPOS321120</v>
      </c>
      <c r="D1728" s="95" t="s">
        <v>1789</v>
      </c>
      <c r="E1728" s="63" t="s">
        <v>110</v>
      </c>
      <c r="F1728" s="64">
        <v>7.05</v>
      </c>
    </row>
    <row r="1729" spans="1:6" ht="30" x14ac:dyDescent="0.25">
      <c r="A1729" s="62" t="s">
        <v>4398</v>
      </c>
      <c r="B1729" s="96">
        <v>321121</v>
      </c>
      <c r="C1729" s="96" t="str">
        <f t="shared" si="186"/>
        <v>CPOS321121</v>
      </c>
      <c r="D1729" s="95" t="s">
        <v>1790</v>
      </c>
      <c r="E1729" s="63" t="s">
        <v>110</v>
      </c>
      <c r="F1729" s="64">
        <v>7.3500000000000005</v>
      </c>
    </row>
    <row r="1730" spans="1:6" ht="30" x14ac:dyDescent="0.25">
      <c r="A1730" s="62" t="s">
        <v>4398</v>
      </c>
      <c r="B1730" s="96">
        <v>321122</v>
      </c>
      <c r="C1730" s="96" t="str">
        <f t="shared" si="186"/>
        <v>CPOS321122</v>
      </c>
      <c r="D1730" s="95" t="s">
        <v>1791</v>
      </c>
      <c r="E1730" s="63" t="s">
        <v>110</v>
      </c>
      <c r="F1730" s="64">
        <v>7.63</v>
      </c>
    </row>
    <row r="1731" spans="1:6" ht="30" x14ac:dyDescent="0.25">
      <c r="A1731" s="62" t="s">
        <v>4398</v>
      </c>
      <c r="B1731" s="96">
        <v>321123</v>
      </c>
      <c r="C1731" s="96" t="str">
        <f t="shared" si="186"/>
        <v>CPOS321123</v>
      </c>
      <c r="D1731" s="95" t="s">
        <v>1792</v>
      </c>
      <c r="E1731" s="63" t="s">
        <v>110</v>
      </c>
      <c r="F1731" s="64">
        <v>9.39</v>
      </c>
    </row>
    <row r="1732" spans="1:6" ht="30" x14ac:dyDescent="0.25">
      <c r="A1732" s="62" t="s">
        <v>4398</v>
      </c>
      <c r="B1732" s="96">
        <v>321124</v>
      </c>
      <c r="C1732" s="96" t="str">
        <f t="shared" si="186"/>
        <v>CPOS321124</v>
      </c>
      <c r="D1732" s="95" t="s">
        <v>1793</v>
      </c>
      <c r="E1732" s="63" t="s">
        <v>110</v>
      </c>
      <c r="F1732" s="64">
        <v>9.94</v>
      </c>
    </row>
    <row r="1733" spans="1:6" ht="30" x14ac:dyDescent="0.25">
      <c r="A1733" s="62" t="s">
        <v>4398</v>
      </c>
      <c r="B1733" s="96">
        <v>321125</v>
      </c>
      <c r="C1733" s="96" t="str">
        <f t="shared" si="186"/>
        <v>CPOS321125</v>
      </c>
      <c r="D1733" s="95" t="s">
        <v>1794</v>
      </c>
      <c r="E1733" s="63" t="s">
        <v>110</v>
      </c>
      <c r="F1733" s="64">
        <v>11.05</v>
      </c>
    </row>
    <row r="1734" spans="1:6" ht="30" x14ac:dyDescent="0.25">
      <c r="A1734" s="62" t="s">
        <v>4398</v>
      </c>
      <c r="B1734" s="96">
        <v>321126</v>
      </c>
      <c r="C1734" s="96" t="str">
        <f t="shared" si="186"/>
        <v>CPOS321126</v>
      </c>
      <c r="D1734" s="95" t="s">
        <v>1795</v>
      </c>
      <c r="E1734" s="63" t="s">
        <v>110</v>
      </c>
      <c r="F1734" s="64">
        <v>12.47</v>
      </c>
    </row>
    <row r="1735" spans="1:6" ht="30" x14ac:dyDescent="0.25">
      <c r="A1735" s="62" t="s">
        <v>4398</v>
      </c>
      <c r="B1735" s="96">
        <v>321127</v>
      </c>
      <c r="C1735" s="96" t="str">
        <f t="shared" si="186"/>
        <v>CPOS321127</v>
      </c>
      <c r="D1735" s="95" t="s">
        <v>1796</v>
      </c>
      <c r="E1735" s="63" t="s">
        <v>110</v>
      </c>
      <c r="F1735" s="64">
        <v>9.77</v>
      </c>
    </row>
    <row r="1736" spans="1:6" ht="30" x14ac:dyDescent="0.25">
      <c r="A1736" s="62" t="s">
        <v>4398</v>
      </c>
      <c r="B1736" s="96">
        <v>321128</v>
      </c>
      <c r="C1736" s="96" t="str">
        <f t="shared" si="186"/>
        <v>CPOS321128</v>
      </c>
      <c r="D1736" s="95" t="s">
        <v>1797</v>
      </c>
      <c r="E1736" s="63" t="s">
        <v>110</v>
      </c>
      <c r="F1736" s="64">
        <v>9.9499999999999993</v>
      </c>
    </row>
    <row r="1737" spans="1:6" ht="30" x14ac:dyDescent="0.25">
      <c r="A1737" s="62" t="s">
        <v>4398</v>
      </c>
      <c r="B1737" s="96">
        <v>321129</v>
      </c>
      <c r="C1737" s="96" t="str">
        <f t="shared" si="186"/>
        <v>CPOS321129</v>
      </c>
      <c r="D1737" s="95" t="s">
        <v>1798</v>
      </c>
      <c r="E1737" s="63" t="s">
        <v>110</v>
      </c>
      <c r="F1737" s="64">
        <v>10.33</v>
      </c>
    </row>
    <row r="1738" spans="1:6" ht="30" x14ac:dyDescent="0.25">
      <c r="A1738" s="62" t="s">
        <v>4398</v>
      </c>
      <c r="B1738" s="96">
        <v>321130</v>
      </c>
      <c r="C1738" s="96" t="str">
        <f t="shared" si="186"/>
        <v>CPOS321130</v>
      </c>
      <c r="D1738" s="95" t="s">
        <v>1799</v>
      </c>
      <c r="E1738" s="63" t="s">
        <v>110</v>
      </c>
      <c r="F1738" s="64">
        <v>11.06</v>
      </c>
    </row>
    <row r="1739" spans="1:6" ht="30" x14ac:dyDescent="0.25">
      <c r="A1739" s="62" t="s">
        <v>4398</v>
      </c>
      <c r="B1739" s="96">
        <v>321131</v>
      </c>
      <c r="C1739" s="96" t="str">
        <f t="shared" si="186"/>
        <v>CPOS321131</v>
      </c>
      <c r="D1739" s="95" t="s">
        <v>1800</v>
      </c>
      <c r="E1739" s="63" t="s">
        <v>110</v>
      </c>
      <c r="F1739" s="64">
        <v>17.079999999999998</v>
      </c>
    </row>
    <row r="1740" spans="1:6" ht="30" x14ac:dyDescent="0.25">
      <c r="A1740" s="62" t="s">
        <v>4398</v>
      </c>
      <c r="B1740" s="96">
        <v>321132</v>
      </c>
      <c r="C1740" s="96" t="str">
        <f t="shared" si="186"/>
        <v>CPOS321132</v>
      </c>
      <c r="D1740" s="95" t="s">
        <v>1801</v>
      </c>
      <c r="E1740" s="63" t="s">
        <v>110</v>
      </c>
      <c r="F1740" s="64">
        <v>18.89</v>
      </c>
    </row>
    <row r="1741" spans="1:6" ht="30" x14ac:dyDescent="0.25">
      <c r="A1741" s="62" t="s">
        <v>4398</v>
      </c>
      <c r="B1741" s="96">
        <v>321133</v>
      </c>
      <c r="C1741" s="96" t="str">
        <f t="shared" si="186"/>
        <v>CPOS321133</v>
      </c>
      <c r="D1741" s="95" t="s">
        <v>1802</v>
      </c>
      <c r="E1741" s="63" t="s">
        <v>110</v>
      </c>
      <c r="F1741" s="64">
        <v>20.96</v>
      </c>
    </row>
    <row r="1742" spans="1:6" ht="30" x14ac:dyDescent="0.25">
      <c r="A1742" s="62" t="s">
        <v>4398</v>
      </c>
      <c r="B1742" s="96">
        <v>321134</v>
      </c>
      <c r="C1742" s="96" t="str">
        <f t="shared" si="186"/>
        <v>CPOS321134</v>
      </c>
      <c r="D1742" s="95" t="s">
        <v>1803</v>
      </c>
      <c r="E1742" s="63" t="s">
        <v>110</v>
      </c>
      <c r="F1742" s="64">
        <v>23.36</v>
      </c>
    </row>
    <row r="1743" spans="1:6" ht="30" x14ac:dyDescent="0.25">
      <c r="A1743" s="62" t="s">
        <v>4398</v>
      </c>
      <c r="B1743" s="96">
        <v>321135</v>
      </c>
      <c r="C1743" s="96" t="str">
        <f t="shared" si="186"/>
        <v>CPOS321135</v>
      </c>
      <c r="D1743" s="95" t="s">
        <v>1804</v>
      </c>
      <c r="E1743" s="63" t="s">
        <v>110</v>
      </c>
      <c r="F1743" s="64">
        <v>25.47</v>
      </c>
    </row>
    <row r="1744" spans="1:6" ht="30" x14ac:dyDescent="0.25">
      <c r="A1744" s="62" t="s">
        <v>4398</v>
      </c>
      <c r="B1744" s="96">
        <v>321136</v>
      </c>
      <c r="C1744" s="96" t="str">
        <f t="shared" si="186"/>
        <v>CPOS321136</v>
      </c>
      <c r="D1744" s="95" t="s">
        <v>1805</v>
      </c>
      <c r="E1744" s="63" t="s">
        <v>110</v>
      </c>
      <c r="F1744" s="64">
        <v>28.990000000000002</v>
      </c>
    </row>
    <row r="1745" spans="1:6" ht="30" x14ac:dyDescent="0.25">
      <c r="A1745" s="62" t="s">
        <v>4398</v>
      </c>
      <c r="B1745" s="96">
        <v>321137</v>
      </c>
      <c r="C1745" s="96" t="str">
        <f t="shared" si="186"/>
        <v>CPOS321137</v>
      </c>
      <c r="D1745" s="95" t="s">
        <v>1806</v>
      </c>
      <c r="E1745" s="63" t="s">
        <v>110</v>
      </c>
      <c r="F1745" s="64">
        <v>34.28</v>
      </c>
    </row>
    <row r="1746" spans="1:6" ht="30" x14ac:dyDescent="0.25">
      <c r="A1746" s="62" t="s">
        <v>4398</v>
      </c>
      <c r="B1746" s="96">
        <v>321138</v>
      </c>
      <c r="C1746" s="96" t="str">
        <f t="shared" si="186"/>
        <v>CPOS321138</v>
      </c>
      <c r="D1746" s="95" t="s">
        <v>1807</v>
      </c>
      <c r="E1746" s="63" t="s">
        <v>110</v>
      </c>
      <c r="F1746" s="64">
        <v>37.49</v>
      </c>
    </row>
    <row r="1747" spans="1:6" ht="30" x14ac:dyDescent="0.25">
      <c r="A1747" s="62" t="s">
        <v>4398</v>
      </c>
      <c r="B1747" s="96">
        <v>321139</v>
      </c>
      <c r="C1747" s="96" t="str">
        <f t="shared" si="186"/>
        <v>CPOS321139</v>
      </c>
      <c r="D1747" s="95" t="s">
        <v>1808</v>
      </c>
      <c r="E1747" s="63" t="s">
        <v>110</v>
      </c>
      <c r="F1747" s="64">
        <v>49.96</v>
      </c>
    </row>
    <row r="1748" spans="1:6" ht="30" x14ac:dyDescent="0.25">
      <c r="A1748" s="62" t="s">
        <v>4398</v>
      </c>
      <c r="B1748" s="96">
        <v>321140</v>
      </c>
      <c r="C1748" s="96" t="str">
        <f t="shared" si="186"/>
        <v>CPOS321140</v>
      </c>
      <c r="D1748" s="95" t="s">
        <v>1809</v>
      </c>
      <c r="E1748" s="63" t="s">
        <v>110</v>
      </c>
      <c r="F1748" s="64">
        <v>59.35</v>
      </c>
    </row>
    <row r="1749" spans="1:6" ht="30" x14ac:dyDescent="0.25">
      <c r="A1749" s="62" t="s">
        <v>4398</v>
      </c>
      <c r="B1749" s="96">
        <v>321141</v>
      </c>
      <c r="C1749" s="96" t="str">
        <f t="shared" si="186"/>
        <v>CPOS321141</v>
      </c>
      <c r="D1749" s="95" t="s">
        <v>1810</v>
      </c>
      <c r="E1749" s="63" t="s">
        <v>110</v>
      </c>
      <c r="F1749" s="64">
        <v>72.2</v>
      </c>
    </row>
    <row r="1750" spans="1:6" ht="30" x14ac:dyDescent="0.25">
      <c r="A1750" s="62" t="s">
        <v>4398</v>
      </c>
      <c r="B1750" s="96">
        <v>321142</v>
      </c>
      <c r="C1750" s="96" t="str">
        <f t="shared" si="186"/>
        <v>CPOS321142</v>
      </c>
      <c r="D1750" s="95" t="s">
        <v>1811</v>
      </c>
      <c r="E1750" s="63" t="s">
        <v>81</v>
      </c>
      <c r="F1750" s="64">
        <v>95.09</v>
      </c>
    </row>
    <row r="1751" spans="1:6" x14ac:dyDescent="0.25">
      <c r="D1751" s="94" t="s">
        <v>1812</v>
      </c>
    </row>
    <row r="1752" spans="1:6" x14ac:dyDescent="0.25">
      <c r="A1752" s="62" t="s">
        <v>4398</v>
      </c>
      <c r="B1752" s="96">
        <v>321503</v>
      </c>
      <c r="C1752" s="96" t="str">
        <f t="shared" ref="C1752:C1757" si="187">A1752&amp;B1752</f>
        <v>CPOS321503</v>
      </c>
      <c r="D1752" s="95" t="s">
        <v>1813</v>
      </c>
      <c r="E1752" s="63" t="s">
        <v>81</v>
      </c>
      <c r="F1752" s="64">
        <v>46.92</v>
      </c>
    </row>
    <row r="1753" spans="1:6" x14ac:dyDescent="0.25">
      <c r="A1753" s="62" t="s">
        <v>4398</v>
      </c>
      <c r="B1753" s="96">
        <v>321504</v>
      </c>
      <c r="C1753" s="96" t="str">
        <f t="shared" si="187"/>
        <v>CPOS321504</v>
      </c>
      <c r="D1753" s="95" t="s">
        <v>1814</v>
      </c>
      <c r="E1753" s="63" t="s">
        <v>81</v>
      </c>
      <c r="F1753" s="64">
        <v>49.82</v>
      </c>
    </row>
    <row r="1754" spans="1:6" ht="30" x14ac:dyDescent="0.25">
      <c r="A1754" s="62" t="s">
        <v>4398</v>
      </c>
      <c r="B1754" s="96">
        <v>321505</v>
      </c>
      <c r="C1754" s="96" t="str">
        <f t="shared" si="187"/>
        <v>CPOS321505</v>
      </c>
      <c r="D1754" s="95" t="s">
        <v>1815</v>
      </c>
      <c r="E1754" s="63" t="s">
        <v>81</v>
      </c>
      <c r="F1754" s="64">
        <v>53.39</v>
      </c>
    </row>
    <row r="1755" spans="1:6" ht="30" x14ac:dyDescent="0.25">
      <c r="A1755" s="62" t="s">
        <v>4398</v>
      </c>
      <c r="B1755" s="96">
        <v>321508</v>
      </c>
      <c r="C1755" s="96" t="str">
        <f t="shared" si="187"/>
        <v>CPOS321508</v>
      </c>
      <c r="D1755" s="95" t="s">
        <v>1816</v>
      </c>
      <c r="E1755" s="63" t="s">
        <v>81</v>
      </c>
      <c r="F1755" s="64">
        <v>97.38</v>
      </c>
    </row>
    <row r="1756" spans="1:6" ht="30" x14ac:dyDescent="0.25">
      <c r="A1756" s="62" t="s">
        <v>4398</v>
      </c>
      <c r="B1756" s="96">
        <v>321510</v>
      </c>
      <c r="C1756" s="96" t="str">
        <f t="shared" si="187"/>
        <v>CPOS321510</v>
      </c>
      <c r="D1756" s="95" t="s">
        <v>1817</v>
      </c>
      <c r="E1756" s="63" t="s">
        <v>81</v>
      </c>
      <c r="F1756" s="64">
        <v>100.85000000000001</v>
      </c>
    </row>
    <row r="1757" spans="1:6" x14ac:dyDescent="0.25">
      <c r="A1757" s="62" t="s">
        <v>4398</v>
      </c>
      <c r="B1757" s="96">
        <v>321524</v>
      </c>
      <c r="C1757" s="96" t="str">
        <f t="shared" si="187"/>
        <v>CPOS321524</v>
      </c>
      <c r="D1757" s="95" t="s">
        <v>1818</v>
      </c>
      <c r="E1757" s="63" t="s">
        <v>81</v>
      </c>
      <c r="F1757" s="64">
        <v>95.25</v>
      </c>
    </row>
    <row r="1758" spans="1:6" x14ac:dyDescent="0.25">
      <c r="D1758" s="94" t="s">
        <v>1819</v>
      </c>
    </row>
    <row r="1759" spans="1:6" ht="30" x14ac:dyDescent="0.25">
      <c r="A1759" s="62" t="s">
        <v>4398</v>
      </c>
      <c r="B1759" s="96">
        <v>321601</v>
      </c>
      <c r="C1759" s="96" t="str">
        <f t="shared" ref="C1759:C1765" si="188">A1759&amp;B1759</f>
        <v>CPOS321601</v>
      </c>
      <c r="D1759" s="95" t="s">
        <v>1820</v>
      </c>
      <c r="E1759" s="63" t="s">
        <v>81</v>
      </c>
      <c r="F1759" s="64">
        <v>8.92</v>
      </c>
    </row>
    <row r="1760" spans="1:6" ht="30" x14ac:dyDescent="0.25">
      <c r="A1760" s="62" t="s">
        <v>4398</v>
      </c>
      <c r="B1760" s="96">
        <v>321602</v>
      </c>
      <c r="C1760" s="96" t="str">
        <f t="shared" si="188"/>
        <v>CPOS321602</v>
      </c>
      <c r="D1760" s="95" t="s">
        <v>1821</v>
      </c>
      <c r="E1760" s="63" t="s">
        <v>81</v>
      </c>
      <c r="F1760" s="64">
        <v>7.6000000000000005</v>
      </c>
    </row>
    <row r="1761" spans="1:6" ht="30" x14ac:dyDescent="0.25">
      <c r="A1761" s="62" t="s">
        <v>4398</v>
      </c>
      <c r="B1761" s="96">
        <v>321603</v>
      </c>
      <c r="C1761" s="96" t="str">
        <f t="shared" si="188"/>
        <v>CPOS321603</v>
      </c>
      <c r="D1761" s="95" t="s">
        <v>1822</v>
      </c>
      <c r="E1761" s="63" t="s">
        <v>81</v>
      </c>
      <c r="F1761" s="64">
        <v>30.740000000000002</v>
      </c>
    </row>
    <row r="1762" spans="1:6" ht="30" x14ac:dyDescent="0.25">
      <c r="A1762" s="62" t="s">
        <v>4398</v>
      </c>
      <c r="B1762" s="96">
        <v>321604</v>
      </c>
      <c r="C1762" s="96" t="str">
        <f t="shared" si="188"/>
        <v>CPOS321604</v>
      </c>
      <c r="D1762" s="95" t="s">
        <v>1823</v>
      </c>
      <c r="E1762" s="63" t="s">
        <v>81</v>
      </c>
      <c r="F1762" s="64">
        <v>51.09</v>
      </c>
    </row>
    <row r="1763" spans="1:6" x14ac:dyDescent="0.25">
      <c r="A1763" s="62" t="s">
        <v>4398</v>
      </c>
      <c r="B1763" s="96">
        <v>321605</v>
      </c>
      <c r="C1763" s="96" t="str">
        <f t="shared" si="188"/>
        <v>CPOS321605</v>
      </c>
      <c r="D1763" s="95" t="s">
        <v>1824</v>
      </c>
      <c r="E1763" s="63" t="s">
        <v>81</v>
      </c>
      <c r="F1763" s="64">
        <v>34.57</v>
      </c>
    </row>
    <row r="1764" spans="1:6" ht="30" x14ac:dyDescent="0.25">
      <c r="A1764" s="62" t="s">
        <v>4398</v>
      </c>
      <c r="B1764" s="96">
        <v>321606</v>
      </c>
      <c r="C1764" s="96" t="str">
        <f t="shared" si="188"/>
        <v>CPOS321606</v>
      </c>
      <c r="D1764" s="95" t="s">
        <v>1825</v>
      </c>
      <c r="E1764" s="63" t="s">
        <v>81</v>
      </c>
      <c r="F1764" s="64">
        <v>56.45</v>
      </c>
    </row>
    <row r="1765" spans="1:6" ht="30" x14ac:dyDescent="0.25">
      <c r="A1765" s="62" t="s">
        <v>4398</v>
      </c>
      <c r="B1765" s="96">
        <v>321607</v>
      </c>
      <c r="C1765" s="96" t="str">
        <f t="shared" si="188"/>
        <v>CPOS321607</v>
      </c>
      <c r="D1765" s="95" t="s">
        <v>1826</v>
      </c>
      <c r="E1765" s="63" t="s">
        <v>81</v>
      </c>
      <c r="F1765" s="64">
        <v>45.28</v>
      </c>
    </row>
    <row r="1766" spans="1:6" x14ac:dyDescent="0.25">
      <c r="D1766" s="94" t="s">
        <v>1827</v>
      </c>
    </row>
    <row r="1767" spans="1:6" x14ac:dyDescent="0.25">
      <c r="A1767" s="62" t="s">
        <v>4398</v>
      </c>
      <c r="B1767" s="96">
        <v>321701</v>
      </c>
      <c r="C1767" s="96" t="str">
        <f t="shared" ref="C1767:C1772" si="189">A1767&amp;B1767</f>
        <v>CPOS321701</v>
      </c>
      <c r="D1767" s="95" t="s">
        <v>1828</v>
      </c>
      <c r="E1767" s="63" t="s">
        <v>119</v>
      </c>
      <c r="F1767" s="64">
        <v>485.45</v>
      </c>
    </row>
    <row r="1768" spans="1:6" x14ac:dyDescent="0.25">
      <c r="A1768" s="62" t="s">
        <v>4398</v>
      </c>
      <c r="B1768" s="96">
        <v>321703</v>
      </c>
      <c r="C1768" s="96" t="str">
        <f t="shared" si="189"/>
        <v>CPOS321703</v>
      </c>
      <c r="D1768" s="95" t="s">
        <v>1829</v>
      </c>
      <c r="E1768" s="63" t="s">
        <v>81</v>
      </c>
      <c r="F1768" s="64">
        <v>13.75</v>
      </c>
    </row>
    <row r="1769" spans="1:6" ht="30" x14ac:dyDescent="0.25">
      <c r="A1769" s="62" t="s">
        <v>4398</v>
      </c>
      <c r="B1769" s="96">
        <v>321704</v>
      </c>
      <c r="C1769" s="96" t="str">
        <f t="shared" si="189"/>
        <v>CPOS321704</v>
      </c>
      <c r="D1769" s="95" t="s">
        <v>1830</v>
      </c>
      <c r="E1769" s="63" t="s">
        <v>81</v>
      </c>
      <c r="F1769" s="64">
        <v>29.38</v>
      </c>
    </row>
    <row r="1770" spans="1:6" x14ac:dyDescent="0.25">
      <c r="A1770" s="62" t="s">
        <v>4398</v>
      </c>
      <c r="B1770" s="96">
        <v>321705</v>
      </c>
      <c r="C1770" s="96" t="str">
        <f t="shared" si="189"/>
        <v>CPOS321705</v>
      </c>
      <c r="D1770" s="95" t="s">
        <v>1831</v>
      </c>
      <c r="E1770" s="63" t="s">
        <v>81</v>
      </c>
      <c r="F1770" s="64">
        <v>11.700000000000001</v>
      </c>
    </row>
    <row r="1771" spans="1:6" x14ac:dyDescent="0.25">
      <c r="A1771" s="62" t="s">
        <v>4398</v>
      </c>
      <c r="B1771" s="96">
        <v>321706</v>
      </c>
      <c r="C1771" s="96" t="str">
        <f t="shared" si="189"/>
        <v>CPOS321706</v>
      </c>
      <c r="D1771" s="95" t="s">
        <v>1832</v>
      </c>
      <c r="E1771" s="63" t="s">
        <v>81</v>
      </c>
      <c r="F1771" s="64">
        <v>23.42</v>
      </c>
    </row>
    <row r="1772" spans="1:6" ht="30" x14ac:dyDescent="0.25">
      <c r="A1772" s="62" t="s">
        <v>4398</v>
      </c>
      <c r="B1772" s="96">
        <v>321707</v>
      </c>
      <c r="C1772" s="96" t="str">
        <f t="shared" si="189"/>
        <v>CPOS321707</v>
      </c>
      <c r="D1772" s="95" t="s">
        <v>1833</v>
      </c>
      <c r="E1772" s="63" t="s">
        <v>81</v>
      </c>
      <c r="F1772" s="64">
        <v>27.25</v>
      </c>
    </row>
    <row r="1773" spans="1:6" x14ac:dyDescent="0.25">
      <c r="D1773" s="94" t="s">
        <v>693</v>
      </c>
    </row>
    <row r="1774" spans="1:6" x14ac:dyDescent="0.25">
      <c r="A1774" s="62" t="s">
        <v>4398</v>
      </c>
      <c r="B1774" s="96">
        <v>322001</v>
      </c>
      <c r="C1774" s="96" t="str">
        <f t="shared" ref="C1774:C1777" si="190">A1774&amp;B1774</f>
        <v>CPOS322001</v>
      </c>
      <c r="D1774" s="95" t="s">
        <v>1834</v>
      </c>
      <c r="E1774" s="63" t="s">
        <v>119</v>
      </c>
      <c r="F1774" s="64">
        <v>45.36</v>
      </c>
    </row>
    <row r="1775" spans="1:6" x14ac:dyDescent="0.25">
      <c r="A1775" s="62" t="s">
        <v>4398</v>
      </c>
      <c r="B1775" s="96">
        <v>322002</v>
      </c>
      <c r="C1775" s="96" t="str">
        <f t="shared" si="190"/>
        <v>CPOS322002</v>
      </c>
      <c r="D1775" s="95" t="s">
        <v>1835</v>
      </c>
      <c r="E1775" s="63" t="s">
        <v>81</v>
      </c>
      <c r="F1775" s="64">
        <v>3.9</v>
      </c>
    </row>
    <row r="1776" spans="1:6" x14ac:dyDescent="0.25">
      <c r="A1776" s="62" t="s">
        <v>4398</v>
      </c>
      <c r="B1776" s="96">
        <v>322005</v>
      </c>
      <c r="C1776" s="96" t="str">
        <f t="shared" si="190"/>
        <v>CPOS322005</v>
      </c>
      <c r="D1776" s="95" t="s">
        <v>1836</v>
      </c>
      <c r="E1776" s="63" t="s">
        <v>81</v>
      </c>
      <c r="F1776" s="64">
        <v>4.09</v>
      </c>
    </row>
    <row r="1777" spans="1:6" x14ac:dyDescent="0.25">
      <c r="A1777" s="62" t="s">
        <v>4398</v>
      </c>
      <c r="B1777" s="96">
        <v>322006</v>
      </c>
      <c r="C1777" s="96" t="str">
        <f t="shared" si="190"/>
        <v>CPOS322006</v>
      </c>
      <c r="D1777" s="95" t="s">
        <v>1837</v>
      </c>
      <c r="E1777" s="63" t="s">
        <v>81</v>
      </c>
      <c r="F1777" s="64">
        <v>7.78</v>
      </c>
    </row>
    <row r="1778" spans="1:6" x14ac:dyDescent="0.25">
      <c r="D1778" s="94" t="s">
        <v>1838</v>
      </c>
    </row>
    <row r="1779" spans="1:6" x14ac:dyDescent="0.25">
      <c r="D1779" s="94" t="s">
        <v>1839</v>
      </c>
    </row>
    <row r="1780" spans="1:6" x14ac:dyDescent="0.25">
      <c r="A1780" s="62" t="s">
        <v>4398</v>
      </c>
      <c r="B1780" s="96">
        <v>330104</v>
      </c>
      <c r="C1780" s="96" t="str">
        <f t="shared" ref="C1780:C1784" si="191">A1780&amp;B1780</f>
        <v>CPOS330104</v>
      </c>
      <c r="D1780" s="95" t="s">
        <v>1840</v>
      </c>
      <c r="E1780" s="63" t="s">
        <v>81</v>
      </c>
      <c r="F1780" s="64">
        <v>24.76</v>
      </c>
    </row>
    <row r="1781" spans="1:6" x14ac:dyDescent="0.25">
      <c r="A1781" s="62" t="s">
        <v>4398</v>
      </c>
      <c r="B1781" s="96">
        <v>330105</v>
      </c>
      <c r="C1781" s="96" t="str">
        <f t="shared" si="191"/>
        <v>CPOS330105</v>
      </c>
      <c r="D1781" s="95" t="s">
        <v>1841</v>
      </c>
      <c r="E1781" s="63" t="s">
        <v>81</v>
      </c>
      <c r="F1781" s="64">
        <v>22.28</v>
      </c>
    </row>
    <row r="1782" spans="1:6" x14ac:dyDescent="0.25">
      <c r="A1782" s="62" t="s">
        <v>4398</v>
      </c>
      <c r="B1782" s="96">
        <v>330106</v>
      </c>
      <c r="C1782" s="96" t="str">
        <f t="shared" si="191"/>
        <v>CPOS330106</v>
      </c>
      <c r="D1782" s="95" t="s">
        <v>1842</v>
      </c>
      <c r="E1782" s="63" t="s">
        <v>81</v>
      </c>
      <c r="F1782" s="64">
        <v>7.66</v>
      </c>
    </row>
    <row r="1783" spans="1:6" x14ac:dyDescent="0.25">
      <c r="A1783" s="62" t="s">
        <v>4398</v>
      </c>
      <c r="B1783" s="96">
        <v>330128</v>
      </c>
      <c r="C1783" s="96" t="str">
        <f t="shared" si="191"/>
        <v>CPOS330128</v>
      </c>
      <c r="D1783" s="95" t="s">
        <v>1843</v>
      </c>
      <c r="E1783" s="63" t="s">
        <v>110</v>
      </c>
      <c r="F1783" s="64">
        <v>25.51</v>
      </c>
    </row>
    <row r="1784" spans="1:6" x14ac:dyDescent="0.25">
      <c r="A1784" s="62" t="s">
        <v>4398</v>
      </c>
      <c r="B1784" s="96">
        <v>330135</v>
      </c>
      <c r="C1784" s="96" t="str">
        <f t="shared" si="191"/>
        <v>CPOS330135</v>
      </c>
      <c r="D1784" s="95" t="s">
        <v>1844</v>
      </c>
      <c r="E1784" s="63" t="s">
        <v>81</v>
      </c>
      <c r="F1784" s="64">
        <v>9.23</v>
      </c>
    </row>
    <row r="1785" spans="1:6" x14ac:dyDescent="0.25">
      <c r="D1785" s="94" t="s">
        <v>1845</v>
      </c>
    </row>
    <row r="1786" spans="1:6" x14ac:dyDescent="0.25">
      <c r="A1786" s="62" t="s">
        <v>4398</v>
      </c>
      <c r="B1786" s="96">
        <v>330206</v>
      </c>
      <c r="C1786" s="96" t="str">
        <f t="shared" ref="C1786:C1789" si="192">A1786&amp;B1786</f>
        <v>CPOS330206</v>
      </c>
      <c r="D1786" s="95" t="s">
        <v>1846</v>
      </c>
      <c r="E1786" s="63" t="s">
        <v>81</v>
      </c>
      <c r="F1786" s="64">
        <v>7.72</v>
      </c>
    </row>
    <row r="1787" spans="1:6" x14ac:dyDescent="0.25">
      <c r="A1787" s="62" t="s">
        <v>4398</v>
      </c>
      <c r="B1787" s="96">
        <v>330208</v>
      </c>
      <c r="C1787" s="96" t="str">
        <f t="shared" si="192"/>
        <v>CPOS330208</v>
      </c>
      <c r="D1787" s="95" t="s">
        <v>1847</v>
      </c>
      <c r="E1787" s="63" t="s">
        <v>81</v>
      </c>
      <c r="F1787" s="64">
        <v>8.68</v>
      </c>
    </row>
    <row r="1788" spans="1:6" x14ac:dyDescent="0.25">
      <c r="A1788" s="62" t="s">
        <v>4398</v>
      </c>
      <c r="B1788" s="96">
        <v>330210</v>
      </c>
      <c r="C1788" s="96" t="str">
        <f t="shared" si="192"/>
        <v>CPOS330210</v>
      </c>
      <c r="D1788" s="95" t="s">
        <v>1848</v>
      </c>
      <c r="E1788" s="63" t="s">
        <v>81</v>
      </c>
      <c r="F1788" s="64">
        <v>17.04</v>
      </c>
    </row>
    <row r="1789" spans="1:6" x14ac:dyDescent="0.25">
      <c r="A1789" s="62" t="s">
        <v>4398</v>
      </c>
      <c r="B1789" s="96">
        <v>330212</v>
      </c>
      <c r="C1789" s="96" t="str">
        <f t="shared" si="192"/>
        <v>CPOS330212</v>
      </c>
      <c r="D1789" s="95" t="s">
        <v>1849</v>
      </c>
      <c r="E1789" s="63" t="s">
        <v>81</v>
      </c>
      <c r="F1789" s="64">
        <v>14.84</v>
      </c>
    </row>
    <row r="1790" spans="1:6" x14ac:dyDescent="0.25">
      <c r="D1790" s="94" t="s">
        <v>1850</v>
      </c>
    </row>
    <row r="1791" spans="1:6" x14ac:dyDescent="0.25">
      <c r="A1791" s="62" t="s">
        <v>4398</v>
      </c>
      <c r="B1791" s="96">
        <v>330304</v>
      </c>
      <c r="C1791" s="96" t="str">
        <f t="shared" ref="C1791:C1800" si="193">A1791&amp;B1791</f>
        <v>CPOS330304</v>
      </c>
      <c r="D1791" s="95" t="s">
        <v>1851</v>
      </c>
      <c r="E1791" s="63" t="s">
        <v>81</v>
      </c>
      <c r="F1791" s="64">
        <v>6.78</v>
      </c>
    </row>
    <row r="1792" spans="1:6" x14ac:dyDescent="0.25">
      <c r="A1792" s="62" t="s">
        <v>4398</v>
      </c>
      <c r="B1792" s="96">
        <v>330322</v>
      </c>
      <c r="C1792" s="96" t="str">
        <f t="shared" si="193"/>
        <v>CPOS330322</v>
      </c>
      <c r="D1792" s="95" t="s">
        <v>1852</v>
      </c>
      <c r="E1792" s="63" t="s">
        <v>81</v>
      </c>
      <c r="F1792" s="64">
        <v>16.13</v>
      </c>
    </row>
    <row r="1793" spans="1:6" x14ac:dyDescent="0.25">
      <c r="A1793" s="62" t="s">
        <v>4398</v>
      </c>
      <c r="B1793" s="96">
        <v>330330</v>
      </c>
      <c r="C1793" s="96" t="str">
        <f t="shared" si="193"/>
        <v>CPOS330330</v>
      </c>
      <c r="D1793" s="95" t="s">
        <v>1853</v>
      </c>
      <c r="E1793" s="63" t="s">
        <v>81</v>
      </c>
      <c r="F1793" s="64">
        <v>9.9700000000000006</v>
      </c>
    </row>
    <row r="1794" spans="1:6" x14ac:dyDescent="0.25">
      <c r="A1794" s="62" t="s">
        <v>4398</v>
      </c>
      <c r="B1794" s="96">
        <v>330335</v>
      </c>
      <c r="C1794" s="96" t="str">
        <f t="shared" si="193"/>
        <v>CPOS330335</v>
      </c>
      <c r="D1794" s="95" t="s">
        <v>1854</v>
      </c>
      <c r="E1794" s="63" t="s">
        <v>81</v>
      </c>
      <c r="F1794" s="64">
        <v>15.05</v>
      </c>
    </row>
    <row r="1795" spans="1:6" x14ac:dyDescent="0.25">
      <c r="A1795" s="62" t="s">
        <v>4398</v>
      </c>
      <c r="B1795" s="96">
        <v>330371</v>
      </c>
      <c r="C1795" s="96" t="str">
        <f t="shared" si="193"/>
        <v>CPOS330371</v>
      </c>
      <c r="D1795" s="95" t="s">
        <v>1855</v>
      </c>
      <c r="E1795" s="63" t="s">
        <v>81</v>
      </c>
      <c r="F1795" s="64">
        <v>16.07</v>
      </c>
    </row>
    <row r="1796" spans="1:6" x14ac:dyDescent="0.25">
      <c r="A1796" s="62" t="s">
        <v>4398</v>
      </c>
      <c r="B1796" s="96">
        <v>330374</v>
      </c>
      <c r="C1796" s="96" t="str">
        <f t="shared" si="193"/>
        <v>CPOS330374</v>
      </c>
      <c r="D1796" s="95" t="s">
        <v>1856</v>
      </c>
      <c r="E1796" s="63" t="s">
        <v>81</v>
      </c>
      <c r="F1796" s="64">
        <v>15.3</v>
      </c>
    </row>
    <row r="1797" spans="1:6" x14ac:dyDescent="0.25">
      <c r="A1797" s="62" t="s">
        <v>4398</v>
      </c>
      <c r="B1797" s="96">
        <v>330375</v>
      </c>
      <c r="C1797" s="96" t="str">
        <f t="shared" si="193"/>
        <v>CPOS330375</v>
      </c>
      <c r="D1797" s="95" t="s">
        <v>1857</v>
      </c>
      <c r="E1797" s="63" t="s">
        <v>81</v>
      </c>
      <c r="F1797" s="64">
        <v>19.37</v>
      </c>
    </row>
    <row r="1798" spans="1:6" ht="30" x14ac:dyDescent="0.25">
      <c r="A1798" s="62" t="s">
        <v>4398</v>
      </c>
      <c r="B1798" s="96">
        <v>330376</v>
      </c>
      <c r="C1798" s="96" t="str">
        <f t="shared" si="193"/>
        <v>CPOS330376</v>
      </c>
      <c r="D1798" s="95" t="s">
        <v>1858</v>
      </c>
      <c r="E1798" s="63" t="s">
        <v>81</v>
      </c>
      <c r="F1798" s="64">
        <v>14.18</v>
      </c>
    </row>
    <row r="1799" spans="1:6" ht="30" x14ac:dyDescent="0.25">
      <c r="A1799" s="62" t="s">
        <v>4398</v>
      </c>
      <c r="B1799" s="96">
        <v>330377</v>
      </c>
      <c r="C1799" s="96" t="str">
        <f t="shared" si="193"/>
        <v>CPOS330377</v>
      </c>
      <c r="D1799" s="95" t="s">
        <v>1859</v>
      </c>
      <c r="E1799" s="63" t="s">
        <v>81</v>
      </c>
      <c r="F1799" s="64">
        <v>19.989999999999998</v>
      </c>
    </row>
    <row r="1800" spans="1:6" x14ac:dyDescent="0.25">
      <c r="A1800" s="62" t="s">
        <v>4398</v>
      </c>
      <c r="B1800" s="96">
        <v>330378</v>
      </c>
      <c r="C1800" s="96" t="str">
        <f t="shared" si="193"/>
        <v>CPOS330378</v>
      </c>
      <c r="D1800" s="95" t="s">
        <v>1860</v>
      </c>
      <c r="E1800" s="63" t="s">
        <v>81</v>
      </c>
      <c r="F1800" s="64">
        <v>23.740000000000002</v>
      </c>
    </row>
    <row r="1801" spans="1:6" x14ac:dyDescent="0.25">
      <c r="D1801" s="94" t="s">
        <v>1861</v>
      </c>
    </row>
    <row r="1802" spans="1:6" x14ac:dyDescent="0.25">
      <c r="A1802" s="62" t="s">
        <v>4398</v>
      </c>
      <c r="B1802" s="96">
        <v>330501</v>
      </c>
      <c r="C1802" s="96" t="str">
        <f t="shared" ref="C1802:C1806" si="194">A1802&amp;B1802</f>
        <v>CPOS330501</v>
      </c>
      <c r="D1802" s="95" t="s">
        <v>1862</v>
      </c>
      <c r="E1802" s="63" t="s">
        <v>81</v>
      </c>
      <c r="F1802" s="64">
        <v>12.120000000000001</v>
      </c>
    </row>
    <row r="1803" spans="1:6" x14ac:dyDescent="0.25">
      <c r="A1803" s="62" t="s">
        <v>4398</v>
      </c>
      <c r="B1803" s="96">
        <v>330502</v>
      </c>
      <c r="C1803" s="96" t="str">
        <f t="shared" si="194"/>
        <v>CPOS330502</v>
      </c>
      <c r="D1803" s="95" t="s">
        <v>1863</v>
      </c>
      <c r="E1803" s="63" t="s">
        <v>81</v>
      </c>
      <c r="F1803" s="64">
        <v>21.78</v>
      </c>
    </row>
    <row r="1804" spans="1:6" x14ac:dyDescent="0.25">
      <c r="A1804" s="62" t="s">
        <v>4398</v>
      </c>
      <c r="B1804" s="96">
        <v>330512</v>
      </c>
      <c r="C1804" s="96" t="str">
        <f t="shared" si="194"/>
        <v>CPOS330512</v>
      </c>
      <c r="D1804" s="95" t="s">
        <v>1864</v>
      </c>
      <c r="E1804" s="63" t="s">
        <v>110</v>
      </c>
      <c r="F1804" s="64">
        <v>2.96</v>
      </c>
    </row>
    <row r="1805" spans="1:6" x14ac:dyDescent="0.25">
      <c r="A1805" s="62" t="s">
        <v>4398</v>
      </c>
      <c r="B1805" s="96">
        <v>330533</v>
      </c>
      <c r="C1805" s="96" t="str">
        <f t="shared" si="194"/>
        <v>CPOS330533</v>
      </c>
      <c r="D1805" s="95" t="s">
        <v>1865</v>
      </c>
      <c r="E1805" s="63" t="s">
        <v>81</v>
      </c>
      <c r="F1805" s="64">
        <v>13.23</v>
      </c>
    </row>
    <row r="1806" spans="1:6" x14ac:dyDescent="0.25">
      <c r="A1806" s="62" t="s">
        <v>4398</v>
      </c>
      <c r="B1806" s="96">
        <v>330536</v>
      </c>
      <c r="C1806" s="96" t="str">
        <f t="shared" si="194"/>
        <v>CPOS330536</v>
      </c>
      <c r="D1806" s="95" t="s">
        <v>1866</v>
      </c>
      <c r="E1806" s="63" t="s">
        <v>110</v>
      </c>
      <c r="F1806" s="64">
        <v>2.2599999999999998</v>
      </c>
    </row>
    <row r="1807" spans="1:6" x14ac:dyDescent="0.25">
      <c r="D1807" s="94" t="s">
        <v>1867</v>
      </c>
    </row>
    <row r="1808" spans="1:6" x14ac:dyDescent="0.25">
      <c r="A1808" s="62" t="s">
        <v>4398</v>
      </c>
      <c r="B1808" s="96">
        <v>330602</v>
      </c>
      <c r="C1808" s="96" t="str">
        <f>A1808&amp;B1808</f>
        <v>CPOS330602</v>
      </c>
      <c r="D1808" s="95" t="s">
        <v>1868</v>
      </c>
      <c r="E1808" s="63" t="s">
        <v>81</v>
      </c>
      <c r="F1808" s="64">
        <v>12.91</v>
      </c>
    </row>
    <row r="1809" spans="1:6" x14ac:dyDescent="0.25">
      <c r="D1809" s="94" t="s">
        <v>1869</v>
      </c>
    </row>
    <row r="1810" spans="1:6" x14ac:dyDescent="0.25">
      <c r="A1810" s="62" t="s">
        <v>4398</v>
      </c>
      <c r="B1810" s="96">
        <v>330710</v>
      </c>
      <c r="C1810" s="96" t="str">
        <f t="shared" ref="C1810:C1813" si="195">A1810&amp;B1810</f>
        <v>CPOS330710</v>
      </c>
      <c r="D1810" s="95" t="s">
        <v>1870</v>
      </c>
      <c r="E1810" s="63" t="s">
        <v>81</v>
      </c>
      <c r="F1810" s="64">
        <v>24.5</v>
      </c>
    </row>
    <row r="1811" spans="1:6" x14ac:dyDescent="0.25">
      <c r="A1811" s="62" t="s">
        <v>4398</v>
      </c>
      <c r="B1811" s="96">
        <v>330713</v>
      </c>
      <c r="C1811" s="96" t="str">
        <f t="shared" si="195"/>
        <v>CPOS330713</v>
      </c>
      <c r="D1811" s="95" t="s">
        <v>1871</v>
      </c>
      <c r="E1811" s="63" t="s">
        <v>329</v>
      </c>
      <c r="F1811" s="64">
        <v>3.37</v>
      </c>
    </row>
    <row r="1812" spans="1:6" x14ac:dyDescent="0.25">
      <c r="A1812" s="62" t="s">
        <v>4398</v>
      </c>
      <c r="B1812" s="96">
        <v>330714</v>
      </c>
      <c r="C1812" s="96" t="str">
        <f t="shared" si="195"/>
        <v>CPOS330714</v>
      </c>
      <c r="D1812" s="95" t="s">
        <v>1872</v>
      </c>
      <c r="E1812" s="63" t="s">
        <v>329</v>
      </c>
      <c r="F1812" s="64">
        <v>2.89</v>
      </c>
    </row>
    <row r="1813" spans="1:6" x14ac:dyDescent="0.25">
      <c r="A1813" s="62" t="s">
        <v>4398</v>
      </c>
      <c r="B1813" s="96">
        <v>330731</v>
      </c>
      <c r="C1813" s="96" t="str">
        <f t="shared" si="195"/>
        <v>CPOS330731</v>
      </c>
      <c r="D1813" s="95" t="s">
        <v>1873</v>
      </c>
      <c r="E1813" s="63" t="s">
        <v>81</v>
      </c>
      <c r="F1813" s="64">
        <v>85.16</v>
      </c>
    </row>
    <row r="1814" spans="1:6" x14ac:dyDescent="0.25">
      <c r="D1814" s="94" t="s">
        <v>1874</v>
      </c>
    </row>
    <row r="1815" spans="1:6" x14ac:dyDescent="0.25">
      <c r="A1815" s="62" t="s">
        <v>4398</v>
      </c>
      <c r="B1815" s="96">
        <v>330902</v>
      </c>
      <c r="C1815" s="96" t="str">
        <f>A1815&amp;B1815</f>
        <v>CPOS330902</v>
      </c>
      <c r="D1815" s="95" t="s">
        <v>1875</v>
      </c>
      <c r="E1815" s="63" t="s">
        <v>110</v>
      </c>
      <c r="F1815" s="64">
        <v>1.73</v>
      </c>
    </row>
    <row r="1816" spans="1:6" x14ac:dyDescent="0.25">
      <c r="D1816" s="94" t="s">
        <v>1876</v>
      </c>
    </row>
    <row r="1817" spans="1:6" x14ac:dyDescent="0.25">
      <c r="A1817" s="62" t="s">
        <v>4398</v>
      </c>
      <c r="B1817" s="96">
        <v>331001</v>
      </c>
      <c r="C1817" s="96" t="str">
        <f t="shared" ref="C1817:C1824" si="196">A1817&amp;B1817</f>
        <v>CPOS331001</v>
      </c>
      <c r="D1817" s="95" t="s">
        <v>1877</v>
      </c>
      <c r="E1817" s="63" t="s">
        <v>81</v>
      </c>
      <c r="F1817" s="64">
        <v>14.22</v>
      </c>
    </row>
    <row r="1818" spans="1:6" x14ac:dyDescent="0.25">
      <c r="A1818" s="62" t="s">
        <v>4398</v>
      </c>
      <c r="B1818" s="96">
        <v>331002</v>
      </c>
      <c r="C1818" s="96" t="str">
        <f t="shared" si="196"/>
        <v>CPOS331002</v>
      </c>
      <c r="D1818" s="95" t="s">
        <v>1878</v>
      </c>
      <c r="E1818" s="63" t="s">
        <v>81</v>
      </c>
      <c r="F1818" s="64">
        <v>15.21</v>
      </c>
    </row>
    <row r="1819" spans="1:6" x14ac:dyDescent="0.25">
      <c r="A1819" s="62" t="s">
        <v>4398</v>
      </c>
      <c r="B1819" s="96">
        <v>331003</v>
      </c>
      <c r="C1819" s="96" t="str">
        <f t="shared" si="196"/>
        <v>CPOS331003</v>
      </c>
      <c r="D1819" s="95" t="s">
        <v>1879</v>
      </c>
      <c r="E1819" s="63" t="s">
        <v>81</v>
      </c>
      <c r="F1819" s="64">
        <v>16.18</v>
      </c>
    </row>
    <row r="1820" spans="1:6" x14ac:dyDescent="0.25">
      <c r="A1820" s="62" t="s">
        <v>4398</v>
      </c>
      <c r="B1820" s="96">
        <v>331004</v>
      </c>
      <c r="C1820" s="96" t="str">
        <f t="shared" si="196"/>
        <v>CPOS331004</v>
      </c>
      <c r="D1820" s="95" t="s">
        <v>1880</v>
      </c>
      <c r="E1820" s="63" t="s">
        <v>81</v>
      </c>
      <c r="F1820" s="64">
        <v>16.68</v>
      </c>
    </row>
    <row r="1821" spans="1:6" x14ac:dyDescent="0.25">
      <c r="A1821" s="62" t="s">
        <v>4398</v>
      </c>
      <c r="B1821" s="96">
        <v>331005</v>
      </c>
      <c r="C1821" s="96" t="str">
        <f t="shared" si="196"/>
        <v>CPOS331005</v>
      </c>
      <c r="D1821" s="95" t="s">
        <v>1881</v>
      </c>
      <c r="E1821" s="63" t="s">
        <v>81</v>
      </c>
      <c r="F1821" s="64">
        <v>15.68</v>
      </c>
    </row>
    <row r="1822" spans="1:6" x14ac:dyDescent="0.25">
      <c r="A1822" s="62" t="s">
        <v>4398</v>
      </c>
      <c r="B1822" s="96">
        <v>331006</v>
      </c>
      <c r="C1822" s="96" t="str">
        <f t="shared" si="196"/>
        <v>CPOS331006</v>
      </c>
      <c r="D1822" s="95" t="s">
        <v>1882</v>
      </c>
      <c r="E1822" s="63" t="s">
        <v>81</v>
      </c>
      <c r="F1822" s="64">
        <v>53.730000000000004</v>
      </c>
    </row>
    <row r="1823" spans="1:6" x14ac:dyDescent="0.25">
      <c r="A1823" s="62" t="s">
        <v>4398</v>
      </c>
      <c r="B1823" s="96">
        <v>331007</v>
      </c>
      <c r="C1823" s="96" t="str">
        <f t="shared" si="196"/>
        <v>CPOS331007</v>
      </c>
      <c r="D1823" s="95" t="s">
        <v>1883</v>
      </c>
      <c r="E1823" s="63" t="s">
        <v>81</v>
      </c>
      <c r="F1823" s="64">
        <v>21.35</v>
      </c>
    </row>
    <row r="1824" spans="1:6" x14ac:dyDescent="0.25">
      <c r="A1824" s="62" t="s">
        <v>4398</v>
      </c>
      <c r="B1824" s="96">
        <v>331010</v>
      </c>
      <c r="C1824" s="96" t="str">
        <f t="shared" si="196"/>
        <v>CPOS331010</v>
      </c>
      <c r="D1824" s="95" t="s">
        <v>1884</v>
      </c>
      <c r="E1824" s="63" t="s">
        <v>81</v>
      </c>
      <c r="F1824" s="64">
        <v>21.53</v>
      </c>
    </row>
    <row r="1825" spans="1:6" x14ac:dyDescent="0.25">
      <c r="D1825" s="94" t="s">
        <v>1885</v>
      </c>
    </row>
    <row r="1826" spans="1:6" x14ac:dyDescent="0.25">
      <c r="A1826" s="62" t="s">
        <v>4398</v>
      </c>
      <c r="B1826" s="96">
        <v>331101</v>
      </c>
      <c r="C1826" s="96" t="str">
        <f t="shared" ref="C1826:C1829" si="197">A1826&amp;B1826</f>
        <v>CPOS331101</v>
      </c>
      <c r="D1826" s="95" t="s">
        <v>1886</v>
      </c>
      <c r="E1826" s="63" t="s">
        <v>81</v>
      </c>
      <c r="F1826" s="64">
        <v>23.64</v>
      </c>
    </row>
    <row r="1827" spans="1:6" x14ac:dyDescent="0.25">
      <c r="A1827" s="62" t="s">
        <v>4398</v>
      </c>
      <c r="B1827" s="96">
        <v>331102</v>
      </c>
      <c r="C1827" s="96" t="str">
        <f t="shared" si="197"/>
        <v>CPOS331102</v>
      </c>
      <c r="D1827" s="95" t="s">
        <v>1887</v>
      </c>
      <c r="E1827" s="63" t="s">
        <v>81</v>
      </c>
      <c r="F1827" s="64">
        <v>23.86</v>
      </c>
    </row>
    <row r="1828" spans="1:6" x14ac:dyDescent="0.25">
      <c r="A1828" s="62" t="s">
        <v>4398</v>
      </c>
      <c r="B1828" s="96">
        <v>331103</v>
      </c>
      <c r="C1828" s="96" t="str">
        <f t="shared" si="197"/>
        <v>CPOS331103</v>
      </c>
      <c r="D1828" s="95" t="s">
        <v>1888</v>
      </c>
      <c r="E1828" s="63" t="s">
        <v>81</v>
      </c>
      <c r="F1828" s="64">
        <v>23.69</v>
      </c>
    </row>
    <row r="1829" spans="1:6" x14ac:dyDescent="0.25">
      <c r="A1829" s="62" t="s">
        <v>4398</v>
      </c>
      <c r="B1829" s="96">
        <v>331104</v>
      </c>
      <c r="C1829" s="96" t="str">
        <f t="shared" si="197"/>
        <v>CPOS331104</v>
      </c>
      <c r="D1829" s="95" t="s">
        <v>1889</v>
      </c>
      <c r="E1829" s="63" t="s">
        <v>81</v>
      </c>
      <c r="F1829" s="64">
        <v>23.63</v>
      </c>
    </row>
    <row r="1830" spans="1:6" x14ac:dyDescent="0.25">
      <c r="D1830" s="94" t="s">
        <v>1890</v>
      </c>
    </row>
    <row r="1831" spans="1:6" x14ac:dyDescent="0.25">
      <c r="A1831" s="62" t="s">
        <v>4398</v>
      </c>
      <c r="B1831" s="96">
        <v>331201</v>
      </c>
      <c r="C1831" s="96" t="str">
        <f>A1831&amp;B1831</f>
        <v>CPOS331201</v>
      </c>
      <c r="D1831" s="95" t="s">
        <v>1891</v>
      </c>
      <c r="E1831" s="63" t="s">
        <v>81</v>
      </c>
      <c r="F1831" s="64">
        <v>22.82</v>
      </c>
    </row>
    <row r="1832" spans="1:6" x14ac:dyDescent="0.25">
      <c r="D1832" s="94" t="s">
        <v>1892</v>
      </c>
    </row>
    <row r="1833" spans="1:6" x14ac:dyDescent="0.25">
      <c r="D1833" s="94" t="s">
        <v>1893</v>
      </c>
    </row>
    <row r="1834" spans="1:6" x14ac:dyDescent="0.25">
      <c r="A1834" s="62" t="s">
        <v>4398</v>
      </c>
      <c r="B1834" s="96">
        <v>340101</v>
      </c>
      <c r="C1834" s="96" t="str">
        <f t="shared" ref="C1834:C1835" si="198">A1834&amp;B1834</f>
        <v>CPOS340101</v>
      </c>
      <c r="D1834" s="95" t="s">
        <v>1894</v>
      </c>
      <c r="E1834" s="63" t="s">
        <v>119</v>
      </c>
      <c r="F1834" s="64">
        <v>120.81</v>
      </c>
    </row>
    <row r="1835" spans="1:6" x14ac:dyDescent="0.25">
      <c r="A1835" s="62" t="s">
        <v>4398</v>
      </c>
      <c r="B1835" s="96">
        <v>340102</v>
      </c>
      <c r="C1835" s="96" t="str">
        <f t="shared" si="198"/>
        <v>CPOS340102</v>
      </c>
      <c r="D1835" s="95" t="s">
        <v>1895</v>
      </c>
      <c r="E1835" s="63" t="s">
        <v>81</v>
      </c>
      <c r="F1835" s="64">
        <v>1.1299999999999999</v>
      </c>
    </row>
    <row r="1836" spans="1:6" x14ac:dyDescent="0.25">
      <c r="D1836" s="94" t="s">
        <v>1896</v>
      </c>
    </row>
    <row r="1837" spans="1:6" x14ac:dyDescent="0.25">
      <c r="A1837" s="62" t="s">
        <v>4398</v>
      </c>
      <c r="B1837" s="96">
        <v>340202</v>
      </c>
      <c r="C1837" s="96" t="str">
        <f t="shared" ref="C1837:C1844" si="199">A1837&amp;B1837</f>
        <v>CPOS340202</v>
      </c>
      <c r="D1837" s="95" t="s">
        <v>1897</v>
      </c>
      <c r="E1837" s="63" t="s">
        <v>81</v>
      </c>
      <c r="F1837" s="64">
        <v>6.76</v>
      </c>
    </row>
    <row r="1838" spans="1:6" x14ac:dyDescent="0.25">
      <c r="A1838" s="62" t="s">
        <v>4398</v>
      </c>
      <c r="B1838" s="96">
        <v>340204</v>
      </c>
      <c r="C1838" s="96" t="str">
        <f t="shared" si="199"/>
        <v>CPOS340204</v>
      </c>
      <c r="D1838" s="95" t="s">
        <v>1898</v>
      </c>
      <c r="E1838" s="63" t="s">
        <v>81</v>
      </c>
      <c r="F1838" s="64">
        <v>7.29</v>
      </c>
    </row>
    <row r="1839" spans="1:6" x14ac:dyDescent="0.25">
      <c r="A1839" s="62" t="s">
        <v>4398</v>
      </c>
      <c r="B1839" s="96">
        <v>340207</v>
      </c>
      <c r="C1839" s="96" t="str">
        <f t="shared" si="199"/>
        <v>CPOS340207</v>
      </c>
      <c r="D1839" s="95" t="s">
        <v>1899</v>
      </c>
      <c r="E1839" s="63" t="s">
        <v>81</v>
      </c>
      <c r="F1839" s="64">
        <v>50.71</v>
      </c>
    </row>
    <row r="1840" spans="1:6" x14ac:dyDescent="0.25">
      <c r="A1840" s="62" t="s">
        <v>4398</v>
      </c>
      <c r="B1840" s="96">
        <v>340208</v>
      </c>
      <c r="C1840" s="96" t="str">
        <f t="shared" si="199"/>
        <v>CPOS340208</v>
      </c>
      <c r="D1840" s="95" t="s">
        <v>1900</v>
      </c>
      <c r="E1840" s="63" t="s">
        <v>81</v>
      </c>
      <c r="F1840" s="64">
        <v>9.4499999999999993</v>
      </c>
    </row>
    <row r="1841" spans="1:6" x14ac:dyDescent="0.25">
      <c r="A1841" s="62" t="s">
        <v>4398</v>
      </c>
      <c r="B1841" s="96">
        <v>340209</v>
      </c>
      <c r="C1841" s="96" t="str">
        <f t="shared" si="199"/>
        <v>CPOS340209</v>
      </c>
      <c r="D1841" s="95" t="s">
        <v>1901</v>
      </c>
      <c r="E1841" s="63" t="s">
        <v>81</v>
      </c>
      <c r="F1841" s="64">
        <v>27.67</v>
      </c>
    </row>
    <row r="1842" spans="1:6" x14ac:dyDescent="0.25">
      <c r="A1842" s="62" t="s">
        <v>4398</v>
      </c>
      <c r="B1842" s="96">
        <v>340210</v>
      </c>
      <c r="C1842" s="96" t="str">
        <f t="shared" si="199"/>
        <v>CPOS340210</v>
      </c>
      <c r="D1842" s="95" t="s">
        <v>1902</v>
      </c>
      <c r="E1842" s="63" t="s">
        <v>81</v>
      </c>
      <c r="F1842" s="64">
        <v>7.82</v>
      </c>
    </row>
    <row r="1843" spans="1:6" x14ac:dyDescent="0.25">
      <c r="A1843" s="62" t="s">
        <v>4398</v>
      </c>
      <c r="B1843" s="96">
        <v>340211</v>
      </c>
      <c r="C1843" s="96" t="str">
        <f t="shared" si="199"/>
        <v>CPOS340211</v>
      </c>
      <c r="D1843" s="95" t="s">
        <v>1903</v>
      </c>
      <c r="E1843" s="63" t="s">
        <v>81</v>
      </c>
      <c r="F1843" s="64">
        <v>29.43</v>
      </c>
    </row>
    <row r="1844" spans="1:6" x14ac:dyDescent="0.25">
      <c r="A1844" s="62" t="s">
        <v>4398</v>
      </c>
      <c r="B1844" s="96">
        <v>340240</v>
      </c>
      <c r="C1844" s="96" t="str">
        <f t="shared" si="199"/>
        <v>CPOS340240</v>
      </c>
      <c r="D1844" s="95" t="s">
        <v>1904</v>
      </c>
      <c r="E1844" s="63" t="s">
        <v>81</v>
      </c>
      <c r="F1844" s="64">
        <v>4.8</v>
      </c>
    </row>
    <row r="1845" spans="1:6" x14ac:dyDescent="0.25">
      <c r="D1845" s="94" t="s">
        <v>1905</v>
      </c>
    </row>
    <row r="1846" spans="1:6" x14ac:dyDescent="0.25">
      <c r="A1846" s="62" t="s">
        <v>4398</v>
      </c>
      <c r="B1846" s="96">
        <v>340302</v>
      </c>
      <c r="C1846" s="96" t="str">
        <f t="shared" ref="C1846:C1849" si="200">A1846&amp;B1846</f>
        <v>CPOS340302</v>
      </c>
      <c r="D1846" s="95" t="s">
        <v>1906</v>
      </c>
      <c r="E1846" s="63" t="s">
        <v>58</v>
      </c>
      <c r="F1846" s="64">
        <v>25.28</v>
      </c>
    </row>
    <row r="1847" spans="1:6" x14ac:dyDescent="0.25">
      <c r="A1847" s="62" t="s">
        <v>4398</v>
      </c>
      <c r="B1847" s="96">
        <v>340312</v>
      </c>
      <c r="C1847" s="96" t="str">
        <f t="shared" si="200"/>
        <v>CPOS340312</v>
      </c>
      <c r="D1847" s="95" t="s">
        <v>1907</v>
      </c>
      <c r="E1847" s="63" t="s">
        <v>58</v>
      </c>
      <c r="F1847" s="64">
        <v>23.72</v>
      </c>
    </row>
    <row r="1848" spans="1:6" x14ac:dyDescent="0.25">
      <c r="A1848" s="62" t="s">
        <v>4398</v>
      </c>
      <c r="B1848" s="96">
        <v>340313</v>
      </c>
      <c r="C1848" s="96" t="str">
        <f t="shared" si="200"/>
        <v>CPOS340313</v>
      </c>
      <c r="D1848" s="95" t="s">
        <v>1908</v>
      </c>
      <c r="E1848" s="63" t="s">
        <v>58</v>
      </c>
      <c r="F1848" s="64">
        <v>20.56</v>
      </c>
    </row>
    <row r="1849" spans="1:6" x14ac:dyDescent="0.25">
      <c r="A1849" s="62" t="s">
        <v>4398</v>
      </c>
      <c r="B1849" s="96">
        <v>340315</v>
      </c>
      <c r="C1849" s="96" t="str">
        <f t="shared" si="200"/>
        <v>CPOS340315</v>
      </c>
      <c r="D1849" s="95" t="s">
        <v>1909</v>
      </c>
      <c r="E1849" s="63" t="s">
        <v>58</v>
      </c>
      <c r="F1849" s="64">
        <v>28.82</v>
      </c>
    </row>
    <row r="1850" spans="1:6" x14ac:dyDescent="0.25">
      <c r="D1850" s="94" t="s">
        <v>1910</v>
      </c>
    </row>
    <row r="1851" spans="1:6" x14ac:dyDescent="0.25">
      <c r="A1851" s="62" t="s">
        <v>4398</v>
      </c>
      <c r="B1851" s="96">
        <v>340405</v>
      </c>
      <c r="C1851" s="96" t="str">
        <f t="shared" ref="C1851:C1856" si="201">A1851&amp;B1851</f>
        <v>CPOS340405</v>
      </c>
      <c r="D1851" s="95" t="s">
        <v>1911</v>
      </c>
      <c r="E1851" s="63" t="s">
        <v>58</v>
      </c>
      <c r="F1851" s="64">
        <v>66.22</v>
      </c>
    </row>
    <row r="1852" spans="1:6" x14ac:dyDescent="0.25">
      <c r="A1852" s="62" t="s">
        <v>4398</v>
      </c>
      <c r="B1852" s="96">
        <v>340413</v>
      </c>
      <c r="C1852" s="96" t="str">
        <f t="shared" si="201"/>
        <v>CPOS340413</v>
      </c>
      <c r="D1852" s="95" t="s">
        <v>1912</v>
      </c>
      <c r="E1852" s="63" t="s">
        <v>58</v>
      </c>
      <c r="F1852" s="64">
        <v>66.03</v>
      </c>
    </row>
    <row r="1853" spans="1:6" x14ac:dyDescent="0.25">
      <c r="A1853" s="62" t="s">
        <v>4398</v>
      </c>
      <c r="B1853" s="96">
        <v>340416</v>
      </c>
      <c r="C1853" s="96" t="str">
        <f t="shared" si="201"/>
        <v>CPOS340416</v>
      </c>
      <c r="D1853" s="95" t="s">
        <v>1913</v>
      </c>
      <c r="E1853" s="63" t="s">
        <v>58</v>
      </c>
      <c r="F1853" s="64">
        <v>70.099999999999994</v>
      </c>
    </row>
    <row r="1854" spans="1:6" x14ac:dyDescent="0.25">
      <c r="A1854" s="62" t="s">
        <v>4398</v>
      </c>
      <c r="B1854" s="96">
        <v>340428</v>
      </c>
      <c r="C1854" s="96" t="str">
        <f t="shared" si="201"/>
        <v>CPOS340428</v>
      </c>
      <c r="D1854" s="95" t="s">
        <v>1914</v>
      </c>
      <c r="E1854" s="63" t="s">
        <v>58</v>
      </c>
      <c r="F1854" s="64">
        <v>240.76</v>
      </c>
    </row>
    <row r="1855" spans="1:6" x14ac:dyDescent="0.25">
      <c r="A1855" s="62" t="s">
        <v>4398</v>
      </c>
      <c r="B1855" s="96">
        <v>340436</v>
      </c>
      <c r="C1855" s="96" t="str">
        <f t="shared" si="201"/>
        <v>CPOS340436</v>
      </c>
      <c r="D1855" s="95" t="s">
        <v>1915</v>
      </c>
      <c r="E1855" s="63" t="s">
        <v>58</v>
      </c>
      <c r="F1855" s="64">
        <v>179.1</v>
      </c>
    </row>
    <row r="1856" spans="1:6" x14ac:dyDescent="0.25">
      <c r="A1856" s="62" t="s">
        <v>4398</v>
      </c>
      <c r="B1856" s="96">
        <v>340437</v>
      </c>
      <c r="C1856" s="96" t="str">
        <f t="shared" si="201"/>
        <v>CPOS340437</v>
      </c>
      <c r="D1856" s="95" t="s">
        <v>1916</v>
      </c>
      <c r="E1856" s="63" t="s">
        <v>58</v>
      </c>
      <c r="F1856" s="64">
        <v>51.2</v>
      </c>
    </row>
    <row r="1857" spans="1:6" x14ac:dyDescent="0.25">
      <c r="D1857" s="94" t="s">
        <v>1917</v>
      </c>
    </row>
    <row r="1858" spans="1:6" x14ac:dyDescent="0.25">
      <c r="A1858" s="62" t="s">
        <v>4398</v>
      </c>
      <c r="B1858" s="96">
        <v>340501</v>
      </c>
      <c r="C1858" s="96" t="str">
        <f t="shared" ref="C1858:C1877" si="202">A1858&amp;B1858</f>
        <v>CPOS340501</v>
      </c>
      <c r="D1858" s="95" t="s">
        <v>1918</v>
      </c>
      <c r="E1858" s="63" t="s">
        <v>110</v>
      </c>
      <c r="F1858" s="64">
        <v>42.86</v>
      </c>
    </row>
    <row r="1859" spans="1:6" x14ac:dyDescent="0.25">
      <c r="A1859" s="62" t="s">
        <v>4398</v>
      </c>
      <c r="B1859" s="96">
        <v>340502</v>
      </c>
      <c r="C1859" s="96" t="str">
        <f t="shared" si="202"/>
        <v>CPOS340502</v>
      </c>
      <c r="D1859" s="95" t="s">
        <v>1919</v>
      </c>
      <c r="E1859" s="63" t="s">
        <v>110</v>
      </c>
      <c r="F1859" s="64">
        <v>33.08</v>
      </c>
    </row>
    <row r="1860" spans="1:6" x14ac:dyDescent="0.25">
      <c r="A1860" s="62" t="s">
        <v>4398</v>
      </c>
      <c r="B1860" s="96">
        <v>340503</v>
      </c>
      <c r="C1860" s="96" t="str">
        <f t="shared" si="202"/>
        <v>CPOS340503</v>
      </c>
      <c r="D1860" s="95" t="s">
        <v>1920</v>
      </c>
      <c r="E1860" s="63" t="s">
        <v>110</v>
      </c>
      <c r="F1860" s="64">
        <v>39.96</v>
      </c>
    </row>
    <row r="1861" spans="1:6" ht="30" x14ac:dyDescent="0.25">
      <c r="A1861" s="62" t="s">
        <v>4398</v>
      </c>
      <c r="B1861" s="96">
        <v>340505</v>
      </c>
      <c r="C1861" s="96" t="str">
        <f t="shared" si="202"/>
        <v>CPOS340505</v>
      </c>
      <c r="D1861" s="95" t="s">
        <v>1921</v>
      </c>
      <c r="E1861" s="63" t="s">
        <v>110</v>
      </c>
      <c r="F1861" s="64">
        <v>101.83</v>
      </c>
    </row>
    <row r="1862" spans="1:6" ht="30" x14ac:dyDescent="0.25">
      <c r="A1862" s="62" t="s">
        <v>4398</v>
      </c>
      <c r="B1862" s="96">
        <v>340508</v>
      </c>
      <c r="C1862" s="96" t="str">
        <f t="shared" si="202"/>
        <v>CPOS340508</v>
      </c>
      <c r="D1862" s="95" t="s">
        <v>1922</v>
      </c>
      <c r="E1862" s="63" t="s">
        <v>81</v>
      </c>
      <c r="F1862" s="64">
        <v>131.08000000000001</v>
      </c>
    </row>
    <row r="1863" spans="1:6" ht="30" x14ac:dyDescent="0.25">
      <c r="A1863" s="62" t="s">
        <v>4398</v>
      </c>
      <c r="B1863" s="96">
        <v>340511</v>
      </c>
      <c r="C1863" s="96" t="str">
        <f t="shared" si="202"/>
        <v>CPOS340511</v>
      </c>
      <c r="D1863" s="95" t="s">
        <v>1923</v>
      </c>
      <c r="E1863" s="63" t="s">
        <v>81</v>
      </c>
      <c r="F1863" s="64">
        <v>96.37</v>
      </c>
    </row>
    <row r="1864" spans="1:6" x14ac:dyDescent="0.25">
      <c r="A1864" s="62" t="s">
        <v>4398</v>
      </c>
      <c r="B1864" s="96">
        <v>340512</v>
      </c>
      <c r="C1864" s="96" t="str">
        <f t="shared" si="202"/>
        <v>CPOS340512</v>
      </c>
      <c r="D1864" s="95" t="s">
        <v>1924</v>
      </c>
      <c r="E1864" s="63" t="s">
        <v>81</v>
      </c>
      <c r="F1864" s="64">
        <v>112.5</v>
      </c>
    </row>
    <row r="1865" spans="1:6" x14ac:dyDescent="0.25">
      <c r="A1865" s="62" t="s">
        <v>4398</v>
      </c>
      <c r="B1865" s="96">
        <v>340517</v>
      </c>
      <c r="C1865" s="96" t="str">
        <f t="shared" si="202"/>
        <v>CPOS340517</v>
      </c>
      <c r="D1865" s="95" t="s">
        <v>1925</v>
      </c>
      <c r="E1865" s="63" t="s">
        <v>110</v>
      </c>
      <c r="F1865" s="64">
        <v>28.21</v>
      </c>
    </row>
    <row r="1866" spans="1:6" x14ac:dyDescent="0.25">
      <c r="A1866" s="62" t="s">
        <v>4398</v>
      </c>
      <c r="B1866" s="96">
        <v>340519</v>
      </c>
      <c r="C1866" s="96" t="str">
        <f t="shared" si="202"/>
        <v>CPOS340519</v>
      </c>
      <c r="D1866" s="95" t="s">
        <v>1926</v>
      </c>
      <c r="E1866" s="63" t="s">
        <v>110</v>
      </c>
      <c r="F1866" s="64">
        <v>43.18</v>
      </c>
    </row>
    <row r="1867" spans="1:6" ht="30" x14ac:dyDescent="0.25">
      <c r="A1867" s="62" t="s">
        <v>4398</v>
      </c>
      <c r="B1867" s="96">
        <v>340521</v>
      </c>
      <c r="C1867" s="96" t="str">
        <f t="shared" si="202"/>
        <v>CPOS340521</v>
      </c>
      <c r="D1867" s="95" t="s">
        <v>1927</v>
      </c>
      <c r="E1867" s="63" t="s">
        <v>81</v>
      </c>
      <c r="F1867" s="64">
        <v>131.61000000000001</v>
      </c>
    </row>
    <row r="1868" spans="1:6" ht="30" x14ac:dyDescent="0.25">
      <c r="A1868" s="62" t="s">
        <v>4398</v>
      </c>
      <c r="B1868" s="96">
        <v>340526</v>
      </c>
      <c r="C1868" s="96" t="str">
        <f t="shared" si="202"/>
        <v>CPOS340526</v>
      </c>
      <c r="D1868" s="95" t="s">
        <v>1928</v>
      </c>
      <c r="E1868" s="63" t="s">
        <v>81</v>
      </c>
      <c r="F1868" s="64">
        <v>208.26</v>
      </c>
    </row>
    <row r="1869" spans="1:6" x14ac:dyDescent="0.25">
      <c r="A1869" s="62" t="s">
        <v>4398</v>
      </c>
      <c r="B1869" s="96">
        <v>340527</v>
      </c>
      <c r="C1869" s="96" t="str">
        <f t="shared" si="202"/>
        <v>CPOS340527</v>
      </c>
      <c r="D1869" s="95" t="s">
        <v>1929</v>
      </c>
      <c r="E1869" s="63" t="s">
        <v>81</v>
      </c>
      <c r="F1869" s="64">
        <v>94.49</v>
      </c>
    </row>
    <row r="1870" spans="1:6" ht="30" x14ac:dyDescent="0.25">
      <c r="A1870" s="62" t="s">
        <v>4398</v>
      </c>
      <c r="B1870" s="96">
        <v>340529</v>
      </c>
      <c r="C1870" s="96" t="str">
        <f t="shared" si="202"/>
        <v>CPOS340529</v>
      </c>
      <c r="D1870" s="95" t="s">
        <v>1930</v>
      </c>
      <c r="E1870" s="63" t="s">
        <v>81</v>
      </c>
      <c r="F1870" s="64">
        <v>1180.8499999999999</v>
      </c>
    </row>
    <row r="1871" spans="1:6" ht="30" x14ac:dyDescent="0.25">
      <c r="A1871" s="62" t="s">
        <v>4398</v>
      </c>
      <c r="B1871" s="96">
        <v>340530</v>
      </c>
      <c r="C1871" s="96" t="str">
        <f t="shared" si="202"/>
        <v>CPOS340530</v>
      </c>
      <c r="D1871" s="95" t="s">
        <v>1931</v>
      </c>
      <c r="E1871" s="63" t="s">
        <v>81</v>
      </c>
      <c r="F1871" s="64">
        <v>755.79</v>
      </c>
    </row>
    <row r="1872" spans="1:6" x14ac:dyDescent="0.25">
      <c r="A1872" s="62" t="s">
        <v>4398</v>
      </c>
      <c r="B1872" s="96">
        <v>340531</v>
      </c>
      <c r="C1872" s="96" t="str">
        <f t="shared" si="202"/>
        <v>CPOS340531</v>
      </c>
      <c r="D1872" s="95" t="s">
        <v>1932</v>
      </c>
      <c r="E1872" s="63" t="s">
        <v>81</v>
      </c>
      <c r="F1872" s="64">
        <v>244.63</v>
      </c>
    </row>
    <row r="1873" spans="1:6" x14ac:dyDescent="0.25">
      <c r="A1873" s="62" t="s">
        <v>4398</v>
      </c>
      <c r="B1873" s="96">
        <v>340532</v>
      </c>
      <c r="C1873" s="96" t="str">
        <f t="shared" si="202"/>
        <v>CPOS340532</v>
      </c>
      <c r="D1873" s="95" t="s">
        <v>1933</v>
      </c>
      <c r="E1873" s="63" t="s">
        <v>81</v>
      </c>
      <c r="F1873" s="64">
        <v>335.19</v>
      </c>
    </row>
    <row r="1874" spans="1:6" x14ac:dyDescent="0.25">
      <c r="A1874" s="62" t="s">
        <v>4398</v>
      </c>
      <c r="B1874" s="96">
        <v>340533</v>
      </c>
      <c r="C1874" s="96" t="str">
        <f t="shared" si="202"/>
        <v>CPOS340533</v>
      </c>
      <c r="D1874" s="95" t="s">
        <v>1934</v>
      </c>
      <c r="E1874" s="63" t="s">
        <v>110</v>
      </c>
      <c r="F1874" s="64">
        <v>36.619999999999997</v>
      </c>
    </row>
    <row r="1875" spans="1:6" x14ac:dyDescent="0.25">
      <c r="A1875" s="62" t="s">
        <v>4398</v>
      </c>
      <c r="B1875" s="96">
        <v>340535</v>
      </c>
      <c r="C1875" s="96" t="str">
        <f t="shared" si="202"/>
        <v>CPOS340535</v>
      </c>
      <c r="D1875" s="95" t="s">
        <v>1935</v>
      </c>
      <c r="E1875" s="63" t="s">
        <v>81</v>
      </c>
      <c r="F1875" s="64">
        <v>818.84</v>
      </c>
    </row>
    <row r="1876" spans="1:6" x14ac:dyDescent="0.25">
      <c r="A1876" s="62" t="s">
        <v>4398</v>
      </c>
      <c r="B1876" s="96">
        <v>340536</v>
      </c>
      <c r="C1876" s="96" t="str">
        <f t="shared" si="202"/>
        <v>CPOS340536</v>
      </c>
      <c r="D1876" s="95" t="s">
        <v>1936</v>
      </c>
      <c r="E1876" s="63" t="s">
        <v>81</v>
      </c>
      <c r="F1876" s="64">
        <v>99.05</v>
      </c>
    </row>
    <row r="1877" spans="1:6" x14ac:dyDescent="0.25">
      <c r="A1877" s="62" t="s">
        <v>4398</v>
      </c>
      <c r="B1877" s="96">
        <v>340537</v>
      </c>
      <c r="C1877" s="96" t="str">
        <f t="shared" si="202"/>
        <v>CPOS340537</v>
      </c>
      <c r="D1877" s="95" t="s">
        <v>1937</v>
      </c>
      <c r="E1877" s="63" t="s">
        <v>110</v>
      </c>
      <c r="F1877" s="64">
        <v>119.15</v>
      </c>
    </row>
    <row r="1878" spans="1:6" x14ac:dyDescent="0.25">
      <c r="D1878" s="94" t="s">
        <v>1910</v>
      </c>
    </row>
    <row r="1879" spans="1:6" x14ac:dyDescent="0.25">
      <c r="A1879" s="62" t="s">
        <v>4398</v>
      </c>
      <c r="B1879" s="96">
        <v>340778</v>
      </c>
      <c r="C1879" s="96" t="str">
        <f>A1879&amp;B1879</f>
        <v>CPOS340778</v>
      </c>
      <c r="D1879" s="95" t="s">
        <v>1938</v>
      </c>
      <c r="E1879" s="63" t="s">
        <v>58</v>
      </c>
      <c r="F1879" s="64">
        <v>137.15</v>
      </c>
    </row>
    <row r="1880" spans="1:6" x14ac:dyDescent="0.25">
      <c r="D1880" s="94" t="s">
        <v>1910</v>
      </c>
    </row>
    <row r="1881" spans="1:6" x14ac:dyDescent="0.25">
      <c r="A1881" s="62" t="s">
        <v>4398</v>
      </c>
      <c r="B1881" s="96">
        <v>341241</v>
      </c>
      <c r="C1881" s="96" t="str">
        <f>A1881&amp;B1881</f>
        <v>CPOS341241</v>
      </c>
      <c r="D1881" s="95" t="s">
        <v>1939</v>
      </c>
      <c r="E1881" s="63" t="s">
        <v>58</v>
      </c>
      <c r="F1881" s="64">
        <v>174.85</v>
      </c>
    </row>
    <row r="1882" spans="1:6" x14ac:dyDescent="0.25">
      <c r="D1882" s="94" t="s">
        <v>693</v>
      </c>
    </row>
    <row r="1883" spans="1:6" x14ac:dyDescent="0.25">
      <c r="A1883" s="62" t="s">
        <v>4398</v>
      </c>
      <c r="B1883" s="96">
        <v>342005</v>
      </c>
      <c r="C1883" s="96" t="str">
        <f t="shared" ref="C1883:C1890" si="203">A1883&amp;B1883</f>
        <v>CPOS342005</v>
      </c>
      <c r="D1883" s="95" t="s">
        <v>1940</v>
      </c>
      <c r="E1883" s="63" t="s">
        <v>81</v>
      </c>
      <c r="F1883" s="64">
        <v>7.6000000000000005</v>
      </c>
    </row>
    <row r="1884" spans="1:6" x14ac:dyDescent="0.25">
      <c r="A1884" s="62" t="s">
        <v>4398</v>
      </c>
      <c r="B1884" s="96">
        <v>342008</v>
      </c>
      <c r="C1884" s="96" t="str">
        <f t="shared" si="203"/>
        <v>CPOS342008</v>
      </c>
      <c r="D1884" s="95" t="s">
        <v>1941</v>
      </c>
      <c r="E1884" s="63" t="s">
        <v>81</v>
      </c>
      <c r="F1884" s="64">
        <v>35.65</v>
      </c>
    </row>
    <row r="1885" spans="1:6" x14ac:dyDescent="0.25">
      <c r="A1885" s="62" t="s">
        <v>4398</v>
      </c>
      <c r="B1885" s="96">
        <v>342011</v>
      </c>
      <c r="C1885" s="96" t="str">
        <f t="shared" si="203"/>
        <v>CPOS342011</v>
      </c>
      <c r="D1885" s="95" t="s">
        <v>1942</v>
      </c>
      <c r="E1885" s="63" t="s">
        <v>110</v>
      </c>
      <c r="F1885" s="64">
        <v>9.33</v>
      </c>
    </row>
    <row r="1886" spans="1:6" x14ac:dyDescent="0.25">
      <c r="A1886" s="62" t="s">
        <v>4398</v>
      </c>
      <c r="B1886" s="96">
        <v>342012</v>
      </c>
      <c r="C1886" s="96" t="str">
        <f t="shared" si="203"/>
        <v>CPOS342012</v>
      </c>
      <c r="D1886" s="95" t="s">
        <v>1943</v>
      </c>
      <c r="E1886" s="63" t="s">
        <v>119</v>
      </c>
      <c r="F1886" s="64">
        <v>587.4</v>
      </c>
    </row>
    <row r="1887" spans="1:6" x14ac:dyDescent="0.25">
      <c r="A1887" s="62" t="s">
        <v>4398</v>
      </c>
      <c r="B1887" s="96">
        <v>342016</v>
      </c>
      <c r="C1887" s="96" t="str">
        <f t="shared" si="203"/>
        <v>CPOS342016</v>
      </c>
      <c r="D1887" s="95" t="s">
        <v>1944</v>
      </c>
      <c r="E1887" s="63" t="s">
        <v>81</v>
      </c>
      <c r="F1887" s="64">
        <v>9.92</v>
      </c>
    </row>
    <row r="1888" spans="1:6" x14ac:dyDescent="0.25">
      <c r="A1888" s="62" t="s">
        <v>4398</v>
      </c>
      <c r="B1888" s="96">
        <v>342017</v>
      </c>
      <c r="C1888" s="96" t="str">
        <f t="shared" si="203"/>
        <v>CPOS342017</v>
      </c>
      <c r="D1888" s="95" t="s">
        <v>1945</v>
      </c>
      <c r="E1888" s="63" t="s">
        <v>81</v>
      </c>
      <c r="F1888" s="64">
        <v>13.07</v>
      </c>
    </row>
    <row r="1889" spans="1:6" x14ac:dyDescent="0.25">
      <c r="A1889" s="62" t="s">
        <v>4398</v>
      </c>
      <c r="B1889" s="96">
        <v>342038</v>
      </c>
      <c r="C1889" s="96" t="str">
        <f t="shared" si="203"/>
        <v>CPOS342038</v>
      </c>
      <c r="D1889" s="95" t="s">
        <v>1946</v>
      </c>
      <c r="E1889" s="63" t="s">
        <v>58</v>
      </c>
      <c r="F1889" s="64">
        <v>270.95</v>
      </c>
    </row>
    <row r="1890" spans="1:6" x14ac:dyDescent="0.25">
      <c r="A1890" s="62" t="s">
        <v>4398</v>
      </c>
      <c r="B1890" s="96">
        <v>342039</v>
      </c>
      <c r="C1890" s="96" t="str">
        <f t="shared" si="203"/>
        <v>CPOS342039</v>
      </c>
      <c r="D1890" s="95" t="s">
        <v>1947</v>
      </c>
      <c r="E1890" s="63" t="s">
        <v>81</v>
      </c>
      <c r="F1890" s="64">
        <v>499.76</v>
      </c>
    </row>
    <row r="1891" spans="1:6" x14ac:dyDescent="0.25">
      <c r="D1891" s="94" t="s">
        <v>1948</v>
      </c>
    </row>
    <row r="1892" spans="1:6" x14ac:dyDescent="0.25">
      <c r="D1892" s="94" t="s">
        <v>1949</v>
      </c>
    </row>
    <row r="1893" spans="1:6" x14ac:dyDescent="0.25">
      <c r="A1893" s="62" t="s">
        <v>4398</v>
      </c>
      <c r="B1893" s="96">
        <v>350107</v>
      </c>
      <c r="C1893" s="96" t="str">
        <f t="shared" ref="C1893:C1897" si="204">A1893&amp;B1893</f>
        <v>CPOS350107</v>
      </c>
      <c r="D1893" s="95" t="s">
        <v>1950</v>
      </c>
      <c r="E1893" s="63" t="s">
        <v>81</v>
      </c>
      <c r="F1893" s="64">
        <v>23.06</v>
      </c>
    </row>
    <row r="1894" spans="1:6" x14ac:dyDescent="0.25">
      <c r="A1894" s="62" t="s">
        <v>4398</v>
      </c>
      <c r="B1894" s="96">
        <v>350115</v>
      </c>
      <c r="C1894" s="96" t="str">
        <f t="shared" si="204"/>
        <v>CPOS350115</v>
      </c>
      <c r="D1894" s="95" t="s">
        <v>1951</v>
      </c>
      <c r="E1894" s="63" t="s">
        <v>117</v>
      </c>
      <c r="F1894" s="64">
        <v>919.44</v>
      </c>
    </row>
    <row r="1895" spans="1:6" x14ac:dyDescent="0.25">
      <c r="A1895" s="62" t="s">
        <v>4398</v>
      </c>
      <c r="B1895" s="96">
        <v>350116</v>
      </c>
      <c r="C1895" s="96" t="str">
        <f t="shared" si="204"/>
        <v>CPOS350116</v>
      </c>
      <c r="D1895" s="95" t="s">
        <v>1952</v>
      </c>
      <c r="E1895" s="63" t="s">
        <v>58</v>
      </c>
      <c r="F1895" s="64">
        <v>2096.92</v>
      </c>
    </row>
    <row r="1896" spans="1:6" x14ac:dyDescent="0.25">
      <c r="A1896" s="62" t="s">
        <v>4398</v>
      </c>
      <c r="B1896" s="96">
        <v>350117</v>
      </c>
      <c r="C1896" s="96" t="str">
        <f t="shared" si="204"/>
        <v>CPOS350117</v>
      </c>
      <c r="D1896" s="95" t="s">
        <v>1953</v>
      </c>
      <c r="E1896" s="63" t="s">
        <v>117</v>
      </c>
      <c r="F1896" s="64">
        <v>865.76</v>
      </c>
    </row>
    <row r="1897" spans="1:6" ht="30" x14ac:dyDescent="0.25">
      <c r="A1897" s="62" t="s">
        <v>4398</v>
      </c>
      <c r="B1897" s="96">
        <v>350155</v>
      </c>
      <c r="C1897" s="96" t="str">
        <f t="shared" si="204"/>
        <v>CPOS350155</v>
      </c>
      <c r="D1897" s="95" t="s">
        <v>1954</v>
      </c>
      <c r="E1897" s="63" t="s">
        <v>81</v>
      </c>
      <c r="F1897" s="64">
        <v>74.12</v>
      </c>
    </row>
    <row r="1898" spans="1:6" x14ac:dyDescent="0.25">
      <c r="D1898" s="94" t="s">
        <v>1955</v>
      </c>
    </row>
    <row r="1899" spans="1:6" x14ac:dyDescent="0.25">
      <c r="A1899" s="62" t="s">
        <v>4398</v>
      </c>
      <c r="B1899" s="96">
        <v>350303</v>
      </c>
      <c r="C1899" s="96" t="str">
        <f t="shared" ref="C1899:C1900" si="205">A1899&amp;B1899</f>
        <v>CPOS350303</v>
      </c>
      <c r="D1899" s="95" t="s">
        <v>1956</v>
      </c>
      <c r="E1899" s="63" t="s">
        <v>58</v>
      </c>
      <c r="F1899" s="64">
        <v>2821.86</v>
      </c>
    </row>
    <row r="1900" spans="1:6" x14ac:dyDescent="0.25">
      <c r="A1900" s="62" t="s">
        <v>4398</v>
      </c>
      <c r="B1900" s="96">
        <v>350306</v>
      </c>
      <c r="C1900" s="96" t="str">
        <f t="shared" si="205"/>
        <v>CPOS350306</v>
      </c>
      <c r="D1900" s="95" t="s">
        <v>1957</v>
      </c>
      <c r="E1900" s="63" t="s">
        <v>58</v>
      </c>
      <c r="F1900" s="64">
        <v>1431.01</v>
      </c>
    </row>
    <row r="1901" spans="1:6" x14ac:dyDescent="0.25">
      <c r="D1901" s="94" t="s">
        <v>1958</v>
      </c>
    </row>
    <row r="1902" spans="1:6" x14ac:dyDescent="0.25">
      <c r="A1902" s="62" t="s">
        <v>4398</v>
      </c>
      <c r="B1902" s="96">
        <v>350402</v>
      </c>
      <c r="C1902" s="96" t="str">
        <f t="shared" ref="C1902:C1905" si="206">A1902&amp;B1902</f>
        <v>CPOS350402</v>
      </c>
      <c r="D1902" s="95" t="s">
        <v>1959</v>
      </c>
      <c r="E1902" s="63" t="s">
        <v>110</v>
      </c>
      <c r="F1902" s="64">
        <v>112.17</v>
      </c>
    </row>
    <row r="1903" spans="1:6" x14ac:dyDescent="0.25">
      <c r="A1903" s="62" t="s">
        <v>4398</v>
      </c>
      <c r="B1903" s="96">
        <v>350412</v>
      </c>
      <c r="C1903" s="96" t="str">
        <f t="shared" si="206"/>
        <v>CPOS350412</v>
      </c>
      <c r="D1903" s="95" t="s">
        <v>1960</v>
      </c>
      <c r="E1903" s="63" t="s">
        <v>58</v>
      </c>
      <c r="F1903" s="64">
        <v>278.02</v>
      </c>
    </row>
    <row r="1904" spans="1:6" x14ac:dyDescent="0.25">
      <c r="A1904" s="62" t="s">
        <v>4398</v>
      </c>
      <c r="B1904" s="96">
        <v>350413</v>
      </c>
      <c r="C1904" s="96" t="str">
        <f t="shared" si="206"/>
        <v>CPOS350413</v>
      </c>
      <c r="D1904" s="95" t="s">
        <v>1961</v>
      </c>
      <c r="E1904" s="63" t="s">
        <v>81</v>
      </c>
      <c r="F1904" s="64">
        <v>108.21000000000001</v>
      </c>
    </row>
    <row r="1905" spans="1:6" x14ac:dyDescent="0.25">
      <c r="A1905" s="62" t="s">
        <v>4398</v>
      </c>
      <c r="B1905" s="96">
        <v>350414</v>
      </c>
      <c r="C1905" s="96" t="str">
        <f t="shared" si="206"/>
        <v>CPOS350414</v>
      </c>
      <c r="D1905" s="95" t="s">
        <v>1962</v>
      </c>
      <c r="E1905" s="63" t="s">
        <v>58</v>
      </c>
      <c r="F1905" s="64">
        <v>310.58</v>
      </c>
    </row>
    <row r="1906" spans="1:6" x14ac:dyDescent="0.25">
      <c r="D1906" s="94" t="s">
        <v>1963</v>
      </c>
    </row>
    <row r="1907" spans="1:6" x14ac:dyDescent="0.25">
      <c r="A1907" s="62" t="s">
        <v>4398</v>
      </c>
      <c r="B1907" s="96">
        <v>350520</v>
      </c>
      <c r="C1907" s="96" t="str">
        <f t="shared" ref="C1907:C1910" si="207">A1907&amp;B1907</f>
        <v>CPOS350520</v>
      </c>
      <c r="D1907" s="95" t="s">
        <v>1964</v>
      </c>
      <c r="E1907" s="63" t="s">
        <v>117</v>
      </c>
      <c r="F1907" s="64">
        <v>2884.57</v>
      </c>
    </row>
    <row r="1908" spans="1:6" x14ac:dyDescent="0.25">
      <c r="A1908" s="62" t="s">
        <v>4398</v>
      </c>
      <c r="B1908" s="96">
        <v>350521</v>
      </c>
      <c r="C1908" s="96" t="str">
        <f t="shared" si="207"/>
        <v>CPOS350521</v>
      </c>
      <c r="D1908" s="95" t="s">
        <v>1965</v>
      </c>
      <c r="E1908" s="63" t="s">
        <v>117</v>
      </c>
      <c r="F1908" s="64">
        <v>1284.07</v>
      </c>
    </row>
    <row r="1909" spans="1:6" x14ac:dyDescent="0.25">
      <c r="A1909" s="62" t="s">
        <v>4398</v>
      </c>
      <c r="B1909" s="96">
        <v>350522</v>
      </c>
      <c r="C1909" s="96" t="str">
        <f t="shared" si="207"/>
        <v>CPOS350522</v>
      </c>
      <c r="D1909" s="95" t="s">
        <v>1966</v>
      </c>
      <c r="E1909" s="63" t="s">
        <v>117</v>
      </c>
      <c r="F1909" s="64">
        <v>793.19</v>
      </c>
    </row>
    <row r="1910" spans="1:6" x14ac:dyDescent="0.25">
      <c r="A1910" s="62" t="s">
        <v>4398</v>
      </c>
      <c r="B1910" s="96">
        <v>350524</v>
      </c>
      <c r="C1910" s="96" t="str">
        <f t="shared" si="207"/>
        <v>CPOS350524</v>
      </c>
      <c r="D1910" s="95" t="s">
        <v>1967</v>
      </c>
      <c r="E1910" s="63" t="s">
        <v>117</v>
      </c>
      <c r="F1910" s="64">
        <v>1161.47</v>
      </c>
    </row>
    <row r="1911" spans="1:6" x14ac:dyDescent="0.25">
      <c r="D1911" s="94" t="s">
        <v>1968</v>
      </c>
    </row>
    <row r="1912" spans="1:6" x14ac:dyDescent="0.25">
      <c r="A1912" s="62" t="s">
        <v>4398</v>
      </c>
      <c r="B1912" s="96">
        <v>350702</v>
      </c>
      <c r="C1912" s="96" t="str">
        <f t="shared" ref="C1912:C1915" si="208">A1912&amp;B1912</f>
        <v>CPOS350702</v>
      </c>
      <c r="D1912" s="95" t="s">
        <v>1969</v>
      </c>
      <c r="E1912" s="63" t="s">
        <v>117</v>
      </c>
      <c r="F1912" s="64">
        <v>2708.15</v>
      </c>
    </row>
    <row r="1913" spans="1:6" x14ac:dyDescent="0.25">
      <c r="A1913" s="62" t="s">
        <v>4398</v>
      </c>
      <c r="B1913" s="96">
        <v>350703</v>
      </c>
      <c r="C1913" s="96" t="str">
        <f t="shared" si="208"/>
        <v>CPOS350703</v>
      </c>
      <c r="D1913" s="95" t="s">
        <v>1970</v>
      </c>
      <c r="E1913" s="63" t="s">
        <v>117</v>
      </c>
      <c r="F1913" s="64">
        <v>3431.6</v>
      </c>
    </row>
    <row r="1914" spans="1:6" x14ac:dyDescent="0.25">
      <c r="A1914" s="62" t="s">
        <v>4398</v>
      </c>
      <c r="B1914" s="96">
        <v>350706</v>
      </c>
      <c r="C1914" s="96" t="str">
        <f t="shared" si="208"/>
        <v>CPOS350706</v>
      </c>
      <c r="D1914" s="95" t="s">
        <v>1971</v>
      </c>
      <c r="E1914" s="63" t="s">
        <v>58</v>
      </c>
      <c r="F1914" s="64">
        <v>1093.03</v>
      </c>
    </row>
    <row r="1915" spans="1:6" x14ac:dyDescent="0.25">
      <c r="A1915" s="62" t="s">
        <v>4398</v>
      </c>
      <c r="B1915" s="96">
        <v>350707</v>
      </c>
      <c r="C1915" s="96" t="str">
        <f t="shared" si="208"/>
        <v>CPOS350707</v>
      </c>
      <c r="D1915" s="95" t="s">
        <v>1972</v>
      </c>
      <c r="E1915" s="63" t="s">
        <v>58</v>
      </c>
      <c r="F1915" s="64">
        <v>851.9</v>
      </c>
    </row>
    <row r="1916" spans="1:6" x14ac:dyDescent="0.25">
      <c r="D1916" s="94" t="s">
        <v>693</v>
      </c>
    </row>
    <row r="1917" spans="1:6" x14ac:dyDescent="0.25">
      <c r="A1917" s="62" t="s">
        <v>4398</v>
      </c>
      <c r="B1917" s="96">
        <v>352001</v>
      </c>
      <c r="C1917" s="96" t="str">
        <f>A1917&amp;B1917</f>
        <v>CPOS352001</v>
      </c>
      <c r="D1917" s="95" t="s">
        <v>1973</v>
      </c>
      <c r="E1917" s="63" t="s">
        <v>81</v>
      </c>
      <c r="F1917" s="64">
        <v>9.5</v>
      </c>
    </row>
    <row r="1918" spans="1:6" x14ac:dyDescent="0.25">
      <c r="D1918" s="94" t="s">
        <v>1974</v>
      </c>
    </row>
    <row r="1919" spans="1:6" x14ac:dyDescent="0.25">
      <c r="D1919" s="94" t="s">
        <v>1975</v>
      </c>
    </row>
    <row r="1920" spans="1:6" x14ac:dyDescent="0.25">
      <c r="A1920" s="62" t="s">
        <v>4398</v>
      </c>
      <c r="B1920" s="96">
        <v>360124</v>
      </c>
      <c r="C1920" s="96" t="str">
        <f t="shared" ref="C1920:C1922" si="209">A1920&amp;B1920</f>
        <v>CPOS360124</v>
      </c>
      <c r="D1920" s="95" t="s">
        <v>1976</v>
      </c>
      <c r="E1920" s="63" t="s">
        <v>117</v>
      </c>
      <c r="F1920" s="64">
        <v>99304.48</v>
      </c>
    </row>
    <row r="1921" spans="1:6" x14ac:dyDescent="0.25">
      <c r="A1921" s="62" t="s">
        <v>4398</v>
      </c>
      <c r="B1921" s="96">
        <v>360125</v>
      </c>
      <c r="C1921" s="96" t="str">
        <f t="shared" si="209"/>
        <v>CPOS360125</v>
      </c>
      <c r="D1921" s="95" t="s">
        <v>1977</v>
      </c>
      <c r="E1921" s="63" t="s">
        <v>117</v>
      </c>
      <c r="F1921" s="64">
        <v>67604.479999999996</v>
      </c>
    </row>
    <row r="1922" spans="1:6" x14ac:dyDescent="0.25">
      <c r="A1922" s="62" t="s">
        <v>4398</v>
      </c>
      <c r="B1922" s="96">
        <v>360126</v>
      </c>
      <c r="C1922" s="96" t="str">
        <f t="shared" si="209"/>
        <v>CPOS360126</v>
      </c>
      <c r="D1922" s="95" t="s">
        <v>1978</v>
      </c>
      <c r="E1922" s="63" t="s">
        <v>117</v>
      </c>
      <c r="F1922" s="64">
        <v>71678.320000000007</v>
      </c>
    </row>
    <row r="1923" spans="1:6" x14ac:dyDescent="0.25">
      <c r="D1923" s="94" t="s">
        <v>1979</v>
      </c>
    </row>
    <row r="1924" spans="1:6" x14ac:dyDescent="0.25">
      <c r="A1924" s="62" t="s">
        <v>4398</v>
      </c>
      <c r="B1924" s="96">
        <v>360301</v>
      </c>
      <c r="C1924" s="96" t="str">
        <f t="shared" ref="C1924:C1934" si="210">A1924&amp;B1924</f>
        <v>CPOS360301</v>
      </c>
      <c r="D1924" s="95" t="s">
        <v>1980</v>
      </c>
      <c r="E1924" s="63" t="s">
        <v>58</v>
      </c>
      <c r="F1924" s="64">
        <v>174.16</v>
      </c>
    </row>
    <row r="1925" spans="1:6" x14ac:dyDescent="0.25">
      <c r="A1925" s="62" t="s">
        <v>4398</v>
      </c>
      <c r="B1925" s="96">
        <v>360302</v>
      </c>
      <c r="C1925" s="96" t="str">
        <f t="shared" si="210"/>
        <v>CPOS360302</v>
      </c>
      <c r="D1925" s="95" t="s">
        <v>1981</v>
      </c>
      <c r="E1925" s="63" t="s">
        <v>58</v>
      </c>
      <c r="F1925" s="64">
        <v>220.23000000000002</v>
      </c>
    </row>
    <row r="1926" spans="1:6" x14ac:dyDescent="0.25">
      <c r="A1926" s="62" t="s">
        <v>4398</v>
      </c>
      <c r="B1926" s="96">
        <v>360303</v>
      </c>
      <c r="C1926" s="96" t="str">
        <f t="shared" si="210"/>
        <v>CPOS360303</v>
      </c>
      <c r="D1926" s="95" t="s">
        <v>1982</v>
      </c>
      <c r="E1926" s="63" t="s">
        <v>58</v>
      </c>
      <c r="F1926" s="64">
        <v>423.29</v>
      </c>
    </row>
    <row r="1927" spans="1:6" x14ac:dyDescent="0.25">
      <c r="A1927" s="62" t="s">
        <v>4398</v>
      </c>
      <c r="B1927" s="96">
        <v>360305</v>
      </c>
      <c r="C1927" s="96" t="str">
        <f t="shared" si="210"/>
        <v>CPOS360305</v>
      </c>
      <c r="D1927" s="95" t="s">
        <v>1983</v>
      </c>
      <c r="E1927" s="63" t="s">
        <v>58</v>
      </c>
      <c r="F1927" s="64">
        <v>1264.8699999999999</v>
      </c>
    </row>
    <row r="1928" spans="1:6" x14ac:dyDescent="0.25">
      <c r="A1928" s="62" t="s">
        <v>4398</v>
      </c>
      <c r="B1928" s="96">
        <v>360306</v>
      </c>
      <c r="C1928" s="96" t="str">
        <f t="shared" si="210"/>
        <v>CPOS360306</v>
      </c>
      <c r="D1928" s="95" t="s">
        <v>1984</v>
      </c>
      <c r="E1928" s="63" t="s">
        <v>58</v>
      </c>
      <c r="F1928" s="64">
        <v>895.98</v>
      </c>
    </row>
    <row r="1929" spans="1:6" x14ac:dyDescent="0.25">
      <c r="A1929" s="62" t="s">
        <v>4398</v>
      </c>
      <c r="B1929" s="96">
        <v>360308</v>
      </c>
      <c r="C1929" s="96" t="str">
        <f t="shared" si="210"/>
        <v>CPOS360308</v>
      </c>
      <c r="D1929" s="95" t="s">
        <v>1985</v>
      </c>
      <c r="E1929" s="63" t="s">
        <v>58</v>
      </c>
      <c r="F1929" s="64">
        <v>378.54</v>
      </c>
    </row>
    <row r="1930" spans="1:6" x14ac:dyDescent="0.25">
      <c r="A1930" s="62" t="s">
        <v>4398</v>
      </c>
      <c r="B1930" s="96">
        <v>360309</v>
      </c>
      <c r="C1930" s="96" t="str">
        <f t="shared" si="210"/>
        <v>CPOS360309</v>
      </c>
      <c r="D1930" s="95" t="s">
        <v>1986</v>
      </c>
      <c r="E1930" s="63" t="s">
        <v>58</v>
      </c>
      <c r="F1930" s="64">
        <v>1379.73</v>
      </c>
    </row>
    <row r="1931" spans="1:6" ht="30" x14ac:dyDescent="0.25">
      <c r="A1931" s="62" t="s">
        <v>4398</v>
      </c>
      <c r="B1931" s="96">
        <v>360312</v>
      </c>
      <c r="C1931" s="96" t="str">
        <f t="shared" si="210"/>
        <v>CPOS360312</v>
      </c>
      <c r="D1931" s="95" t="s">
        <v>1987</v>
      </c>
      <c r="E1931" s="63" t="s">
        <v>58</v>
      </c>
      <c r="F1931" s="64">
        <v>489.39</v>
      </c>
    </row>
    <row r="1932" spans="1:6" x14ac:dyDescent="0.25">
      <c r="A1932" s="62" t="s">
        <v>4398</v>
      </c>
      <c r="B1932" s="96">
        <v>360313</v>
      </c>
      <c r="C1932" s="96" t="str">
        <f t="shared" si="210"/>
        <v>CPOS360313</v>
      </c>
      <c r="D1932" s="95" t="s">
        <v>1988</v>
      </c>
      <c r="E1932" s="63" t="s">
        <v>58</v>
      </c>
      <c r="F1932" s="64">
        <v>92.83</v>
      </c>
    </row>
    <row r="1933" spans="1:6" x14ac:dyDescent="0.25">
      <c r="A1933" s="62" t="s">
        <v>4398</v>
      </c>
      <c r="B1933" s="96">
        <v>360315</v>
      </c>
      <c r="C1933" s="96" t="str">
        <f t="shared" si="210"/>
        <v>CPOS360315</v>
      </c>
      <c r="D1933" s="95" t="s">
        <v>1989</v>
      </c>
      <c r="E1933" s="63" t="s">
        <v>58</v>
      </c>
      <c r="F1933" s="64">
        <v>218.84</v>
      </c>
    </row>
    <row r="1934" spans="1:6" x14ac:dyDescent="0.25">
      <c r="A1934" s="62" t="s">
        <v>4398</v>
      </c>
      <c r="B1934" s="96">
        <v>360316</v>
      </c>
      <c r="C1934" s="96" t="str">
        <f t="shared" si="210"/>
        <v>CPOS360316</v>
      </c>
      <c r="D1934" s="95" t="s">
        <v>1990</v>
      </c>
      <c r="E1934" s="63" t="s">
        <v>58</v>
      </c>
      <c r="F1934" s="64">
        <v>407.84000000000003</v>
      </c>
    </row>
    <row r="1935" spans="1:6" x14ac:dyDescent="0.25">
      <c r="D1935" s="94" t="s">
        <v>1991</v>
      </c>
    </row>
    <row r="1936" spans="1:6" x14ac:dyDescent="0.25">
      <c r="A1936" s="62" t="s">
        <v>4398</v>
      </c>
      <c r="B1936" s="96">
        <v>360401</v>
      </c>
      <c r="C1936" s="96" t="str">
        <f t="shared" ref="C1936:C1939" si="211">A1936&amp;B1936</f>
        <v>CPOS360401</v>
      </c>
      <c r="D1936" s="95" t="s">
        <v>1992</v>
      </c>
      <c r="E1936" s="63" t="s">
        <v>58</v>
      </c>
      <c r="F1936" s="64">
        <v>16.7</v>
      </c>
    </row>
    <row r="1937" spans="1:6" x14ac:dyDescent="0.25">
      <c r="A1937" s="62" t="s">
        <v>4398</v>
      </c>
      <c r="B1937" s="96">
        <v>360403</v>
      </c>
      <c r="C1937" s="96" t="str">
        <f t="shared" si="211"/>
        <v>CPOS360403</v>
      </c>
      <c r="D1937" s="95" t="s">
        <v>1993</v>
      </c>
      <c r="E1937" s="63" t="s">
        <v>58</v>
      </c>
      <c r="F1937" s="64">
        <v>25.94</v>
      </c>
    </row>
    <row r="1938" spans="1:6" x14ac:dyDescent="0.25">
      <c r="A1938" s="62" t="s">
        <v>4398</v>
      </c>
      <c r="B1938" s="96">
        <v>360405</v>
      </c>
      <c r="C1938" s="96" t="str">
        <f t="shared" si="211"/>
        <v>CPOS360405</v>
      </c>
      <c r="D1938" s="95" t="s">
        <v>1994</v>
      </c>
      <c r="E1938" s="63" t="s">
        <v>58</v>
      </c>
      <c r="F1938" s="64">
        <v>35.15</v>
      </c>
    </row>
    <row r="1939" spans="1:6" x14ac:dyDescent="0.25">
      <c r="A1939" s="62" t="s">
        <v>4398</v>
      </c>
      <c r="B1939" s="96">
        <v>360407</v>
      </c>
      <c r="C1939" s="96" t="str">
        <f t="shared" si="211"/>
        <v>CPOS360407</v>
      </c>
      <c r="D1939" s="95" t="s">
        <v>1995</v>
      </c>
      <c r="E1939" s="63" t="s">
        <v>58</v>
      </c>
      <c r="F1939" s="64">
        <v>44.300000000000004</v>
      </c>
    </row>
    <row r="1940" spans="1:6" x14ac:dyDescent="0.25">
      <c r="D1940" s="94" t="s">
        <v>1996</v>
      </c>
    </row>
    <row r="1941" spans="1:6" x14ac:dyDescent="0.25">
      <c r="A1941" s="62" t="s">
        <v>4398</v>
      </c>
      <c r="B1941" s="96">
        <v>360501</v>
      </c>
      <c r="C1941" s="96" t="str">
        <f t="shared" ref="C1941:C1948" si="212">A1941&amp;B1941</f>
        <v>CPOS360501</v>
      </c>
      <c r="D1941" s="95" t="s">
        <v>1997</v>
      </c>
      <c r="E1941" s="63" t="s">
        <v>58</v>
      </c>
      <c r="F1941" s="64">
        <v>17.86</v>
      </c>
    </row>
    <row r="1942" spans="1:6" x14ac:dyDescent="0.25">
      <c r="A1942" s="62" t="s">
        <v>4398</v>
      </c>
      <c r="B1942" s="96">
        <v>360502</v>
      </c>
      <c r="C1942" s="96" t="str">
        <f t="shared" si="212"/>
        <v>CPOS360502</v>
      </c>
      <c r="D1942" s="95" t="s">
        <v>1998</v>
      </c>
      <c r="E1942" s="63" t="s">
        <v>58</v>
      </c>
      <c r="F1942" s="64">
        <v>10.82</v>
      </c>
    </row>
    <row r="1943" spans="1:6" x14ac:dyDescent="0.25">
      <c r="A1943" s="62" t="s">
        <v>4398</v>
      </c>
      <c r="B1943" s="96">
        <v>360503</v>
      </c>
      <c r="C1943" s="96" t="str">
        <f t="shared" si="212"/>
        <v>CPOS360503</v>
      </c>
      <c r="D1943" s="95" t="s">
        <v>1999</v>
      </c>
      <c r="E1943" s="63" t="s">
        <v>58</v>
      </c>
      <c r="F1943" s="64">
        <v>70.8</v>
      </c>
    </row>
    <row r="1944" spans="1:6" x14ac:dyDescent="0.25">
      <c r="A1944" s="62" t="s">
        <v>4398</v>
      </c>
      <c r="B1944" s="96">
        <v>360504</v>
      </c>
      <c r="C1944" s="96" t="str">
        <f t="shared" si="212"/>
        <v>CPOS360504</v>
      </c>
      <c r="D1944" s="95" t="s">
        <v>2000</v>
      </c>
      <c r="E1944" s="63" t="s">
        <v>58</v>
      </c>
      <c r="F1944" s="64">
        <v>42.06</v>
      </c>
    </row>
    <row r="1945" spans="1:6" x14ac:dyDescent="0.25">
      <c r="A1945" s="62" t="s">
        <v>4398</v>
      </c>
      <c r="B1945" s="96">
        <v>360507</v>
      </c>
      <c r="C1945" s="96" t="str">
        <f t="shared" si="212"/>
        <v>CPOS360507</v>
      </c>
      <c r="D1945" s="95" t="s">
        <v>2001</v>
      </c>
      <c r="E1945" s="63" t="s">
        <v>58</v>
      </c>
      <c r="F1945" s="64">
        <v>60.9</v>
      </c>
    </row>
    <row r="1946" spans="1:6" x14ac:dyDescent="0.25">
      <c r="A1946" s="62" t="s">
        <v>4398</v>
      </c>
      <c r="B1946" s="96">
        <v>360508</v>
      </c>
      <c r="C1946" s="96" t="str">
        <f t="shared" si="212"/>
        <v>CPOS360508</v>
      </c>
      <c r="D1946" s="95" t="s">
        <v>2002</v>
      </c>
      <c r="E1946" s="63" t="s">
        <v>58</v>
      </c>
      <c r="F1946" s="64">
        <v>45.37</v>
      </c>
    </row>
    <row r="1947" spans="1:6" x14ac:dyDescent="0.25">
      <c r="A1947" s="62" t="s">
        <v>4398</v>
      </c>
      <c r="B1947" s="96">
        <v>360510</v>
      </c>
      <c r="C1947" s="96" t="str">
        <f t="shared" si="212"/>
        <v>CPOS360510</v>
      </c>
      <c r="D1947" s="95" t="s">
        <v>2003</v>
      </c>
      <c r="E1947" s="63" t="s">
        <v>58</v>
      </c>
      <c r="F1947" s="64">
        <v>68.14</v>
      </c>
    </row>
    <row r="1948" spans="1:6" x14ac:dyDescent="0.25">
      <c r="A1948" s="62" t="s">
        <v>4398</v>
      </c>
      <c r="B1948" s="96">
        <v>360511</v>
      </c>
      <c r="C1948" s="96" t="str">
        <f t="shared" si="212"/>
        <v>CPOS360511</v>
      </c>
      <c r="D1948" s="95" t="s">
        <v>2004</v>
      </c>
      <c r="E1948" s="63" t="s">
        <v>58</v>
      </c>
      <c r="F1948" s="64">
        <v>76.52</v>
      </c>
    </row>
    <row r="1949" spans="1:6" x14ac:dyDescent="0.25">
      <c r="D1949" s="94" t="s">
        <v>2005</v>
      </c>
    </row>
    <row r="1950" spans="1:6" x14ac:dyDescent="0.25">
      <c r="A1950" s="62" t="s">
        <v>4398</v>
      </c>
      <c r="B1950" s="96">
        <v>360601</v>
      </c>
      <c r="C1950" s="96" t="str">
        <f t="shared" ref="C1950:C1953" si="213">A1950&amp;B1950</f>
        <v>CPOS360601</v>
      </c>
      <c r="D1950" s="95" t="s">
        <v>2006</v>
      </c>
      <c r="E1950" s="63" t="s">
        <v>117</v>
      </c>
      <c r="F1950" s="64">
        <v>313.48</v>
      </c>
    </row>
    <row r="1951" spans="1:6" x14ac:dyDescent="0.25">
      <c r="A1951" s="62" t="s">
        <v>4398</v>
      </c>
      <c r="B1951" s="96">
        <v>360603</v>
      </c>
      <c r="C1951" s="96" t="str">
        <f t="shared" si="213"/>
        <v>CPOS360603</v>
      </c>
      <c r="D1951" s="95" t="s">
        <v>2007</v>
      </c>
      <c r="E1951" s="63" t="s">
        <v>117</v>
      </c>
      <c r="F1951" s="64">
        <v>319.38</v>
      </c>
    </row>
    <row r="1952" spans="1:6" x14ac:dyDescent="0.25">
      <c r="A1952" s="62" t="s">
        <v>4398</v>
      </c>
      <c r="B1952" s="96">
        <v>360606</v>
      </c>
      <c r="C1952" s="96" t="str">
        <f t="shared" si="213"/>
        <v>CPOS360606</v>
      </c>
      <c r="D1952" s="95" t="s">
        <v>2008</v>
      </c>
      <c r="E1952" s="63" t="s">
        <v>117</v>
      </c>
      <c r="F1952" s="64">
        <v>312.56</v>
      </c>
    </row>
    <row r="1953" spans="1:6" x14ac:dyDescent="0.25">
      <c r="A1953" s="62" t="s">
        <v>4398</v>
      </c>
      <c r="B1953" s="96">
        <v>360608</v>
      </c>
      <c r="C1953" s="96" t="str">
        <f t="shared" si="213"/>
        <v>CPOS360608</v>
      </c>
      <c r="D1953" s="95" t="s">
        <v>2009</v>
      </c>
      <c r="E1953" s="63" t="s">
        <v>117</v>
      </c>
      <c r="F1953" s="64">
        <v>275.42</v>
      </c>
    </row>
    <row r="1954" spans="1:6" x14ac:dyDescent="0.25">
      <c r="D1954" s="94" t="s">
        <v>2010</v>
      </c>
    </row>
    <row r="1955" spans="1:6" x14ac:dyDescent="0.25">
      <c r="A1955" s="62" t="s">
        <v>4398</v>
      </c>
      <c r="B1955" s="96">
        <v>360701</v>
      </c>
      <c r="C1955" s="96" t="str">
        <f t="shared" ref="C1955:C1959" si="214">A1955&amp;B1955</f>
        <v>CPOS360701</v>
      </c>
      <c r="D1955" s="95" t="s">
        <v>2011</v>
      </c>
      <c r="E1955" s="63" t="s">
        <v>58</v>
      </c>
      <c r="F1955" s="64">
        <v>137.55000000000001</v>
      </c>
    </row>
    <row r="1956" spans="1:6" ht="30" x14ac:dyDescent="0.25">
      <c r="A1956" s="62" t="s">
        <v>4398</v>
      </c>
      <c r="B1956" s="96">
        <v>360703</v>
      </c>
      <c r="C1956" s="96" t="str">
        <f t="shared" si="214"/>
        <v>CPOS360703</v>
      </c>
      <c r="D1956" s="95" t="s">
        <v>2012</v>
      </c>
      <c r="E1956" s="63" t="s">
        <v>58</v>
      </c>
      <c r="F1956" s="64">
        <v>142.57</v>
      </c>
    </row>
    <row r="1957" spans="1:6" x14ac:dyDescent="0.25">
      <c r="A1957" s="62" t="s">
        <v>4398</v>
      </c>
      <c r="B1957" s="96">
        <v>360705</v>
      </c>
      <c r="C1957" s="96" t="str">
        <f t="shared" si="214"/>
        <v>CPOS360705</v>
      </c>
      <c r="D1957" s="95" t="s">
        <v>2013</v>
      </c>
      <c r="E1957" s="63" t="s">
        <v>58</v>
      </c>
      <c r="F1957" s="64">
        <v>148.97</v>
      </c>
    </row>
    <row r="1958" spans="1:6" ht="30" x14ac:dyDescent="0.25">
      <c r="A1958" s="62" t="s">
        <v>4398</v>
      </c>
      <c r="B1958" s="96">
        <v>360706</v>
      </c>
      <c r="C1958" s="96" t="str">
        <f t="shared" si="214"/>
        <v>CPOS360706</v>
      </c>
      <c r="D1958" s="95" t="s">
        <v>2014</v>
      </c>
      <c r="E1958" s="63" t="s">
        <v>58</v>
      </c>
      <c r="F1958" s="64">
        <v>158.07</v>
      </c>
    </row>
    <row r="1959" spans="1:6" x14ac:dyDescent="0.25">
      <c r="A1959" s="62" t="s">
        <v>4398</v>
      </c>
      <c r="B1959" s="96">
        <v>360707</v>
      </c>
      <c r="C1959" s="96" t="str">
        <f t="shared" si="214"/>
        <v>CPOS360707</v>
      </c>
      <c r="D1959" s="95" t="s">
        <v>2015</v>
      </c>
      <c r="E1959" s="63" t="s">
        <v>58</v>
      </c>
      <c r="F1959" s="64">
        <v>198.76</v>
      </c>
    </row>
    <row r="1960" spans="1:6" x14ac:dyDescent="0.25">
      <c r="D1960" s="94" t="s">
        <v>2016</v>
      </c>
    </row>
    <row r="1961" spans="1:6" ht="30" x14ac:dyDescent="0.25">
      <c r="A1961" s="62" t="s">
        <v>4398</v>
      </c>
      <c r="B1961" s="96">
        <v>360801</v>
      </c>
      <c r="C1961" s="96" t="str">
        <f t="shared" ref="C1961:C1972" si="215">A1961&amp;B1961</f>
        <v>CPOS360801</v>
      </c>
      <c r="D1961" s="95" t="s">
        <v>2017</v>
      </c>
      <c r="E1961" s="63" t="s">
        <v>58</v>
      </c>
      <c r="F1961" s="64">
        <v>42638.99</v>
      </c>
    </row>
    <row r="1962" spans="1:6" ht="30" x14ac:dyDescent="0.25">
      <c r="A1962" s="62" t="s">
        <v>4398</v>
      </c>
      <c r="B1962" s="96">
        <v>360803</v>
      </c>
      <c r="C1962" s="96" t="str">
        <f t="shared" si="215"/>
        <v>CPOS360803</v>
      </c>
      <c r="D1962" s="95" t="s">
        <v>2018</v>
      </c>
      <c r="E1962" s="63" t="s">
        <v>58</v>
      </c>
      <c r="F1962" s="64">
        <v>107530.26000000001</v>
      </c>
    </row>
    <row r="1963" spans="1:6" ht="30" x14ac:dyDescent="0.25">
      <c r="A1963" s="62" t="s">
        <v>4398</v>
      </c>
      <c r="B1963" s="96">
        <v>360804</v>
      </c>
      <c r="C1963" s="96" t="str">
        <f t="shared" si="215"/>
        <v>CPOS360804</v>
      </c>
      <c r="D1963" s="95" t="s">
        <v>2019</v>
      </c>
      <c r="E1963" s="63" t="s">
        <v>58</v>
      </c>
      <c r="F1963" s="64">
        <v>148128.76</v>
      </c>
    </row>
    <row r="1964" spans="1:6" ht="53.25" customHeight="1" x14ac:dyDescent="0.25">
      <c r="A1964" s="62" t="s">
        <v>4398</v>
      </c>
      <c r="B1964" s="96">
        <v>360805</v>
      </c>
      <c r="C1964" s="96" t="str">
        <f t="shared" si="215"/>
        <v>CPOS360805</v>
      </c>
      <c r="D1964" s="95" t="s">
        <v>2020</v>
      </c>
      <c r="E1964" s="63" t="s">
        <v>58</v>
      </c>
      <c r="F1964" s="64">
        <v>59048.01</v>
      </c>
    </row>
    <row r="1965" spans="1:6" ht="30" x14ac:dyDescent="0.25">
      <c r="A1965" s="62" t="s">
        <v>4398</v>
      </c>
      <c r="B1965" s="96">
        <v>360806</v>
      </c>
      <c r="C1965" s="96" t="str">
        <f t="shared" si="215"/>
        <v>CPOS360806</v>
      </c>
      <c r="D1965" s="95" t="s">
        <v>2021</v>
      </c>
      <c r="E1965" s="63" t="s">
        <v>58</v>
      </c>
      <c r="F1965" s="64">
        <v>68615.360000000001</v>
      </c>
    </row>
    <row r="1966" spans="1:6" ht="30" x14ac:dyDescent="0.25">
      <c r="A1966" s="62" t="s">
        <v>4398</v>
      </c>
      <c r="B1966" s="96">
        <v>360807</v>
      </c>
      <c r="C1966" s="96" t="str">
        <f t="shared" si="215"/>
        <v>CPOS360807</v>
      </c>
      <c r="D1966" s="95" t="s">
        <v>2022</v>
      </c>
      <c r="E1966" s="63" t="s">
        <v>58</v>
      </c>
      <c r="F1966" s="64">
        <v>153817.26</v>
      </c>
    </row>
    <row r="1967" spans="1:6" ht="30" x14ac:dyDescent="0.25">
      <c r="A1967" s="62" t="s">
        <v>4398</v>
      </c>
      <c r="B1967" s="96">
        <v>360809</v>
      </c>
      <c r="C1967" s="96" t="str">
        <f t="shared" si="215"/>
        <v>CPOS360809</v>
      </c>
      <c r="D1967" s="95" t="s">
        <v>2023</v>
      </c>
      <c r="E1967" s="63" t="s">
        <v>58</v>
      </c>
      <c r="F1967" s="64">
        <v>49864.200000000004</v>
      </c>
    </row>
    <row r="1968" spans="1:6" ht="30" x14ac:dyDescent="0.25">
      <c r="A1968" s="62" t="s">
        <v>4398</v>
      </c>
      <c r="B1968" s="96">
        <v>360810</v>
      </c>
      <c r="C1968" s="96" t="str">
        <f t="shared" si="215"/>
        <v>CPOS360810</v>
      </c>
      <c r="D1968" s="95" t="s">
        <v>2024</v>
      </c>
      <c r="E1968" s="63" t="s">
        <v>58</v>
      </c>
      <c r="F1968" s="64">
        <v>46035.9</v>
      </c>
    </row>
    <row r="1969" spans="1:6" ht="30" x14ac:dyDescent="0.25">
      <c r="A1969" s="62" t="s">
        <v>4398</v>
      </c>
      <c r="B1969" s="96">
        <v>360811</v>
      </c>
      <c r="C1969" s="96" t="str">
        <f t="shared" si="215"/>
        <v>CPOS360811</v>
      </c>
      <c r="D1969" s="95" t="s">
        <v>2025</v>
      </c>
      <c r="E1969" s="63" t="s">
        <v>58</v>
      </c>
      <c r="F1969" s="64">
        <v>86977.01</v>
      </c>
    </row>
    <row r="1970" spans="1:6" ht="30" x14ac:dyDescent="0.25">
      <c r="A1970" s="62" t="s">
        <v>4398</v>
      </c>
      <c r="B1970" s="96">
        <v>360829</v>
      </c>
      <c r="C1970" s="96" t="str">
        <f t="shared" si="215"/>
        <v>CPOS360829</v>
      </c>
      <c r="D1970" s="95" t="s">
        <v>2026</v>
      </c>
      <c r="E1970" s="63" t="s">
        <v>58</v>
      </c>
      <c r="F1970" s="64">
        <v>181334.2</v>
      </c>
    </row>
    <row r="1971" spans="1:6" ht="30" x14ac:dyDescent="0.25">
      <c r="A1971" s="62" t="s">
        <v>4398</v>
      </c>
      <c r="B1971" s="96">
        <v>360835</v>
      </c>
      <c r="C1971" s="96" t="str">
        <f t="shared" si="215"/>
        <v>CPOS360835</v>
      </c>
      <c r="D1971" s="95" t="s">
        <v>2027</v>
      </c>
      <c r="E1971" s="63" t="s">
        <v>58</v>
      </c>
      <c r="F1971" s="64">
        <v>69357.2</v>
      </c>
    </row>
    <row r="1972" spans="1:6" ht="30" x14ac:dyDescent="0.25">
      <c r="A1972" s="62" t="s">
        <v>4398</v>
      </c>
      <c r="B1972" s="96">
        <v>360854</v>
      </c>
      <c r="C1972" s="96" t="str">
        <f t="shared" si="215"/>
        <v>CPOS360854</v>
      </c>
      <c r="D1972" s="95" t="s">
        <v>2028</v>
      </c>
      <c r="E1972" s="63" t="s">
        <v>117</v>
      </c>
      <c r="F1972" s="64">
        <v>187184.2</v>
      </c>
    </row>
    <row r="1973" spans="1:6" x14ac:dyDescent="0.25">
      <c r="D1973" s="94" t="s">
        <v>2029</v>
      </c>
    </row>
    <row r="1974" spans="1:6" x14ac:dyDescent="0.25">
      <c r="A1974" s="62" t="s">
        <v>4398</v>
      </c>
      <c r="B1974" s="96">
        <v>360902</v>
      </c>
      <c r="C1974" s="96" t="str">
        <f t="shared" ref="C1974:C1999" si="216">A1974&amp;B1974</f>
        <v>CPOS360902</v>
      </c>
      <c r="D1974" s="95" t="s">
        <v>2030</v>
      </c>
      <c r="E1974" s="63" t="s">
        <v>58</v>
      </c>
      <c r="F1974" s="64">
        <v>15277.61</v>
      </c>
    </row>
    <row r="1975" spans="1:6" x14ac:dyDescent="0.25">
      <c r="A1975" s="62" t="s">
        <v>4398</v>
      </c>
      <c r="B1975" s="96">
        <v>360903</v>
      </c>
      <c r="C1975" s="96" t="str">
        <f t="shared" si="216"/>
        <v>CPOS360903</v>
      </c>
      <c r="D1975" s="95" t="s">
        <v>2031</v>
      </c>
      <c r="E1975" s="63" t="s">
        <v>58</v>
      </c>
      <c r="F1975" s="64">
        <v>11905.75</v>
      </c>
    </row>
    <row r="1976" spans="1:6" x14ac:dyDescent="0.25">
      <c r="A1976" s="62" t="s">
        <v>4398</v>
      </c>
      <c r="B1976" s="96">
        <v>360905</v>
      </c>
      <c r="C1976" s="96" t="str">
        <f t="shared" si="216"/>
        <v>CPOS360905</v>
      </c>
      <c r="D1976" s="95" t="s">
        <v>2032</v>
      </c>
      <c r="E1976" s="63" t="s">
        <v>58</v>
      </c>
      <c r="F1976" s="64">
        <v>10907.710000000001</v>
      </c>
    </row>
    <row r="1977" spans="1:6" x14ac:dyDescent="0.25">
      <c r="A1977" s="62" t="s">
        <v>4398</v>
      </c>
      <c r="B1977" s="96">
        <v>360906</v>
      </c>
      <c r="C1977" s="96" t="str">
        <f t="shared" si="216"/>
        <v>CPOS360906</v>
      </c>
      <c r="D1977" s="95" t="s">
        <v>2033</v>
      </c>
      <c r="E1977" s="63" t="s">
        <v>58</v>
      </c>
      <c r="F1977" s="64">
        <v>42946.91</v>
      </c>
    </row>
    <row r="1978" spans="1:6" x14ac:dyDescent="0.25">
      <c r="A1978" s="62" t="s">
        <v>4398</v>
      </c>
      <c r="B1978" s="96">
        <v>360907</v>
      </c>
      <c r="C1978" s="96" t="str">
        <f t="shared" si="216"/>
        <v>CPOS360907</v>
      </c>
      <c r="D1978" s="95" t="s">
        <v>2034</v>
      </c>
      <c r="E1978" s="63" t="s">
        <v>58</v>
      </c>
      <c r="F1978" s="64">
        <v>71911.83</v>
      </c>
    </row>
    <row r="1979" spans="1:6" x14ac:dyDescent="0.25">
      <c r="A1979" s="62" t="s">
        <v>4398</v>
      </c>
      <c r="B1979" s="96">
        <v>360910</v>
      </c>
      <c r="C1979" s="96" t="str">
        <f t="shared" si="216"/>
        <v>CPOS360910</v>
      </c>
      <c r="D1979" s="95" t="s">
        <v>2035</v>
      </c>
      <c r="E1979" s="63" t="s">
        <v>58</v>
      </c>
      <c r="F1979" s="64">
        <v>2317.66</v>
      </c>
    </row>
    <row r="1980" spans="1:6" x14ac:dyDescent="0.25">
      <c r="A1980" s="62" t="s">
        <v>4398</v>
      </c>
      <c r="B1980" s="96">
        <v>360911</v>
      </c>
      <c r="C1980" s="96" t="str">
        <f t="shared" si="216"/>
        <v>CPOS360911</v>
      </c>
      <c r="D1980" s="95" t="s">
        <v>2036</v>
      </c>
      <c r="E1980" s="63" t="s">
        <v>58</v>
      </c>
      <c r="F1980" s="64">
        <v>3000.4900000000002</v>
      </c>
    </row>
    <row r="1981" spans="1:6" x14ac:dyDescent="0.25">
      <c r="A1981" s="62" t="s">
        <v>4398</v>
      </c>
      <c r="B1981" s="96">
        <v>360913</v>
      </c>
      <c r="C1981" s="96" t="str">
        <f t="shared" si="216"/>
        <v>CPOS360913</v>
      </c>
      <c r="D1981" s="95" t="s">
        <v>2037</v>
      </c>
      <c r="E1981" s="63" t="s">
        <v>58</v>
      </c>
      <c r="F1981" s="64">
        <v>5112.16</v>
      </c>
    </row>
    <row r="1982" spans="1:6" x14ac:dyDescent="0.25">
      <c r="A1982" s="62" t="s">
        <v>4398</v>
      </c>
      <c r="B1982" s="96">
        <v>360915</v>
      </c>
      <c r="C1982" s="96" t="str">
        <f t="shared" si="216"/>
        <v>CPOS360915</v>
      </c>
      <c r="D1982" s="95" t="s">
        <v>2038</v>
      </c>
      <c r="E1982" s="63" t="s">
        <v>58</v>
      </c>
      <c r="F1982" s="64">
        <v>7643.3600000000006</v>
      </c>
    </row>
    <row r="1983" spans="1:6" x14ac:dyDescent="0.25">
      <c r="A1983" s="62" t="s">
        <v>4398</v>
      </c>
      <c r="B1983" s="96">
        <v>360916</v>
      </c>
      <c r="C1983" s="96" t="str">
        <f t="shared" si="216"/>
        <v>CPOS360916</v>
      </c>
      <c r="D1983" s="95" t="s">
        <v>2039</v>
      </c>
      <c r="E1983" s="63" t="s">
        <v>58</v>
      </c>
      <c r="F1983" s="64">
        <v>16490.080000000002</v>
      </c>
    </row>
    <row r="1984" spans="1:6" x14ac:dyDescent="0.25">
      <c r="A1984" s="62" t="s">
        <v>4398</v>
      </c>
      <c r="B1984" s="96">
        <v>360917</v>
      </c>
      <c r="C1984" s="96" t="str">
        <f t="shared" si="216"/>
        <v>CPOS360917</v>
      </c>
      <c r="D1984" s="95" t="s">
        <v>2040</v>
      </c>
      <c r="E1984" s="63" t="s">
        <v>58</v>
      </c>
      <c r="F1984" s="64">
        <v>17535.22</v>
      </c>
    </row>
    <row r="1985" spans="1:6" x14ac:dyDescent="0.25">
      <c r="A1985" s="62" t="s">
        <v>4398</v>
      </c>
      <c r="B1985" s="96">
        <v>360918</v>
      </c>
      <c r="C1985" s="96" t="str">
        <f t="shared" si="216"/>
        <v>CPOS360918</v>
      </c>
      <c r="D1985" s="95" t="s">
        <v>2041</v>
      </c>
      <c r="E1985" s="63" t="s">
        <v>58</v>
      </c>
      <c r="F1985" s="64">
        <v>8764.7999999999993</v>
      </c>
    </row>
    <row r="1986" spans="1:6" x14ac:dyDescent="0.25">
      <c r="A1986" s="62" t="s">
        <v>4398</v>
      </c>
      <c r="B1986" s="96">
        <v>360922</v>
      </c>
      <c r="C1986" s="96" t="str">
        <f t="shared" si="216"/>
        <v>CPOS360922</v>
      </c>
      <c r="D1986" s="95" t="s">
        <v>2042</v>
      </c>
      <c r="E1986" s="63" t="s">
        <v>58</v>
      </c>
      <c r="F1986" s="64">
        <v>49947.68</v>
      </c>
    </row>
    <row r="1987" spans="1:6" x14ac:dyDescent="0.25">
      <c r="A1987" s="62" t="s">
        <v>4398</v>
      </c>
      <c r="B1987" s="96">
        <v>360923</v>
      </c>
      <c r="C1987" s="96" t="str">
        <f t="shared" si="216"/>
        <v>CPOS360923</v>
      </c>
      <c r="D1987" s="95" t="s">
        <v>2043</v>
      </c>
      <c r="E1987" s="63" t="s">
        <v>58</v>
      </c>
      <c r="F1987" s="64">
        <v>7871.51</v>
      </c>
    </row>
    <row r="1988" spans="1:6" x14ac:dyDescent="0.25">
      <c r="A1988" s="62" t="s">
        <v>4398</v>
      </c>
      <c r="B1988" s="96">
        <v>360925</v>
      </c>
      <c r="C1988" s="96" t="str">
        <f t="shared" si="216"/>
        <v>CPOS360925</v>
      </c>
      <c r="D1988" s="95" t="s">
        <v>2044</v>
      </c>
      <c r="E1988" s="63" t="s">
        <v>58</v>
      </c>
      <c r="F1988" s="64">
        <v>29347.850000000002</v>
      </c>
    </row>
    <row r="1989" spans="1:6" x14ac:dyDescent="0.25">
      <c r="A1989" s="62" t="s">
        <v>4398</v>
      </c>
      <c r="B1989" s="96">
        <v>360930</v>
      </c>
      <c r="C1989" s="96" t="str">
        <f t="shared" si="216"/>
        <v>CPOS360930</v>
      </c>
      <c r="D1989" s="95" t="s">
        <v>2045</v>
      </c>
      <c r="E1989" s="63" t="s">
        <v>58</v>
      </c>
      <c r="F1989" s="64">
        <v>38642.230000000003</v>
      </c>
    </row>
    <row r="1990" spans="1:6" x14ac:dyDescent="0.25">
      <c r="A1990" s="62" t="s">
        <v>4398</v>
      </c>
      <c r="B1990" s="96">
        <v>360936</v>
      </c>
      <c r="C1990" s="96" t="str">
        <f t="shared" si="216"/>
        <v>CPOS360936</v>
      </c>
      <c r="D1990" s="95" t="s">
        <v>2046</v>
      </c>
      <c r="E1990" s="63" t="s">
        <v>58</v>
      </c>
      <c r="F1990" s="64">
        <v>66231.100000000006</v>
      </c>
    </row>
    <row r="1991" spans="1:6" x14ac:dyDescent="0.25">
      <c r="A1991" s="62" t="s">
        <v>4398</v>
      </c>
      <c r="B1991" s="96">
        <v>360937</v>
      </c>
      <c r="C1991" s="96" t="str">
        <f t="shared" si="216"/>
        <v>CPOS360937</v>
      </c>
      <c r="D1991" s="95" t="s">
        <v>2047</v>
      </c>
      <c r="E1991" s="63" t="s">
        <v>58</v>
      </c>
      <c r="F1991" s="64">
        <v>40365.019999999997</v>
      </c>
    </row>
    <row r="1992" spans="1:6" x14ac:dyDescent="0.25">
      <c r="A1992" s="62" t="s">
        <v>4398</v>
      </c>
      <c r="B1992" s="96">
        <v>360941</v>
      </c>
      <c r="C1992" s="96" t="str">
        <f t="shared" si="216"/>
        <v>CPOS360941</v>
      </c>
      <c r="D1992" s="95" t="s">
        <v>2048</v>
      </c>
      <c r="E1992" s="63" t="s">
        <v>58</v>
      </c>
      <c r="F1992" s="64">
        <v>10914.03</v>
      </c>
    </row>
    <row r="1993" spans="1:6" x14ac:dyDescent="0.25">
      <c r="A1993" s="62" t="s">
        <v>4398</v>
      </c>
      <c r="B1993" s="96">
        <v>360944</v>
      </c>
      <c r="C1993" s="96" t="str">
        <f t="shared" si="216"/>
        <v>CPOS360944</v>
      </c>
      <c r="D1993" s="95" t="s">
        <v>2049</v>
      </c>
      <c r="E1993" s="63" t="s">
        <v>58</v>
      </c>
      <c r="F1993" s="64">
        <v>61265.8</v>
      </c>
    </row>
    <row r="1994" spans="1:6" ht="30" x14ac:dyDescent="0.25">
      <c r="A1994" s="62" t="s">
        <v>4398</v>
      </c>
      <c r="B1994" s="96">
        <v>360948</v>
      </c>
      <c r="C1994" s="96" t="str">
        <f t="shared" si="216"/>
        <v>CPOS360948</v>
      </c>
      <c r="D1994" s="95" t="s">
        <v>2050</v>
      </c>
      <c r="E1994" s="63" t="s">
        <v>58</v>
      </c>
      <c r="F1994" s="64">
        <v>17459.29</v>
      </c>
    </row>
    <row r="1995" spans="1:6" x14ac:dyDescent="0.25">
      <c r="A1995" s="62" t="s">
        <v>4398</v>
      </c>
      <c r="B1995" s="96">
        <v>360949</v>
      </c>
      <c r="C1995" s="96" t="str">
        <f t="shared" si="216"/>
        <v>CPOS360949</v>
      </c>
      <c r="D1995" s="95" t="s">
        <v>2051</v>
      </c>
      <c r="E1995" s="63" t="s">
        <v>58</v>
      </c>
      <c r="F1995" s="64">
        <v>18070.63</v>
      </c>
    </row>
    <row r="1996" spans="1:6" ht="30" x14ac:dyDescent="0.25">
      <c r="A1996" s="62" t="s">
        <v>4398</v>
      </c>
      <c r="B1996" s="96">
        <v>360967</v>
      </c>
      <c r="C1996" s="96" t="str">
        <f t="shared" si="216"/>
        <v>CPOS360967</v>
      </c>
      <c r="D1996" s="95" t="s">
        <v>2052</v>
      </c>
      <c r="E1996" s="63" t="s">
        <v>58</v>
      </c>
      <c r="F1996" s="64">
        <v>15706.880000000001</v>
      </c>
    </row>
    <row r="1997" spans="1:6" ht="30" x14ac:dyDescent="0.25">
      <c r="A1997" s="62" t="s">
        <v>4398</v>
      </c>
      <c r="B1997" s="96">
        <v>360968</v>
      </c>
      <c r="C1997" s="96" t="str">
        <f t="shared" si="216"/>
        <v>CPOS360968</v>
      </c>
      <c r="D1997" s="95" t="s">
        <v>2053</v>
      </c>
      <c r="E1997" s="63" t="s">
        <v>58</v>
      </c>
      <c r="F1997" s="64">
        <v>52651.520000000004</v>
      </c>
    </row>
    <row r="1998" spans="1:6" x14ac:dyDescent="0.25">
      <c r="A1998" s="62" t="s">
        <v>4398</v>
      </c>
      <c r="B1998" s="96">
        <v>360969</v>
      </c>
      <c r="C1998" s="96" t="str">
        <f t="shared" si="216"/>
        <v>CPOS360969</v>
      </c>
      <c r="D1998" s="95" t="s">
        <v>2054</v>
      </c>
      <c r="E1998" s="63" t="s">
        <v>58</v>
      </c>
      <c r="F1998" s="64">
        <v>14047.2</v>
      </c>
    </row>
    <row r="1999" spans="1:6" ht="30" x14ac:dyDescent="0.25">
      <c r="A1999" s="62" t="s">
        <v>4398</v>
      </c>
      <c r="B1999" s="96">
        <v>360970</v>
      </c>
      <c r="C1999" s="96" t="str">
        <f t="shared" si="216"/>
        <v>CPOS360970</v>
      </c>
      <c r="D1999" s="95" t="s">
        <v>2055</v>
      </c>
      <c r="E1999" s="63" t="s">
        <v>58</v>
      </c>
      <c r="F1999" s="64">
        <v>51460.1</v>
      </c>
    </row>
    <row r="2000" spans="1:6" x14ac:dyDescent="0.25">
      <c r="D2000" s="94" t="s">
        <v>693</v>
      </c>
    </row>
    <row r="2001" spans="1:6" x14ac:dyDescent="0.25">
      <c r="A2001" s="62" t="s">
        <v>4398</v>
      </c>
      <c r="B2001" s="96">
        <v>362001</v>
      </c>
      <c r="C2001" s="96" t="str">
        <f t="shared" ref="C2001:C2030" si="217">A2001&amp;B2001</f>
        <v>CPOS362001</v>
      </c>
      <c r="D2001" s="95" t="s">
        <v>2056</v>
      </c>
      <c r="E2001" s="63" t="s">
        <v>110</v>
      </c>
      <c r="F2001" s="64">
        <v>34.86</v>
      </c>
    </row>
    <row r="2002" spans="1:6" x14ac:dyDescent="0.25">
      <c r="A2002" s="62" t="s">
        <v>4398</v>
      </c>
      <c r="B2002" s="96">
        <v>362003</v>
      </c>
      <c r="C2002" s="96" t="str">
        <f t="shared" si="217"/>
        <v>CPOS362003</v>
      </c>
      <c r="D2002" s="95" t="s">
        <v>2057</v>
      </c>
      <c r="E2002" s="63" t="s">
        <v>58</v>
      </c>
      <c r="F2002" s="64">
        <v>26.310000000000002</v>
      </c>
    </row>
    <row r="2003" spans="1:6" x14ac:dyDescent="0.25">
      <c r="A2003" s="62" t="s">
        <v>4398</v>
      </c>
      <c r="B2003" s="96">
        <v>362004</v>
      </c>
      <c r="C2003" s="96" t="str">
        <f t="shared" si="217"/>
        <v>CPOS362004</v>
      </c>
      <c r="D2003" s="95" t="s">
        <v>2058</v>
      </c>
      <c r="E2003" s="63" t="s">
        <v>58</v>
      </c>
      <c r="F2003" s="64">
        <v>868.98</v>
      </c>
    </row>
    <row r="2004" spans="1:6" x14ac:dyDescent="0.25">
      <c r="A2004" s="62" t="s">
        <v>4398</v>
      </c>
      <c r="B2004" s="96">
        <v>362005</v>
      </c>
      <c r="C2004" s="96" t="str">
        <f t="shared" si="217"/>
        <v>CPOS362005</v>
      </c>
      <c r="D2004" s="95" t="s">
        <v>2059</v>
      </c>
      <c r="E2004" s="63" t="s">
        <v>58</v>
      </c>
      <c r="F2004" s="64">
        <v>15.66</v>
      </c>
    </row>
    <row r="2005" spans="1:6" x14ac:dyDescent="0.25">
      <c r="A2005" s="62" t="s">
        <v>4398</v>
      </c>
      <c r="B2005" s="96">
        <v>362006</v>
      </c>
      <c r="C2005" s="96" t="str">
        <f t="shared" si="217"/>
        <v>CPOS362006</v>
      </c>
      <c r="D2005" s="95" t="s">
        <v>2060</v>
      </c>
      <c r="E2005" s="63" t="s">
        <v>58</v>
      </c>
      <c r="F2005" s="64">
        <v>5.45</v>
      </c>
    </row>
    <row r="2006" spans="1:6" x14ac:dyDescent="0.25">
      <c r="A2006" s="62" t="s">
        <v>4398</v>
      </c>
      <c r="B2006" s="96">
        <v>362007</v>
      </c>
      <c r="C2006" s="96" t="str">
        <f t="shared" si="217"/>
        <v>CPOS362007</v>
      </c>
      <c r="D2006" s="95" t="s">
        <v>2061</v>
      </c>
      <c r="E2006" s="63" t="s">
        <v>58</v>
      </c>
      <c r="F2006" s="64">
        <v>14.82</v>
      </c>
    </row>
    <row r="2007" spans="1:6" x14ac:dyDescent="0.25">
      <c r="A2007" s="62" t="s">
        <v>4398</v>
      </c>
      <c r="B2007" s="96">
        <v>362009</v>
      </c>
      <c r="C2007" s="96" t="str">
        <f t="shared" si="217"/>
        <v>CPOS362009</v>
      </c>
      <c r="D2007" s="95" t="s">
        <v>2062</v>
      </c>
      <c r="E2007" s="63" t="s">
        <v>58</v>
      </c>
      <c r="F2007" s="64">
        <v>281.91000000000003</v>
      </c>
    </row>
    <row r="2008" spans="1:6" x14ac:dyDescent="0.25">
      <c r="A2008" s="62" t="s">
        <v>4398</v>
      </c>
      <c r="B2008" s="96">
        <v>362010</v>
      </c>
      <c r="C2008" s="96" t="str">
        <f t="shared" si="217"/>
        <v>CPOS362010</v>
      </c>
      <c r="D2008" s="95" t="s">
        <v>2063</v>
      </c>
      <c r="E2008" s="63" t="s">
        <v>58</v>
      </c>
      <c r="F2008" s="64">
        <v>212.18</v>
      </c>
    </row>
    <row r="2009" spans="1:6" x14ac:dyDescent="0.25">
      <c r="A2009" s="62" t="s">
        <v>4398</v>
      </c>
      <c r="B2009" s="96">
        <v>362012</v>
      </c>
      <c r="C2009" s="96" t="str">
        <f t="shared" si="217"/>
        <v>CPOS362012</v>
      </c>
      <c r="D2009" s="95" t="s">
        <v>2064</v>
      </c>
      <c r="E2009" s="63" t="s">
        <v>58</v>
      </c>
      <c r="F2009" s="64">
        <v>104.27</v>
      </c>
    </row>
    <row r="2010" spans="1:6" x14ac:dyDescent="0.25">
      <c r="A2010" s="62" t="s">
        <v>4398</v>
      </c>
      <c r="B2010" s="96">
        <v>362014</v>
      </c>
      <c r="C2010" s="96" t="str">
        <f t="shared" si="217"/>
        <v>CPOS362014</v>
      </c>
      <c r="D2010" s="95" t="s">
        <v>2065</v>
      </c>
      <c r="E2010" s="63" t="s">
        <v>58</v>
      </c>
      <c r="F2010" s="64">
        <v>191.68</v>
      </c>
    </row>
    <row r="2011" spans="1:6" x14ac:dyDescent="0.25">
      <c r="A2011" s="62" t="s">
        <v>4398</v>
      </c>
      <c r="B2011" s="96">
        <v>362015</v>
      </c>
      <c r="C2011" s="96" t="str">
        <f t="shared" si="217"/>
        <v>CPOS362015</v>
      </c>
      <c r="D2011" s="95" t="s">
        <v>2066</v>
      </c>
      <c r="E2011" s="63" t="s">
        <v>58</v>
      </c>
      <c r="F2011" s="64">
        <v>193.58</v>
      </c>
    </row>
    <row r="2012" spans="1:6" x14ac:dyDescent="0.25">
      <c r="A2012" s="62" t="s">
        <v>4398</v>
      </c>
      <c r="B2012" s="96">
        <v>362018</v>
      </c>
      <c r="C2012" s="96" t="str">
        <f t="shared" si="217"/>
        <v>CPOS362018</v>
      </c>
      <c r="D2012" s="95" t="s">
        <v>2067</v>
      </c>
      <c r="E2012" s="63" t="s">
        <v>1647</v>
      </c>
      <c r="F2012" s="64">
        <v>457.82</v>
      </c>
    </row>
    <row r="2013" spans="1:6" x14ac:dyDescent="0.25">
      <c r="A2013" s="62" t="s">
        <v>4398</v>
      </c>
      <c r="B2013" s="96">
        <v>362019</v>
      </c>
      <c r="C2013" s="96" t="str">
        <f t="shared" si="217"/>
        <v>CPOS362019</v>
      </c>
      <c r="D2013" s="95" t="s">
        <v>2068</v>
      </c>
      <c r="E2013" s="63" t="s">
        <v>1647</v>
      </c>
      <c r="F2013" s="64">
        <v>1204.5999999999999</v>
      </c>
    </row>
    <row r="2014" spans="1:6" x14ac:dyDescent="0.25">
      <c r="A2014" s="62" t="s">
        <v>4398</v>
      </c>
      <c r="B2014" s="96">
        <v>362020</v>
      </c>
      <c r="C2014" s="96" t="str">
        <f t="shared" si="217"/>
        <v>CPOS362020</v>
      </c>
      <c r="D2014" s="95" t="s">
        <v>2069</v>
      </c>
      <c r="E2014" s="63" t="s">
        <v>58</v>
      </c>
      <c r="F2014" s="64">
        <v>39.479999999999997</v>
      </c>
    </row>
    <row r="2015" spans="1:6" x14ac:dyDescent="0.25">
      <c r="A2015" s="62" t="s">
        <v>4398</v>
      </c>
      <c r="B2015" s="96">
        <v>362021</v>
      </c>
      <c r="C2015" s="96" t="str">
        <f t="shared" si="217"/>
        <v>CPOS362021</v>
      </c>
      <c r="D2015" s="95" t="s">
        <v>2070</v>
      </c>
      <c r="E2015" s="63" t="s">
        <v>1647</v>
      </c>
      <c r="F2015" s="64">
        <v>366.14</v>
      </c>
    </row>
    <row r="2016" spans="1:6" x14ac:dyDescent="0.25">
      <c r="A2016" s="62" t="s">
        <v>4398</v>
      </c>
      <c r="B2016" s="96">
        <v>362022</v>
      </c>
      <c r="C2016" s="96" t="str">
        <f t="shared" si="217"/>
        <v>CPOS362022</v>
      </c>
      <c r="D2016" s="95" t="s">
        <v>2071</v>
      </c>
      <c r="E2016" s="63" t="s">
        <v>58</v>
      </c>
      <c r="F2016" s="64">
        <v>150.24</v>
      </c>
    </row>
    <row r="2017" spans="1:6" x14ac:dyDescent="0.25">
      <c r="A2017" s="62" t="s">
        <v>4398</v>
      </c>
      <c r="B2017" s="96">
        <v>362023</v>
      </c>
      <c r="C2017" s="96" t="str">
        <f t="shared" si="217"/>
        <v>CPOS362023</v>
      </c>
      <c r="D2017" s="95" t="s">
        <v>2072</v>
      </c>
      <c r="E2017" s="63" t="s">
        <v>1647</v>
      </c>
      <c r="F2017" s="64">
        <v>1354.42</v>
      </c>
    </row>
    <row r="2018" spans="1:6" x14ac:dyDescent="0.25">
      <c r="A2018" s="62" t="s">
        <v>4398</v>
      </c>
      <c r="B2018" s="96">
        <v>362024</v>
      </c>
      <c r="C2018" s="96" t="str">
        <f t="shared" si="217"/>
        <v>CPOS362024</v>
      </c>
      <c r="D2018" s="95" t="s">
        <v>2073</v>
      </c>
      <c r="E2018" s="63" t="s">
        <v>463</v>
      </c>
      <c r="F2018" s="64">
        <v>10.11</v>
      </c>
    </row>
    <row r="2019" spans="1:6" x14ac:dyDescent="0.25">
      <c r="A2019" s="62" t="s">
        <v>4398</v>
      </c>
      <c r="B2019" s="96">
        <v>362026</v>
      </c>
      <c r="C2019" s="96" t="str">
        <f t="shared" si="217"/>
        <v>CPOS362026</v>
      </c>
      <c r="D2019" s="95" t="s">
        <v>2074</v>
      </c>
      <c r="E2019" s="63" t="s">
        <v>463</v>
      </c>
      <c r="F2019" s="64">
        <v>10.33</v>
      </c>
    </row>
    <row r="2020" spans="1:6" ht="30" x14ac:dyDescent="0.25">
      <c r="A2020" s="62" t="s">
        <v>4398</v>
      </c>
      <c r="B2020" s="96">
        <v>362028</v>
      </c>
      <c r="C2020" s="96" t="str">
        <f t="shared" si="217"/>
        <v>CPOS362028</v>
      </c>
      <c r="D2020" s="95" t="s">
        <v>2075</v>
      </c>
      <c r="E2020" s="63" t="s">
        <v>58</v>
      </c>
      <c r="F2020" s="64">
        <v>42.44</v>
      </c>
    </row>
    <row r="2021" spans="1:6" x14ac:dyDescent="0.25">
      <c r="A2021" s="62" t="s">
        <v>4398</v>
      </c>
      <c r="B2021" s="96">
        <v>362033</v>
      </c>
      <c r="C2021" s="96" t="str">
        <f t="shared" si="217"/>
        <v>CPOS362033</v>
      </c>
      <c r="D2021" s="95" t="s">
        <v>2076</v>
      </c>
      <c r="E2021" s="63" t="s">
        <v>1647</v>
      </c>
      <c r="F2021" s="64">
        <v>29.11</v>
      </c>
    </row>
    <row r="2022" spans="1:6" x14ac:dyDescent="0.25">
      <c r="A2022" s="62" t="s">
        <v>4398</v>
      </c>
      <c r="B2022" s="96">
        <v>362034</v>
      </c>
      <c r="C2022" s="96" t="str">
        <f t="shared" si="217"/>
        <v>CPOS362034</v>
      </c>
      <c r="D2022" s="95" t="s">
        <v>2077</v>
      </c>
      <c r="E2022" s="63" t="s">
        <v>58</v>
      </c>
      <c r="F2022" s="64">
        <v>44.46</v>
      </c>
    </row>
    <row r="2023" spans="1:6" x14ac:dyDescent="0.25">
      <c r="A2023" s="62" t="s">
        <v>4398</v>
      </c>
      <c r="B2023" s="96">
        <v>362035</v>
      </c>
      <c r="C2023" s="96" t="str">
        <f t="shared" si="217"/>
        <v>CPOS362035</v>
      </c>
      <c r="D2023" s="95" t="s">
        <v>2078</v>
      </c>
      <c r="E2023" s="63" t="s">
        <v>58</v>
      </c>
      <c r="F2023" s="64">
        <v>25.04</v>
      </c>
    </row>
    <row r="2024" spans="1:6" x14ac:dyDescent="0.25">
      <c r="A2024" s="62" t="s">
        <v>4398</v>
      </c>
      <c r="B2024" s="96">
        <v>362036</v>
      </c>
      <c r="C2024" s="96" t="str">
        <f t="shared" si="217"/>
        <v>CPOS362036</v>
      </c>
      <c r="D2024" s="95" t="s">
        <v>2079</v>
      </c>
      <c r="E2024" s="63" t="s">
        <v>58</v>
      </c>
      <c r="F2024" s="64">
        <v>149.51</v>
      </c>
    </row>
    <row r="2025" spans="1:6" x14ac:dyDescent="0.25">
      <c r="A2025" s="62" t="s">
        <v>4398</v>
      </c>
      <c r="B2025" s="96">
        <v>362037</v>
      </c>
      <c r="C2025" s="96" t="str">
        <f t="shared" si="217"/>
        <v>CPOS362037</v>
      </c>
      <c r="D2025" s="95" t="s">
        <v>2080</v>
      </c>
      <c r="E2025" s="63" t="s">
        <v>58</v>
      </c>
      <c r="F2025" s="64">
        <v>158.07</v>
      </c>
    </row>
    <row r="2026" spans="1:6" x14ac:dyDescent="0.25">
      <c r="A2026" s="62" t="s">
        <v>4398</v>
      </c>
      <c r="B2026" s="96">
        <v>362038</v>
      </c>
      <c r="C2026" s="96" t="str">
        <f t="shared" si="217"/>
        <v>CPOS362038</v>
      </c>
      <c r="D2026" s="95" t="s">
        <v>2081</v>
      </c>
      <c r="E2026" s="63" t="s">
        <v>58</v>
      </c>
      <c r="F2026" s="64">
        <v>344.66</v>
      </c>
    </row>
    <row r="2027" spans="1:6" x14ac:dyDescent="0.25">
      <c r="A2027" s="62" t="s">
        <v>4398</v>
      </c>
      <c r="B2027" s="96">
        <v>362054</v>
      </c>
      <c r="C2027" s="96" t="str">
        <f t="shared" si="217"/>
        <v>CPOS362054</v>
      </c>
      <c r="D2027" s="95" t="s">
        <v>2082</v>
      </c>
      <c r="E2027" s="63" t="s">
        <v>58</v>
      </c>
      <c r="F2027" s="64">
        <v>360.06</v>
      </c>
    </row>
    <row r="2028" spans="1:6" x14ac:dyDescent="0.25">
      <c r="A2028" s="62" t="s">
        <v>4398</v>
      </c>
      <c r="B2028" s="96">
        <v>362055</v>
      </c>
      <c r="C2028" s="96" t="str">
        <f t="shared" si="217"/>
        <v>CPOS362055</v>
      </c>
      <c r="D2028" s="95" t="s">
        <v>2083</v>
      </c>
      <c r="E2028" s="63" t="s">
        <v>58</v>
      </c>
      <c r="F2028" s="64">
        <v>2341.96</v>
      </c>
    </row>
    <row r="2029" spans="1:6" x14ac:dyDescent="0.25">
      <c r="A2029" s="62" t="s">
        <v>4398</v>
      </c>
      <c r="B2029" s="96">
        <v>362056</v>
      </c>
      <c r="C2029" s="96" t="str">
        <f t="shared" si="217"/>
        <v>CPOS362056</v>
      </c>
      <c r="D2029" s="95" t="s">
        <v>2084</v>
      </c>
      <c r="E2029" s="63" t="s">
        <v>58</v>
      </c>
      <c r="F2029" s="64">
        <v>1897.1200000000001</v>
      </c>
    </row>
    <row r="2030" spans="1:6" x14ac:dyDescent="0.25">
      <c r="A2030" s="62" t="s">
        <v>4398</v>
      </c>
      <c r="B2030" s="96">
        <v>362057</v>
      </c>
      <c r="C2030" s="96" t="str">
        <f t="shared" si="217"/>
        <v>CPOS362057</v>
      </c>
      <c r="D2030" s="95" t="s">
        <v>2085</v>
      </c>
      <c r="E2030" s="63" t="s">
        <v>58</v>
      </c>
      <c r="F2030" s="64">
        <v>2707.06</v>
      </c>
    </row>
    <row r="2031" spans="1:6" x14ac:dyDescent="0.25">
      <c r="D2031" s="94" t="s">
        <v>2086</v>
      </c>
    </row>
    <row r="2032" spans="1:6" x14ac:dyDescent="0.25">
      <c r="D2032" s="94" t="s">
        <v>2087</v>
      </c>
    </row>
    <row r="2033" spans="1:6" x14ac:dyDescent="0.25">
      <c r="A2033" s="62" t="s">
        <v>4398</v>
      </c>
      <c r="B2033" s="96">
        <v>370102</v>
      </c>
      <c r="C2033" s="96" t="str">
        <f t="shared" ref="C2033:C2037" si="218">A2033&amp;B2033</f>
        <v>CPOS370102</v>
      </c>
      <c r="D2033" s="95" t="s">
        <v>2088</v>
      </c>
      <c r="E2033" s="63" t="s">
        <v>58</v>
      </c>
      <c r="F2033" s="64">
        <v>83.350000000000009</v>
      </c>
    </row>
    <row r="2034" spans="1:6" x14ac:dyDescent="0.25">
      <c r="A2034" s="62" t="s">
        <v>4398</v>
      </c>
      <c r="B2034" s="96">
        <v>370108</v>
      </c>
      <c r="C2034" s="96" t="str">
        <f t="shared" si="218"/>
        <v>CPOS370108</v>
      </c>
      <c r="D2034" s="95" t="s">
        <v>2089</v>
      </c>
      <c r="E2034" s="63" t="s">
        <v>58</v>
      </c>
      <c r="F2034" s="64">
        <v>140.12</v>
      </c>
    </row>
    <row r="2035" spans="1:6" x14ac:dyDescent="0.25">
      <c r="A2035" s="62" t="s">
        <v>4398</v>
      </c>
      <c r="B2035" s="96">
        <v>370112</v>
      </c>
      <c r="C2035" s="96" t="str">
        <f t="shared" si="218"/>
        <v>CPOS370112</v>
      </c>
      <c r="D2035" s="95" t="s">
        <v>2090</v>
      </c>
      <c r="E2035" s="63" t="s">
        <v>58</v>
      </c>
      <c r="F2035" s="64">
        <v>218.95000000000002</v>
      </c>
    </row>
    <row r="2036" spans="1:6" x14ac:dyDescent="0.25">
      <c r="A2036" s="62" t="s">
        <v>4398</v>
      </c>
      <c r="B2036" s="96">
        <v>370116</v>
      </c>
      <c r="C2036" s="96" t="str">
        <f t="shared" si="218"/>
        <v>CPOS370116</v>
      </c>
      <c r="D2036" s="95" t="s">
        <v>2091</v>
      </c>
      <c r="E2036" s="63" t="s">
        <v>58</v>
      </c>
      <c r="F2036" s="64">
        <v>303.5</v>
      </c>
    </row>
    <row r="2037" spans="1:6" x14ac:dyDescent="0.25">
      <c r="A2037" s="62" t="s">
        <v>4398</v>
      </c>
      <c r="B2037" s="96">
        <v>370122</v>
      </c>
      <c r="C2037" s="96" t="str">
        <f t="shared" si="218"/>
        <v>CPOS370122</v>
      </c>
      <c r="D2037" s="95" t="s">
        <v>2092</v>
      </c>
      <c r="E2037" s="63" t="s">
        <v>58</v>
      </c>
      <c r="F2037" s="64">
        <v>575.51</v>
      </c>
    </row>
    <row r="2038" spans="1:6" x14ac:dyDescent="0.25">
      <c r="D2038" s="94" t="s">
        <v>2093</v>
      </c>
    </row>
    <row r="2039" spans="1:6" x14ac:dyDescent="0.25">
      <c r="A2039" s="62" t="s">
        <v>4398</v>
      </c>
      <c r="B2039" s="96">
        <v>370202</v>
      </c>
      <c r="C2039" s="96" t="str">
        <f t="shared" ref="C2039:C2042" si="219">A2039&amp;B2039</f>
        <v>CPOS370202</v>
      </c>
      <c r="D2039" s="95" t="s">
        <v>2094</v>
      </c>
      <c r="E2039" s="63" t="s">
        <v>58</v>
      </c>
      <c r="F2039" s="64">
        <v>74.599999999999994</v>
      </c>
    </row>
    <row r="2040" spans="1:6" x14ac:dyDescent="0.25">
      <c r="A2040" s="62" t="s">
        <v>4398</v>
      </c>
      <c r="B2040" s="96">
        <v>370206</v>
      </c>
      <c r="C2040" s="96" t="str">
        <f t="shared" si="219"/>
        <v>CPOS370206</v>
      </c>
      <c r="D2040" s="95" t="s">
        <v>2095</v>
      </c>
      <c r="E2040" s="63" t="s">
        <v>58</v>
      </c>
      <c r="F2040" s="64">
        <v>133.88</v>
      </c>
    </row>
    <row r="2041" spans="1:6" x14ac:dyDescent="0.25">
      <c r="A2041" s="62" t="s">
        <v>4398</v>
      </c>
      <c r="B2041" s="96">
        <v>370210</v>
      </c>
      <c r="C2041" s="96" t="str">
        <f t="shared" si="219"/>
        <v>CPOS370210</v>
      </c>
      <c r="D2041" s="95" t="s">
        <v>2096</v>
      </c>
      <c r="E2041" s="63" t="s">
        <v>58</v>
      </c>
      <c r="F2041" s="64">
        <v>231.92000000000002</v>
      </c>
    </row>
    <row r="2042" spans="1:6" x14ac:dyDescent="0.25">
      <c r="A2042" s="62" t="s">
        <v>4398</v>
      </c>
      <c r="B2042" s="96">
        <v>370214</v>
      </c>
      <c r="C2042" s="96" t="str">
        <f t="shared" si="219"/>
        <v>CPOS370214</v>
      </c>
      <c r="D2042" s="95" t="s">
        <v>2097</v>
      </c>
      <c r="E2042" s="63" t="s">
        <v>58</v>
      </c>
      <c r="F2042" s="64">
        <v>338.23</v>
      </c>
    </row>
    <row r="2043" spans="1:6" x14ac:dyDescent="0.25">
      <c r="D2043" s="94" t="s">
        <v>2098</v>
      </c>
    </row>
    <row r="2044" spans="1:6" ht="30" x14ac:dyDescent="0.25">
      <c r="A2044" s="62" t="s">
        <v>4398</v>
      </c>
      <c r="B2044" s="96">
        <v>370320</v>
      </c>
      <c r="C2044" s="96" t="str">
        <f t="shared" ref="C2044:C2049" si="220">A2044&amp;B2044</f>
        <v>CPOS370320</v>
      </c>
      <c r="D2044" s="95" t="s">
        <v>2099</v>
      </c>
      <c r="E2044" s="63" t="s">
        <v>58</v>
      </c>
      <c r="F2044" s="64">
        <v>273.66000000000003</v>
      </c>
    </row>
    <row r="2045" spans="1:6" ht="30" x14ac:dyDescent="0.25">
      <c r="A2045" s="62" t="s">
        <v>4398</v>
      </c>
      <c r="B2045" s="96">
        <v>370321</v>
      </c>
      <c r="C2045" s="96" t="str">
        <f t="shared" si="220"/>
        <v>CPOS370321</v>
      </c>
      <c r="D2045" s="95" t="s">
        <v>2100</v>
      </c>
      <c r="E2045" s="63" t="s">
        <v>58</v>
      </c>
      <c r="F2045" s="64">
        <v>321.19</v>
      </c>
    </row>
    <row r="2046" spans="1:6" ht="30" x14ac:dyDescent="0.25">
      <c r="A2046" s="62" t="s">
        <v>4398</v>
      </c>
      <c r="B2046" s="96">
        <v>370322</v>
      </c>
      <c r="C2046" s="96" t="str">
        <f t="shared" si="220"/>
        <v>CPOS370322</v>
      </c>
      <c r="D2046" s="95" t="s">
        <v>2101</v>
      </c>
      <c r="E2046" s="63" t="s">
        <v>58</v>
      </c>
      <c r="F2046" s="64">
        <v>375.22</v>
      </c>
    </row>
    <row r="2047" spans="1:6" ht="30" x14ac:dyDescent="0.25">
      <c r="A2047" s="62" t="s">
        <v>4398</v>
      </c>
      <c r="B2047" s="96">
        <v>370323</v>
      </c>
      <c r="C2047" s="96" t="str">
        <f t="shared" si="220"/>
        <v>CPOS370323</v>
      </c>
      <c r="D2047" s="95" t="s">
        <v>2102</v>
      </c>
      <c r="E2047" s="63" t="s">
        <v>58</v>
      </c>
      <c r="F2047" s="64">
        <v>413.75</v>
      </c>
    </row>
    <row r="2048" spans="1:6" ht="30" x14ac:dyDescent="0.25">
      <c r="A2048" s="62" t="s">
        <v>4398</v>
      </c>
      <c r="B2048" s="96">
        <v>370324</v>
      </c>
      <c r="C2048" s="96" t="str">
        <f t="shared" si="220"/>
        <v>CPOS370324</v>
      </c>
      <c r="D2048" s="95" t="s">
        <v>2103</v>
      </c>
      <c r="E2048" s="63" t="s">
        <v>58</v>
      </c>
      <c r="F2048" s="64">
        <v>555.28</v>
      </c>
    </row>
    <row r="2049" spans="1:6" ht="30" x14ac:dyDescent="0.25">
      <c r="A2049" s="62" t="s">
        <v>4398</v>
      </c>
      <c r="B2049" s="96">
        <v>370325</v>
      </c>
      <c r="C2049" s="96" t="str">
        <f t="shared" si="220"/>
        <v>CPOS370325</v>
      </c>
      <c r="D2049" s="95" t="s">
        <v>2104</v>
      </c>
      <c r="E2049" s="63" t="s">
        <v>58</v>
      </c>
      <c r="F2049" s="64">
        <v>731.39</v>
      </c>
    </row>
    <row r="2050" spans="1:6" x14ac:dyDescent="0.25">
      <c r="D2050" s="94" t="s">
        <v>2105</v>
      </c>
    </row>
    <row r="2051" spans="1:6" ht="30" x14ac:dyDescent="0.25">
      <c r="A2051" s="62" t="s">
        <v>4398</v>
      </c>
      <c r="B2051" s="96">
        <v>370425</v>
      </c>
      <c r="C2051" s="96" t="str">
        <f t="shared" ref="C2051:C2056" si="221">A2051&amp;B2051</f>
        <v>CPOS370425</v>
      </c>
      <c r="D2051" s="95" t="s">
        <v>2106</v>
      </c>
      <c r="E2051" s="63" t="s">
        <v>58</v>
      </c>
      <c r="F2051" s="64">
        <v>303.49</v>
      </c>
    </row>
    <row r="2052" spans="1:6" ht="30" x14ac:dyDescent="0.25">
      <c r="A2052" s="62" t="s">
        <v>4398</v>
      </c>
      <c r="B2052" s="96">
        <v>370426</v>
      </c>
      <c r="C2052" s="96" t="str">
        <f t="shared" si="221"/>
        <v>CPOS370426</v>
      </c>
      <c r="D2052" s="95" t="s">
        <v>2107</v>
      </c>
      <c r="E2052" s="63" t="s">
        <v>58</v>
      </c>
      <c r="F2052" s="64">
        <v>366.75</v>
      </c>
    </row>
    <row r="2053" spans="1:6" ht="30" x14ac:dyDescent="0.25">
      <c r="A2053" s="62" t="s">
        <v>4398</v>
      </c>
      <c r="B2053" s="96">
        <v>370427</v>
      </c>
      <c r="C2053" s="96" t="str">
        <f t="shared" si="221"/>
        <v>CPOS370427</v>
      </c>
      <c r="D2053" s="95" t="s">
        <v>2108</v>
      </c>
      <c r="E2053" s="63" t="s">
        <v>58</v>
      </c>
      <c r="F2053" s="64">
        <v>412.36</v>
      </c>
    </row>
    <row r="2054" spans="1:6" ht="30" x14ac:dyDescent="0.25">
      <c r="A2054" s="62" t="s">
        <v>4398</v>
      </c>
      <c r="B2054" s="96">
        <v>370428</v>
      </c>
      <c r="C2054" s="96" t="str">
        <f t="shared" si="221"/>
        <v>CPOS370428</v>
      </c>
      <c r="D2054" s="95" t="s">
        <v>2109</v>
      </c>
      <c r="E2054" s="63" t="s">
        <v>58</v>
      </c>
      <c r="F2054" s="64">
        <v>466.48</v>
      </c>
    </row>
    <row r="2055" spans="1:6" ht="30" x14ac:dyDescent="0.25">
      <c r="A2055" s="62" t="s">
        <v>4398</v>
      </c>
      <c r="B2055" s="96">
        <v>370429</v>
      </c>
      <c r="C2055" s="96" t="str">
        <f t="shared" si="221"/>
        <v>CPOS370429</v>
      </c>
      <c r="D2055" s="95" t="s">
        <v>2110</v>
      </c>
      <c r="E2055" s="63" t="s">
        <v>58</v>
      </c>
      <c r="F2055" s="64">
        <v>631.54</v>
      </c>
    </row>
    <row r="2056" spans="1:6" ht="30" x14ac:dyDescent="0.25">
      <c r="A2056" s="62" t="s">
        <v>4398</v>
      </c>
      <c r="B2056" s="96">
        <v>370430</v>
      </c>
      <c r="C2056" s="96" t="str">
        <f t="shared" si="221"/>
        <v>CPOS370430</v>
      </c>
      <c r="D2056" s="95" t="s">
        <v>2111</v>
      </c>
      <c r="E2056" s="63" t="s">
        <v>58</v>
      </c>
      <c r="F2056" s="64">
        <v>792.17000000000007</v>
      </c>
    </row>
    <row r="2057" spans="1:6" x14ac:dyDescent="0.25">
      <c r="D2057" s="94" t="s">
        <v>2112</v>
      </c>
    </row>
    <row r="2058" spans="1:6" ht="30" x14ac:dyDescent="0.25">
      <c r="A2058" s="62" t="s">
        <v>4398</v>
      </c>
      <c r="B2058" s="96">
        <v>370501</v>
      </c>
      <c r="C2058" s="96" t="str">
        <f t="shared" ref="C2058:C2065" si="222">A2058&amp;B2058</f>
        <v>CPOS370501</v>
      </c>
      <c r="D2058" s="95" t="s">
        <v>2113</v>
      </c>
      <c r="E2058" s="63" t="s">
        <v>58</v>
      </c>
      <c r="F2058" s="64">
        <v>1504.72</v>
      </c>
    </row>
    <row r="2059" spans="1:6" ht="30" x14ac:dyDescent="0.25">
      <c r="A2059" s="62" t="s">
        <v>4398</v>
      </c>
      <c r="B2059" s="96">
        <v>370502</v>
      </c>
      <c r="C2059" s="96" t="str">
        <f t="shared" si="222"/>
        <v>CPOS370502</v>
      </c>
      <c r="D2059" s="95" t="s">
        <v>2114</v>
      </c>
      <c r="E2059" s="63" t="s">
        <v>58</v>
      </c>
      <c r="F2059" s="64">
        <v>2419.4899999999998</v>
      </c>
    </row>
    <row r="2060" spans="1:6" ht="30" x14ac:dyDescent="0.25">
      <c r="A2060" s="62" t="s">
        <v>4398</v>
      </c>
      <c r="B2060" s="96">
        <v>370503</v>
      </c>
      <c r="C2060" s="96" t="str">
        <f t="shared" si="222"/>
        <v>CPOS370503</v>
      </c>
      <c r="D2060" s="95" t="s">
        <v>2115</v>
      </c>
      <c r="E2060" s="63" t="s">
        <v>58</v>
      </c>
      <c r="F2060" s="64">
        <v>4537.0600000000004</v>
      </c>
    </row>
    <row r="2061" spans="1:6" ht="30" x14ac:dyDescent="0.25">
      <c r="A2061" s="62" t="s">
        <v>4398</v>
      </c>
      <c r="B2061" s="96">
        <v>370504</v>
      </c>
      <c r="C2061" s="96" t="str">
        <f t="shared" si="222"/>
        <v>CPOS370504</v>
      </c>
      <c r="D2061" s="95" t="s">
        <v>2116</v>
      </c>
      <c r="E2061" s="63" t="s">
        <v>58</v>
      </c>
      <c r="F2061" s="64">
        <v>6269.84</v>
      </c>
    </row>
    <row r="2062" spans="1:6" ht="30" x14ac:dyDescent="0.25">
      <c r="A2062" s="62" t="s">
        <v>4398</v>
      </c>
      <c r="B2062" s="96">
        <v>370505</v>
      </c>
      <c r="C2062" s="96" t="str">
        <f t="shared" si="222"/>
        <v>CPOS370505</v>
      </c>
      <c r="D2062" s="95" t="s">
        <v>2117</v>
      </c>
      <c r="E2062" s="63" t="s">
        <v>58</v>
      </c>
      <c r="F2062" s="64">
        <v>1519.48</v>
      </c>
    </row>
    <row r="2063" spans="1:6" ht="30" x14ac:dyDescent="0.25">
      <c r="A2063" s="62" t="s">
        <v>4398</v>
      </c>
      <c r="B2063" s="96">
        <v>370506</v>
      </c>
      <c r="C2063" s="96" t="str">
        <f t="shared" si="222"/>
        <v>CPOS370506</v>
      </c>
      <c r="D2063" s="95" t="s">
        <v>2118</v>
      </c>
      <c r="E2063" s="63" t="s">
        <v>58</v>
      </c>
      <c r="F2063" s="64">
        <v>4952.16</v>
      </c>
    </row>
    <row r="2064" spans="1:6" ht="30" x14ac:dyDescent="0.25">
      <c r="A2064" s="62" t="s">
        <v>4398</v>
      </c>
      <c r="B2064" s="96">
        <v>370507</v>
      </c>
      <c r="C2064" s="96" t="str">
        <f t="shared" si="222"/>
        <v>CPOS370507</v>
      </c>
      <c r="D2064" s="95" t="s">
        <v>2119</v>
      </c>
      <c r="E2064" s="63" t="s">
        <v>58</v>
      </c>
      <c r="F2064" s="64">
        <v>11038.48</v>
      </c>
    </row>
    <row r="2065" spans="1:6" ht="30" x14ac:dyDescent="0.25">
      <c r="A2065" s="62" t="s">
        <v>4398</v>
      </c>
      <c r="B2065" s="96">
        <v>370508</v>
      </c>
      <c r="C2065" s="96" t="str">
        <f t="shared" si="222"/>
        <v>CPOS370508</v>
      </c>
      <c r="D2065" s="95" t="s">
        <v>2120</v>
      </c>
      <c r="E2065" s="63" t="s">
        <v>58</v>
      </c>
      <c r="F2065" s="64">
        <v>4927.45</v>
      </c>
    </row>
    <row r="2066" spans="1:6" x14ac:dyDescent="0.25">
      <c r="D2066" s="94" t="s">
        <v>2121</v>
      </c>
    </row>
    <row r="2067" spans="1:6" ht="30" x14ac:dyDescent="0.25">
      <c r="A2067" s="62" t="s">
        <v>4398</v>
      </c>
      <c r="B2067" s="96">
        <v>370601</v>
      </c>
      <c r="C2067" s="96" t="str">
        <f>A2067&amp;B2067</f>
        <v>CPOS370601</v>
      </c>
      <c r="D2067" s="95" t="s">
        <v>2122</v>
      </c>
      <c r="E2067" s="63" t="s">
        <v>81</v>
      </c>
      <c r="F2067" s="64">
        <v>796.41</v>
      </c>
    </row>
    <row r="2068" spans="1:6" x14ac:dyDescent="0.25">
      <c r="D2068" s="94" t="s">
        <v>2123</v>
      </c>
    </row>
    <row r="2069" spans="1:6" x14ac:dyDescent="0.25">
      <c r="A2069" s="62" t="s">
        <v>4398</v>
      </c>
      <c r="B2069" s="96">
        <v>371001</v>
      </c>
      <c r="C2069" s="96" t="str">
        <f>A2069&amp;B2069</f>
        <v>CPOS371001</v>
      </c>
      <c r="D2069" s="95" t="s">
        <v>2124</v>
      </c>
      <c r="E2069" s="63" t="s">
        <v>329</v>
      </c>
      <c r="F2069" s="64">
        <v>47.660000000000004</v>
      </c>
    </row>
    <row r="2070" spans="1:6" x14ac:dyDescent="0.25">
      <c r="D2070" s="94" t="s">
        <v>2125</v>
      </c>
    </row>
    <row r="2071" spans="1:6" x14ac:dyDescent="0.25">
      <c r="A2071" s="62" t="s">
        <v>4398</v>
      </c>
      <c r="B2071" s="96">
        <v>371102</v>
      </c>
      <c r="C2071" s="96" t="str">
        <f t="shared" ref="C2071:C2078" si="223">A2071&amp;B2071</f>
        <v>CPOS371102</v>
      </c>
      <c r="D2071" s="95" t="s">
        <v>2126</v>
      </c>
      <c r="E2071" s="63" t="s">
        <v>58</v>
      </c>
      <c r="F2071" s="64">
        <v>28.41</v>
      </c>
    </row>
    <row r="2072" spans="1:6" x14ac:dyDescent="0.25">
      <c r="A2072" s="62" t="s">
        <v>4398</v>
      </c>
      <c r="B2072" s="96">
        <v>371104</v>
      </c>
      <c r="C2072" s="96" t="str">
        <f t="shared" si="223"/>
        <v>CPOS371104</v>
      </c>
      <c r="D2072" s="95" t="s">
        <v>2127</v>
      </c>
      <c r="E2072" s="63" t="s">
        <v>58</v>
      </c>
      <c r="F2072" s="64">
        <v>39.74</v>
      </c>
    </row>
    <row r="2073" spans="1:6" x14ac:dyDescent="0.25">
      <c r="A2073" s="62" t="s">
        <v>4398</v>
      </c>
      <c r="B2073" s="96">
        <v>371106</v>
      </c>
      <c r="C2073" s="96" t="str">
        <f t="shared" si="223"/>
        <v>CPOS371106</v>
      </c>
      <c r="D2073" s="95" t="s">
        <v>2128</v>
      </c>
      <c r="E2073" s="63" t="s">
        <v>58</v>
      </c>
      <c r="F2073" s="64">
        <v>52.28</v>
      </c>
    </row>
    <row r="2074" spans="1:6" x14ac:dyDescent="0.25">
      <c r="A2074" s="62" t="s">
        <v>4398</v>
      </c>
      <c r="B2074" s="96">
        <v>371108</v>
      </c>
      <c r="C2074" s="96" t="str">
        <f t="shared" si="223"/>
        <v>CPOS371108</v>
      </c>
      <c r="D2074" s="95" t="s">
        <v>2129</v>
      </c>
      <c r="E2074" s="63" t="s">
        <v>58</v>
      </c>
      <c r="F2074" s="64">
        <v>108.8</v>
      </c>
    </row>
    <row r="2075" spans="1:6" x14ac:dyDescent="0.25">
      <c r="A2075" s="62" t="s">
        <v>4398</v>
      </c>
      <c r="B2075" s="96">
        <v>371110</v>
      </c>
      <c r="C2075" s="96" t="str">
        <f t="shared" si="223"/>
        <v>CPOS371110</v>
      </c>
      <c r="D2075" s="95" t="s">
        <v>2130</v>
      </c>
      <c r="E2075" s="63" t="s">
        <v>58</v>
      </c>
      <c r="F2075" s="64">
        <v>149.62</v>
      </c>
    </row>
    <row r="2076" spans="1:6" x14ac:dyDescent="0.25">
      <c r="A2076" s="62" t="s">
        <v>4398</v>
      </c>
      <c r="B2076" s="96">
        <v>371112</v>
      </c>
      <c r="C2076" s="96" t="str">
        <f t="shared" si="223"/>
        <v>CPOS371112</v>
      </c>
      <c r="D2076" s="95" t="s">
        <v>2131</v>
      </c>
      <c r="E2076" s="63" t="s">
        <v>58</v>
      </c>
      <c r="F2076" s="64">
        <v>539.09</v>
      </c>
    </row>
    <row r="2077" spans="1:6" x14ac:dyDescent="0.25">
      <c r="A2077" s="62" t="s">
        <v>4398</v>
      </c>
      <c r="B2077" s="96">
        <v>371113</v>
      </c>
      <c r="C2077" s="96" t="str">
        <f t="shared" si="223"/>
        <v>CPOS371113</v>
      </c>
      <c r="D2077" s="95" t="s">
        <v>2132</v>
      </c>
      <c r="E2077" s="63" t="s">
        <v>58</v>
      </c>
      <c r="F2077" s="64">
        <v>743.71</v>
      </c>
    </row>
    <row r="2078" spans="1:6" x14ac:dyDescent="0.25">
      <c r="A2078" s="62" t="s">
        <v>4398</v>
      </c>
      <c r="B2078" s="96">
        <v>371114</v>
      </c>
      <c r="C2078" s="96" t="str">
        <f t="shared" si="223"/>
        <v>CPOS371114</v>
      </c>
      <c r="D2078" s="95" t="s">
        <v>2133</v>
      </c>
      <c r="E2078" s="63" t="s">
        <v>58</v>
      </c>
      <c r="F2078" s="64">
        <v>237.18</v>
      </c>
    </row>
    <row r="2079" spans="1:6" x14ac:dyDescent="0.25">
      <c r="D2079" s="94" t="s">
        <v>2134</v>
      </c>
    </row>
    <row r="2080" spans="1:6" x14ac:dyDescent="0.25">
      <c r="A2080" s="62" t="s">
        <v>4398</v>
      </c>
      <c r="B2080" s="96">
        <v>371202</v>
      </c>
      <c r="C2080" s="96" t="str">
        <f t="shared" ref="C2080:C2090" si="224">A2080&amp;B2080</f>
        <v>CPOS371202</v>
      </c>
      <c r="D2080" s="95" t="s">
        <v>2135</v>
      </c>
      <c r="E2080" s="63" t="s">
        <v>58</v>
      </c>
      <c r="F2080" s="64">
        <v>16.3</v>
      </c>
    </row>
    <row r="2081" spans="1:6" x14ac:dyDescent="0.25">
      <c r="A2081" s="62" t="s">
        <v>4398</v>
      </c>
      <c r="B2081" s="96">
        <v>371204</v>
      </c>
      <c r="C2081" s="96" t="str">
        <f t="shared" si="224"/>
        <v>CPOS371204</v>
      </c>
      <c r="D2081" s="95" t="s">
        <v>2136</v>
      </c>
      <c r="E2081" s="63" t="s">
        <v>58</v>
      </c>
      <c r="F2081" s="64">
        <v>31.34</v>
      </c>
    </row>
    <row r="2082" spans="1:6" x14ac:dyDescent="0.25">
      <c r="A2082" s="62" t="s">
        <v>4398</v>
      </c>
      <c r="B2082" s="96">
        <v>371206</v>
      </c>
      <c r="C2082" s="96" t="str">
        <f t="shared" si="224"/>
        <v>CPOS371206</v>
      </c>
      <c r="D2082" s="95" t="s">
        <v>2137</v>
      </c>
      <c r="E2082" s="63" t="s">
        <v>58</v>
      </c>
      <c r="F2082" s="64">
        <v>47.54</v>
      </c>
    </row>
    <row r="2083" spans="1:6" x14ac:dyDescent="0.25">
      <c r="A2083" s="62" t="s">
        <v>4398</v>
      </c>
      <c r="B2083" s="96">
        <v>371208</v>
      </c>
      <c r="C2083" s="96" t="str">
        <f t="shared" si="224"/>
        <v>CPOS371208</v>
      </c>
      <c r="D2083" s="95" t="s">
        <v>2138</v>
      </c>
      <c r="E2083" s="63" t="s">
        <v>58</v>
      </c>
      <c r="F2083" s="64">
        <v>66.11</v>
      </c>
    </row>
    <row r="2084" spans="1:6" x14ac:dyDescent="0.25">
      <c r="A2084" s="62" t="s">
        <v>4398</v>
      </c>
      <c r="B2084" s="96">
        <v>371210</v>
      </c>
      <c r="C2084" s="96" t="str">
        <f t="shared" si="224"/>
        <v>CPOS371210</v>
      </c>
      <c r="D2084" s="95" t="s">
        <v>2139</v>
      </c>
      <c r="E2084" s="63" t="s">
        <v>58</v>
      </c>
      <c r="F2084" s="64">
        <v>404</v>
      </c>
    </row>
    <row r="2085" spans="1:6" x14ac:dyDescent="0.25">
      <c r="A2085" s="62" t="s">
        <v>4398</v>
      </c>
      <c r="B2085" s="96">
        <v>371212</v>
      </c>
      <c r="C2085" s="96" t="str">
        <f t="shared" si="224"/>
        <v>CPOS371212</v>
      </c>
      <c r="D2085" s="95" t="s">
        <v>2140</v>
      </c>
      <c r="E2085" s="63" t="s">
        <v>58</v>
      </c>
      <c r="F2085" s="64">
        <v>157.18</v>
      </c>
    </row>
    <row r="2086" spans="1:6" x14ac:dyDescent="0.25">
      <c r="A2086" s="62" t="s">
        <v>4398</v>
      </c>
      <c r="B2086" s="96">
        <v>371213</v>
      </c>
      <c r="C2086" s="96" t="str">
        <f t="shared" si="224"/>
        <v>CPOS371213</v>
      </c>
      <c r="D2086" s="95" t="s">
        <v>2141</v>
      </c>
      <c r="E2086" s="63" t="s">
        <v>58</v>
      </c>
      <c r="F2086" s="64">
        <v>218.89000000000001</v>
      </c>
    </row>
    <row r="2087" spans="1:6" x14ac:dyDescent="0.25">
      <c r="A2087" s="62" t="s">
        <v>4398</v>
      </c>
      <c r="B2087" s="96">
        <v>371214</v>
      </c>
      <c r="C2087" s="96" t="str">
        <f t="shared" si="224"/>
        <v>CPOS371214</v>
      </c>
      <c r="D2087" s="95" t="s">
        <v>2142</v>
      </c>
      <c r="E2087" s="63" t="s">
        <v>58</v>
      </c>
      <c r="F2087" s="64">
        <v>212.08</v>
      </c>
    </row>
    <row r="2088" spans="1:6" x14ac:dyDescent="0.25">
      <c r="A2088" s="62" t="s">
        <v>4398</v>
      </c>
      <c r="B2088" s="96">
        <v>371220</v>
      </c>
      <c r="C2088" s="96" t="str">
        <f t="shared" si="224"/>
        <v>CPOS371220</v>
      </c>
      <c r="D2088" s="95" t="s">
        <v>2143</v>
      </c>
      <c r="E2088" s="63" t="s">
        <v>58</v>
      </c>
      <c r="F2088" s="64">
        <v>6.84</v>
      </c>
    </row>
    <row r="2089" spans="1:6" x14ac:dyDescent="0.25">
      <c r="A2089" s="62" t="s">
        <v>4398</v>
      </c>
      <c r="B2089" s="96">
        <v>371222</v>
      </c>
      <c r="C2089" s="96" t="str">
        <f t="shared" si="224"/>
        <v>CPOS371222</v>
      </c>
      <c r="D2089" s="95" t="s">
        <v>2144</v>
      </c>
      <c r="E2089" s="63" t="s">
        <v>58</v>
      </c>
      <c r="F2089" s="64">
        <v>7.67</v>
      </c>
    </row>
    <row r="2090" spans="1:6" x14ac:dyDescent="0.25">
      <c r="A2090" s="62" t="s">
        <v>4398</v>
      </c>
      <c r="B2090" s="96">
        <v>371230</v>
      </c>
      <c r="C2090" s="96" t="str">
        <f t="shared" si="224"/>
        <v>CPOS371230</v>
      </c>
      <c r="D2090" s="95" t="s">
        <v>2145</v>
      </c>
      <c r="E2090" s="63" t="s">
        <v>58</v>
      </c>
      <c r="F2090" s="64">
        <v>39.33</v>
      </c>
    </row>
    <row r="2091" spans="1:6" x14ac:dyDescent="0.25">
      <c r="D2091" s="94" t="s">
        <v>2146</v>
      </c>
    </row>
    <row r="2092" spans="1:6" x14ac:dyDescent="0.25">
      <c r="A2092" s="62" t="s">
        <v>4398</v>
      </c>
      <c r="B2092" s="96">
        <v>371351</v>
      </c>
      <c r="C2092" s="96" t="str">
        <f t="shared" ref="C2092:C2126" si="225">A2092&amp;B2092</f>
        <v>CPOS371351</v>
      </c>
      <c r="D2092" s="95" t="s">
        <v>2147</v>
      </c>
      <c r="E2092" s="63" t="s">
        <v>58</v>
      </c>
      <c r="F2092" s="64">
        <v>14078.85</v>
      </c>
    </row>
    <row r="2093" spans="1:6" x14ac:dyDescent="0.25">
      <c r="A2093" s="62" t="s">
        <v>4398</v>
      </c>
      <c r="B2093" s="96">
        <v>371352</v>
      </c>
      <c r="C2093" s="96" t="str">
        <f t="shared" si="225"/>
        <v>CPOS371352</v>
      </c>
      <c r="D2093" s="95" t="s">
        <v>2148</v>
      </c>
      <c r="E2093" s="63" t="s">
        <v>58</v>
      </c>
      <c r="F2093" s="64">
        <v>15585.09</v>
      </c>
    </row>
    <row r="2094" spans="1:6" ht="30" x14ac:dyDescent="0.25">
      <c r="A2094" s="62" t="s">
        <v>4398</v>
      </c>
      <c r="B2094" s="96">
        <v>371353</v>
      </c>
      <c r="C2094" s="96" t="str">
        <f t="shared" si="225"/>
        <v>CPOS371353</v>
      </c>
      <c r="D2094" s="95" t="s">
        <v>2149</v>
      </c>
      <c r="E2094" s="63" t="s">
        <v>117</v>
      </c>
      <c r="F2094" s="64">
        <v>22227.23</v>
      </c>
    </row>
    <row r="2095" spans="1:6" x14ac:dyDescent="0.25">
      <c r="A2095" s="62" t="s">
        <v>4398</v>
      </c>
      <c r="B2095" s="96">
        <v>371355</v>
      </c>
      <c r="C2095" s="96" t="str">
        <f t="shared" si="225"/>
        <v>CPOS371355</v>
      </c>
      <c r="D2095" s="95" t="s">
        <v>2150</v>
      </c>
      <c r="E2095" s="63" t="s">
        <v>58</v>
      </c>
      <c r="F2095" s="64">
        <v>45519.86</v>
      </c>
    </row>
    <row r="2096" spans="1:6" x14ac:dyDescent="0.25">
      <c r="A2096" s="62" t="s">
        <v>4398</v>
      </c>
      <c r="B2096" s="96">
        <v>371357</v>
      </c>
      <c r="C2096" s="96" t="str">
        <f t="shared" si="225"/>
        <v>CPOS371357</v>
      </c>
      <c r="D2096" s="95" t="s">
        <v>2151</v>
      </c>
      <c r="E2096" s="63" t="s">
        <v>58</v>
      </c>
      <c r="F2096" s="64">
        <v>78861.83</v>
      </c>
    </row>
    <row r="2097" spans="1:6" x14ac:dyDescent="0.25">
      <c r="A2097" s="62" t="s">
        <v>4398</v>
      </c>
      <c r="B2097" s="96">
        <v>371359</v>
      </c>
      <c r="C2097" s="96" t="str">
        <f t="shared" si="225"/>
        <v>CPOS371359</v>
      </c>
      <c r="D2097" s="95" t="s">
        <v>2152</v>
      </c>
      <c r="E2097" s="63" t="s">
        <v>58</v>
      </c>
      <c r="F2097" s="64">
        <v>98329.290000000008</v>
      </c>
    </row>
    <row r="2098" spans="1:6" x14ac:dyDescent="0.25">
      <c r="A2098" s="62" t="s">
        <v>4398</v>
      </c>
      <c r="B2098" s="96">
        <v>371360</v>
      </c>
      <c r="C2098" s="96" t="str">
        <f t="shared" si="225"/>
        <v>CPOS371360</v>
      </c>
      <c r="D2098" s="95" t="s">
        <v>2153</v>
      </c>
      <c r="E2098" s="63" t="s">
        <v>58</v>
      </c>
      <c r="F2098" s="64">
        <v>15.89</v>
      </c>
    </row>
    <row r="2099" spans="1:6" x14ac:dyDescent="0.25">
      <c r="A2099" s="62" t="s">
        <v>4398</v>
      </c>
      <c r="B2099" s="96">
        <v>371361</v>
      </c>
      <c r="C2099" s="96" t="str">
        <f t="shared" si="225"/>
        <v>CPOS371361</v>
      </c>
      <c r="D2099" s="95" t="s">
        <v>2154</v>
      </c>
      <c r="E2099" s="63" t="s">
        <v>58</v>
      </c>
      <c r="F2099" s="64">
        <v>21.740000000000002</v>
      </c>
    </row>
    <row r="2100" spans="1:6" x14ac:dyDescent="0.25">
      <c r="A2100" s="62" t="s">
        <v>4398</v>
      </c>
      <c r="B2100" s="96">
        <v>371362</v>
      </c>
      <c r="C2100" s="96" t="str">
        <f t="shared" si="225"/>
        <v>CPOS371362</v>
      </c>
      <c r="D2100" s="95" t="s">
        <v>2155</v>
      </c>
      <c r="E2100" s="63" t="s">
        <v>58</v>
      </c>
      <c r="F2100" s="64">
        <v>25.47</v>
      </c>
    </row>
    <row r="2101" spans="1:6" x14ac:dyDescent="0.25">
      <c r="A2101" s="62" t="s">
        <v>4398</v>
      </c>
      <c r="B2101" s="96">
        <v>371363</v>
      </c>
      <c r="C2101" s="96" t="str">
        <f t="shared" si="225"/>
        <v>CPOS371363</v>
      </c>
      <c r="D2101" s="95" t="s">
        <v>2156</v>
      </c>
      <c r="E2101" s="63" t="s">
        <v>58</v>
      </c>
      <c r="F2101" s="64">
        <v>61.27</v>
      </c>
    </row>
    <row r="2102" spans="1:6" x14ac:dyDescent="0.25">
      <c r="A2102" s="62" t="s">
        <v>4398</v>
      </c>
      <c r="B2102" s="96">
        <v>371364</v>
      </c>
      <c r="C2102" s="96" t="str">
        <f t="shared" si="225"/>
        <v>CPOS371364</v>
      </c>
      <c r="D2102" s="95" t="s">
        <v>2157</v>
      </c>
      <c r="E2102" s="63" t="s">
        <v>58</v>
      </c>
      <c r="F2102" s="64">
        <v>79.260000000000005</v>
      </c>
    </row>
    <row r="2103" spans="1:6" x14ac:dyDescent="0.25">
      <c r="A2103" s="62" t="s">
        <v>4398</v>
      </c>
      <c r="B2103" s="96">
        <v>371365</v>
      </c>
      <c r="C2103" s="96" t="str">
        <f t="shared" si="225"/>
        <v>CPOS371365</v>
      </c>
      <c r="D2103" s="95" t="s">
        <v>2158</v>
      </c>
      <c r="E2103" s="63" t="s">
        <v>58</v>
      </c>
      <c r="F2103" s="64">
        <v>80.13</v>
      </c>
    </row>
    <row r="2104" spans="1:6" x14ac:dyDescent="0.25">
      <c r="A2104" s="62" t="s">
        <v>4398</v>
      </c>
      <c r="B2104" s="96">
        <v>371366</v>
      </c>
      <c r="C2104" s="96" t="str">
        <f t="shared" si="225"/>
        <v>CPOS371366</v>
      </c>
      <c r="D2104" s="95" t="s">
        <v>2159</v>
      </c>
      <c r="E2104" s="63" t="s">
        <v>58</v>
      </c>
      <c r="F2104" s="64">
        <v>104.23</v>
      </c>
    </row>
    <row r="2105" spans="1:6" ht="30" x14ac:dyDescent="0.25">
      <c r="A2105" s="62" t="s">
        <v>4398</v>
      </c>
      <c r="B2105" s="96">
        <v>371369</v>
      </c>
      <c r="C2105" s="96" t="str">
        <f t="shared" si="225"/>
        <v>CPOS371369</v>
      </c>
      <c r="D2105" s="95" t="s">
        <v>2160</v>
      </c>
      <c r="E2105" s="63" t="s">
        <v>58</v>
      </c>
      <c r="F2105" s="64">
        <v>323.43</v>
      </c>
    </row>
    <row r="2106" spans="1:6" ht="30" x14ac:dyDescent="0.25">
      <c r="A2106" s="62" t="s">
        <v>4398</v>
      </c>
      <c r="B2106" s="96">
        <v>371370</v>
      </c>
      <c r="C2106" s="96" t="str">
        <f t="shared" si="225"/>
        <v>CPOS371370</v>
      </c>
      <c r="D2106" s="95" t="s">
        <v>2161</v>
      </c>
      <c r="E2106" s="63" t="s">
        <v>58</v>
      </c>
      <c r="F2106" s="64">
        <v>496.64</v>
      </c>
    </row>
    <row r="2107" spans="1:6" ht="30" x14ac:dyDescent="0.25">
      <c r="A2107" s="62" t="s">
        <v>4398</v>
      </c>
      <c r="B2107" s="96">
        <v>371372</v>
      </c>
      <c r="C2107" s="96" t="str">
        <f t="shared" si="225"/>
        <v>CPOS371372</v>
      </c>
      <c r="D2107" s="95" t="s">
        <v>2162</v>
      </c>
      <c r="E2107" s="63" t="s">
        <v>58</v>
      </c>
      <c r="F2107" s="64">
        <v>1487.41</v>
      </c>
    </row>
    <row r="2108" spans="1:6" ht="30" x14ac:dyDescent="0.25">
      <c r="A2108" s="62" t="s">
        <v>4398</v>
      </c>
      <c r="B2108" s="96">
        <v>371373</v>
      </c>
      <c r="C2108" s="96" t="str">
        <f t="shared" si="225"/>
        <v>CPOS371373</v>
      </c>
      <c r="D2108" s="95" t="s">
        <v>2163</v>
      </c>
      <c r="E2108" s="63" t="s">
        <v>58</v>
      </c>
      <c r="F2108" s="64">
        <v>2409.3200000000002</v>
      </c>
    </row>
    <row r="2109" spans="1:6" ht="30" x14ac:dyDescent="0.25">
      <c r="A2109" s="62" t="s">
        <v>4398</v>
      </c>
      <c r="B2109" s="96">
        <v>371374</v>
      </c>
      <c r="C2109" s="96" t="str">
        <f t="shared" si="225"/>
        <v>CPOS371374</v>
      </c>
      <c r="D2109" s="95" t="s">
        <v>2164</v>
      </c>
      <c r="E2109" s="63" t="s">
        <v>58</v>
      </c>
      <c r="F2109" s="64">
        <v>4518.95</v>
      </c>
    </row>
    <row r="2110" spans="1:6" ht="30" x14ac:dyDescent="0.25">
      <c r="A2110" s="62" t="s">
        <v>4398</v>
      </c>
      <c r="B2110" s="96">
        <v>371376</v>
      </c>
      <c r="C2110" s="96" t="str">
        <f t="shared" si="225"/>
        <v>CPOS371376</v>
      </c>
      <c r="D2110" s="95" t="s">
        <v>2165</v>
      </c>
      <c r="E2110" s="63" t="s">
        <v>58</v>
      </c>
      <c r="F2110" s="64">
        <v>2825.83</v>
      </c>
    </row>
    <row r="2111" spans="1:6" ht="30" x14ac:dyDescent="0.25">
      <c r="A2111" s="62" t="s">
        <v>4398</v>
      </c>
      <c r="B2111" s="96">
        <v>371377</v>
      </c>
      <c r="C2111" s="96" t="str">
        <f t="shared" si="225"/>
        <v>CPOS371377</v>
      </c>
      <c r="D2111" s="95" t="s">
        <v>2166</v>
      </c>
      <c r="E2111" s="63" t="s">
        <v>58</v>
      </c>
      <c r="F2111" s="64">
        <v>5956.4800000000005</v>
      </c>
    </row>
    <row r="2112" spans="1:6" ht="30" x14ac:dyDescent="0.25">
      <c r="A2112" s="62" t="s">
        <v>4398</v>
      </c>
      <c r="B2112" s="96">
        <v>371378</v>
      </c>
      <c r="C2112" s="96" t="str">
        <f t="shared" si="225"/>
        <v>CPOS371378</v>
      </c>
      <c r="D2112" s="95" t="s">
        <v>2167</v>
      </c>
      <c r="E2112" s="63" t="s">
        <v>58</v>
      </c>
      <c r="F2112" s="64">
        <v>8318.09</v>
      </c>
    </row>
    <row r="2113" spans="1:6" x14ac:dyDescent="0.25">
      <c r="A2113" s="62" t="s">
        <v>4398</v>
      </c>
      <c r="B2113" s="96">
        <v>371380</v>
      </c>
      <c r="C2113" s="96" t="str">
        <f t="shared" si="225"/>
        <v>CPOS371380</v>
      </c>
      <c r="D2113" s="95" t="s">
        <v>2168</v>
      </c>
      <c r="E2113" s="63" t="s">
        <v>58</v>
      </c>
      <c r="F2113" s="64">
        <v>11.86</v>
      </c>
    </row>
    <row r="2114" spans="1:6" x14ac:dyDescent="0.25">
      <c r="A2114" s="62" t="s">
        <v>4398</v>
      </c>
      <c r="B2114" s="96">
        <v>371381</v>
      </c>
      <c r="C2114" s="96" t="str">
        <f t="shared" si="225"/>
        <v>CPOS371381</v>
      </c>
      <c r="D2114" s="95" t="s">
        <v>2169</v>
      </c>
      <c r="E2114" s="63" t="s">
        <v>58</v>
      </c>
      <c r="F2114" s="64">
        <v>14.200000000000001</v>
      </c>
    </row>
    <row r="2115" spans="1:6" x14ac:dyDescent="0.25">
      <c r="A2115" s="62" t="s">
        <v>4398</v>
      </c>
      <c r="B2115" s="96">
        <v>371382</v>
      </c>
      <c r="C2115" s="96" t="str">
        <f t="shared" si="225"/>
        <v>CPOS371382</v>
      </c>
      <c r="D2115" s="95" t="s">
        <v>2170</v>
      </c>
      <c r="E2115" s="63" t="s">
        <v>58</v>
      </c>
      <c r="F2115" s="64">
        <v>18.82</v>
      </c>
    </row>
    <row r="2116" spans="1:6" x14ac:dyDescent="0.25">
      <c r="A2116" s="62" t="s">
        <v>4398</v>
      </c>
      <c r="B2116" s="96">
        <v>371384</v>
      </c>
      <c r="C2116" s="96" t="str">
        <f t="shared" si="225"/>
        <v>CPOS371384</v>
      </c>
      <c r="D2116" s="95" t="s">
        <v>2171</v>
      </c>
      <c r="E2116" s="63" t="s">
        <v>58</v>
      </c>
      <c r="F2116" s="64">
        <v>34.909999999999997</v>
      </c>
    </row>
    <row r="2117" spans="1:6" x14ac:dyDescent="0.25">
      <c r="A2117" s="62" t="s">
        <v>4398</v>
      </c>
      <c r="B2117" s="96">
        <v>371385</v>
      </c>
      <c r="C2117" s="96" t="str">
        <f t="shared" si="225"/>
        <v>CPOS371385</v>
      </c>
      <c r="D2117" s="95" t="s">
        <v>2172</v>
      </c>
      <c r="E2117" s="63" t="s">
        <v>58</v>
      </c>
      <c r="F2117" s="64">
        <v>39.15</v>
      </c>
    </row>
    <row r="2118" spans="1:6" x14ac:dyDescent="0.25">
      <c r="A2118" s="62" t="s">
        <v>4398</v>
      </c>
      <c r="B2118" s="96">
        <v>371386</v>
      </c>
      <c r="C2118" s="96" t="str">
        <f t="shared" si="225"/>
        <v>CPOS371386</v>
      </c>
      <c r="D2118" s="95" t="s">
        <v>2173</v>
      </c>
      <c r="E2118" s="63" t="s">
        <v>58</v>
      </c>
      <c r="F2118" s="64">
        <v>49.480000000000004</v>
      </c>
    </row>
    <row r="2119" spans="1:6" x14ac:dyDescent="0.25">
      <c r="A2119" s="62" t="s">
        <v>4398</v>
      </c>
      <c r="B2119" s="96">
        <v>371387</v>
      </c>
      <c r="C2119" s="96" t="str">
        <f t="shared" si="225"/>
        <v>CPOS371387</v>
      </c>
      <c r="D2119" s="95" t="s">
        <v>2174</v>
      </c>
      <c r="E2119" s="63" t="s">
        <v>58</v>
      </c>
      <c r="F2119" s="64">
        <v>417.16</v>
      </c>
    </row>
    <row r="2120" spans="1:6" x14ac:dyDescent="0.25">
      <c r="A2120" s="62" t="s">
        <v>4398</v>
      </c>
      <c r="B2120" s="96">
        <v>371388</v>
      </c>
      <c r="C2120" s="96" t="str">
        <f t="shared" si="225"/>
        <v>CPOS371388</v>
      </c>
      <c r="D2120" s="95" t="s">
        <v>2175</v>
      </c>
      <c r="E2120" s="63" t="s">
        <v>58</v>
      </c>
      <c r="F2120" s="64">
        <v>45.02</v>
      </c>
    </row>
    <row r="2121" spans="1:6" x14ac:dyDescent="0.25">
      <c r="A2121" s="62" t="s">
        <v>4398</v>
      </c>
      <c r="B2121" s="96">
        <v>371389</v>
      </c>
      <c r="C2121" s="96" t="str">
        <f t="shared" si="225"/>
        <v>CPOS371389</v>
      </c>
      <c r="D2121" s="95" t="s">
        <v>2176</v>
      </c>
      <c r="E2121" s="63" t="s">
        <v>58</v>
      </c>
      <c r="F2121" s="64">
        <v>48.49</v>
      </c>
    </row>
    <row r="2122" spans="1:6" x14ac:dyDescent="0.25">
      <c r="A2122" s="62" t="s">
        <v>4398</v>
      </c>
      <c r="B2122" s="96">
        <v>371390</v>
      </c>
      <c r="C2122" s="96" t="str">
        <f t="shared" si="225"/>
        <v>CPOS371390</v>
      </c>
      <c r="D2122" s="95" t="s">
        <v>2177</v>
      </c>
      <c r="E2122" s="63" t="s">
        <v>58</v>
      </c>
      <c r="F2122" s="64">
        <v>58.6</v>
      </c>
    </row>
    <row r="2123" spans="1:6" x14ac:dyDescent="0.25">
      <c r="A2123" s="62" t="s">
        <v>4398</v>
      </c>
      <c r="B2123" s="96">
        <v>371391</v>
      </c>
      <c r="C2123" s="96" t="str">
        <f t="shared" si="225"/>
        <v>CPOS371391</v>
      </c>
      <c r="D2123" s="95" t="s">
        <v>2178</v>
      </c>
      <c r="E2123" s="63" t="s">
        <v>58</v>
      </c>
      <c r="F2123" s="64">
        <v>690.30000000000007</v>
      </c>
    </row>
    <row r="2124" spans="1:6" ht="30" x14ac:dyDescent="0.25">
      <c r="A2124" s="62" t="s">
        <v>4398</v>
      </c>
      <c r="B2124" s="96">
        <v>371392</v>
      </c>
      <c r="C2124" s="96" t="str">
        <f t="shared" si="225"/>
        <v>CPOS371392</v>
      </c>
      <c r="D2124" s="95" t="s">
        <v>2179</v>
      </c>
      <c r="E2124" s="63" t="s">
        <v>58</v>
      </c>
      <c r="F2124" s="64">
        <v>19994.599999999999</v>
      </c>
    </row>
    <row r="2125" spans="1:6" ht="30" x14ac:dyDescent="0.25">
      <c r="A2125" s="62" t="s">
        <v>4398</v>
      </c>
      <c r="B2125" s="96">
        <v>371393</v>
      </c>
      <c r="C2125" s="96" t="str">
        <f t="shared" si="225"/>
        <v>CPOS371393</v>
      </c>
      <c r="D2125" s="95" t="s">
        <v>2180</v>
      </c>
      <c r="E2125" s="63" t="s">
        <v>58</v>
      </c>
      <c r="F2125" s="64">
        <v>30015.54</v>
      </c>
    </row>
    <row r="2126" spans="1:6" x14ac:dyDescent="0.25">
      <c r="A2126" s="62" t="s">
        <v>4398</v>
      </c>
      <c r="B2126" s="96">
        <v>371394</v>
      </c>
      <c r="C2126" s="96" t="str">
        <f t="shared" si="225"/>
        <v>CPOS371394</v>
      </c>
      <c r="D2126" s="95" t="s">
        <v>2181</v>
      </c>
      <c r="E2126" s="63" t="s">
        <v>58</v>
      </c>
      <c r="F2126" s="64">
        <v>199312.54</v>
      </c>
    </row>
    <row r="2127" spans="1:6" x14ac:dyDescent="0.25">
      <c r="D2127" s="94" t="s">
        <v>2182</v>
      </c>
    </row>
    <row r="2128" spans="1:6" x14ac:dyDescent="0.25">
      <c r="A2128" s="62" t="s">
        <v>4398</v>
      </c>
      <c r="B2128" s="96">
        <v>371405</v>
      </c>
      <c r="C2128" s="96" t="str">
        <f t="shared" ref="C2128:C2151" si="226">A2128&amp;B2128</f>
        <v>CPOS371405</v>
      </c>
      <c r="D2128" s="95" t="s">
        <v>2183</v>
      </c>
      <c r="E2128" s="63" t="s">
        <v>58</v>
      </c>
      <c r="F2128" s="64">
        <v>1620.71</v>
      </c>
    </row>
    <row r="2129" spans="1:6" ht="30" x14ac:dyDescent="0.25">
      <c r="A2129" s="62" t="s">
        <v>4398</v>
      </c>
      <c r="B2129" s="96">
        <v>371430</v>
      </c>
      <c r="C2129" s="96" t="str">
        <f t="shared" si="226"/>
        <v>CPOS371430</v>
      </c>
      <c r="D2129" s="95" t="s">
        <v>2184</v>
      </c>
      <c r="E2129" s="63" t="s">
        <v>58</v>
      </c>
      <c r="F2129" s="64">
        <v>787.46</v>
      </c>
    </row>
    <row r="2130" spans="1:6" ht="30" x14ac:dyDescent="0.25">
      <c r="A2130" s="62" t="s">
        <v>4398</v>
      </c>
      <c r="B2130" s="96">
        <v>371431</v>
      </c>
      <c r="C2130" s="96" t="str">
        <f t="shared" si="226"/>
        <v>CPOS371431</v>
      </c>
      <c r="D2130" s="95" t="s">
        <v>2185</v>
      </c>
      <c r="E2130" s="63" t="s">
        <v>58</v>
      </c>
      <c r="F2130" s="64">
        <v>885.74</v>
      </c>
    </row>
    <row r="2131" spans="1:6" ht="30" x14ac:dyDescent="0.25">
      <c r="A2131" s="62" t="s">
        <v>4398</v>
      </c>
      <c r="B2131" s="96">
        <v>371432</v>
      </c>
      <c r="C2131" s="96" t="str">
        <f t="shared" si="226"/>
        <v>CPOS371432</v>
      </c>
      <c r="D2131" s="95" t="s">
        <v>2186</v>
      </c>
      <c r="E2131" s="63" t="s">
        <v>58</v>
      </c>
      <c r="F2131" s="64">
        <v>1040.3499999999999</v>
      </c>
    </row>
    <row r="2132" spans="1:6" ht="30" x14ac:dyDescent="0.25">
      <c r="A2132" s="62" t="s">
        <v>4398</v>
      </c>
      <c r="B2132" s="96">
        <v>371433</v>
      </c>
      <c r="C2132" s="96" t="str">
        <f t="shared" si="226"/>
        <v>CPOS371433</v>
      </c>
      <c r="D2132" s="95" t="s">
        <v>2187</v>
      </c>
      <c r="E2132" s="63" t="s">
        <v>58</v>
      </c>
      <c r="F2132" s="64">
        <v>1345.38</v>
      </c>
    </row>
    <row r="2133" spans="1:6" ht="30" x14ac:dyDescent="0.25">
      <c r="A2133" s="62" t="s">
        <v>4398</v>
      </c>
      <c r="B2133" s="96">
        <v>371434</v>
      </c>
      <c r="C2133" s="96" t="str">
        <f t="shared" si="226"/>
        <v>CPOS371434</v>
      </c>
      <c r="D2133" s="95" t="s">
        <v>2188</v>
      </c>
      <c r="E2133" s="63" t="s">
        <v>58</v>
      </c>
      <c r="F2133" s="64">
        <v>2329.5100000000002</v>
      </c>
    </row>
    <row r="2134" spans="1:6" ht="30" x14ac:dyDescent="0.25">
      <c r="A2134" s="62" t="s">
        <v>4398</v>
      </c>
      <c r="B2134" s="96">
        <v>371435</v>
      </c>
      <c r="C2134" s="96" t="str">
        <f t="shared" si="226"/>
        <v>CPOS371435</v>
      </c>
      <c r="D2134" s="95" t="s">
        <v>2189</v>
      </c>
      <c r="E2134" s="63" t="s">
        <v>58</v>
      </c>
      <c r="F2134" s="64">
        <v>4967.29</v>
      </c>
    </row>
    <row r="2135" spans="1:6" ht="30" x14ac:dyDescent="0.25">
      <c r="A2135" s="62" t="s">
        <v>4398</v>
      </c>
      <c r="B2135" s="96">
        <v>371441</v>
      </c>
      <c r="C2135" s="96" t="str">
        <f t="shared" si="226"/>
        <v>CPOS371441</v>
      </c>
      <c r="D2135" s="95" t="s">
        <v>2190</v>
      </c>
      <c r="E2135" s="63" t="s">
        <v>58</v>
      </c>
      <c r="F2135" s="64">
        <v>926</v>
      </c>
    </row>
    <row r="2136" spans="1:6" ht="30" x14ac:dyDescent="0.25">
      <c r="A2136" s="62" t="s">
        <v>4398</v>
      </c>
      <c r="B2136" s="96">
        <v>371442</v>
      </c>
      <c r="C2136" s="96" t="str">
        <f t="shared" si="226"/>
        <v>CPOS371442</v>
      </c>
      <c r="D2136" s="95" t="s">
        <v>2191</v>
      </c>
      <c r="E2136" s="63" t="s">
        <v>58</v>
      </c>
      <c r="F2136" s="64">
        <v>940.77</v>
      </c>
    </row>
    <row r="2137" spans="1:6" ht="30" x14ac:dyDescent="0.25">
      <c r="A2137" s="62" t="s">
        <v>4398</v>
      </c>
      <c r="B2137" s="96">
        <v>371443</v>
      </c>
      <c r="C2137" s="96" t="str">
        <f t="shared" si="226"/>
        <v>CPOS371443</v>
      </c>
      <c r="D2137" s="95" t="s">
        <v>2192</v>
      </c>
      <c r="E2137" s="63" t="s">
        <v>58</v>
      </c>
      <c r="F2137" s="64">
        <v>1852.99</v>
      </c>
    </row>
    <row r="2138" spans="1:6" ht="30" x14ac:dyDescent="0.25">
      <c r="A2138" s="62" t="s">
        <v>4398</v>
      </c>
      <c r="B2138" s="96">
        <v>371444</v>
      </c>
      <c r="C2138" s="96" t="str">
        <f t="shared" si="226"/>
        <v>CPOS371444</v>
      </c>
      <c r="D2138" s="95" t="s">
        <v>2193</v>
      </c>
      <c r="E2138" s="63" t="s">
        <v>58</v>
      </c>
      <c r="F2138" s="64">
        <v>2037.98</v>
      </c>
    </row>
    <row r="2139" spans="1:6" ht="30" x14ac:dyDescent="0.25">
      <c r="A2139" s="62" t="s">
        <v>4398</v>
      </c>
      <c r="B2139" s="96">
        <v>371445</v>
      </c>
      <c r="C2139" s="96" t="str">
        <f t="shared" si="226"/>
        <v>CPOS371445</v>
      </c>
      <c r="D2139" s="95" t="s">
        <v>2194</v>
      </c>
      <c r="E2139" s="63" t="s">
        <v>58</v>
      </c>
      <c r="F2139" s="64">
        <v>4070.35</v>
      </c>
    </row>
    <row r="2140" spans="1:6" ht="30" x14ac:dyDescent="0.25">
      <c r="A2140" s="62" t="s">
        <v>4398</v>
      </c>
      <c r="B2140" s="96">
        <v>371450</v>
      </c>
      <c r="C2140" s="96" t="str">
        <f t="shared" si="226"/>
        <v>CPOS371450</v>
      </c>
      <c r="D2140" s="95" t="s">
        <v>2195</v>
      </c>
      <c r="E2140" s="63" t="s">
        <v>58</v>
      </c>
      <c r="F2140" s="64">
        <v>189.19</v>
      </c>
    </row>
    <row r="2141" spans="1:6" ht="30" x14ac:dyDescent="0.25">
      <c r="A2141" s="62" t="s">
        <v>4398</v>
      </c>
      <c r="B2141" s="96">
        <v>371451</v>
      </c>
      <c r="C2141" s="96" t="str">
        <f t="shared" si="226"/>
        <v>CPOS371451</v>
      </c>
      <c r="D2141" s="95" t="s">
        <v>2196</v>
      </c>
      <c r="E2141" s="63" t="s">
        <v>58</v>
      </c>
      <c r="F2141" s="64">
        <v>342.12</v>
      </c>
    </row>
    <row r="2142" spans="1:6" ht="30" x14ac:dyDescent="0.25">
      <c r="A2142" s="62" t="s">
        <v>4398</v>
      </c>
      <c r="B2142" s="96">
        <v>371452</v>
      </c>
      <c r="C2142" s="96" t="str">
        <f t="shared" si="226"/>
        <v>CPOS371452</v>
      </c>
      <c r="D2142" s="95" t="s">
        <v>2197</v>
      </c>
      <c r="E2142" s="63" t="s">
        <v>58</v>
      </c>
      <c r="F2142" s="64">
        <v>514.54999999999995</v>
      </c>
    </row>
    <row r="2143" spans="1:6" ht="30" x14ac:dyDescent="0.25">
      <c r="A2143" s="62" t="s">
        <v>4398</v>
      </c>
      <c r="B2143" s="96">
        <v>371453</v>
      </c>
      <c r="C2143" s="96" t="str">
        <f t="shared" si="226"/>
        <v>CPOS371453</v>
      </c>
      <c r="D2143" s="95" t="s">
        <v>2198</v>
      </c>
      <c r="E2143" s="63" t="s">
        <v>58</v>
      </c>
      <c r="F2143" s="64">
        <v>809.08</v>
      </c>
    </row>
    <row r="2144" spans="1:6" x14ac:dyDescent="0.25">
      <c r="A2144" s="62" t="s">
        <v>4398</v>
      </c>
      <c r="B2144" s="96">
        <v>371460</v>
      </c>
      <c r="C2144" s="96" t="str">
        <f t="shared" si="226"/>
        <v>CPOS371460</v>
      </c>
      <c r="D2144" s="95" t="s">
        <v>2199</v>
      </c>
      <c r="E2144" s="63" t="s">
        <v>58</v>
      </c>
      <c r="F2144" s="64">
        <v>2831.12</v>
      </c>
    </row>
    <row r="2145" spans="1:6" x14ac:dyDescent="0.25">
      <c r="A2145" s="62" t="s">
        <v>4398</v>
      </c>
      <c r="B2145" s="96">
        <v>371461</v>
      </c>
      <c r="C2145" s="96" t="str">
        <f t="shared" si="226"/>
        <v>CPOS371461</v>
      </c>
      <c r="D2145" s="95" t="s">
        <v>2200</v>
      </c>
      <c r="E2145" s="63" t="s">
        <v>58</v>
      </c>
      <c r="F2145" s="64">
        <v>3952.9500000000003</v>
      </c>
    </row>
    <row r="2146" spans="1:6" x14ac:dyDescent="0.25">
      <c r="A2146" s="62" t="s">
        <v>4398</v>
      </c>
      <c r="B2146" s="96">
        <v>371462</v>
      </c>
      <c r="C2146" s="96" t="str">
        <f t="shared" si="226"/>
        <v>CPOS371462</v>
      </c>
      <c r="D2146" s="95" t="s">
        <v>2201</v>
      </c>
      <c r="E2146" s="63" t="s">
        <v>58</v>
      </c>
      <c r="F2146" s="64">
        <v>6016.92</v>
      </c>
    </row>
    <row r="2147" spans="1:6" ht="30" x14ac:dyDescent="0.25">
      <c r="A2147" s="62" t="s">
        <v>4398</v>
      </c>
      <c r="B2147" s="96">
        <v>371464</v>
      </c>
      <c r="C2147" s="96" t="str">
        <f t="shared" si="226"/>
        <v>CPOS371464</v>
      </c>
      <c r="D2147" s="95" t="s">
        <v>2202</v>
      </c>
      <c r="E2147" s="63" t="s">
        <v>58</v>
      </c>
      <c r="F2147" s="64">
        <v>4667.03</v>
      </c>
    </row>
    <row r="2148" spans="1:6" x14ac:dyDescent="0.25">
      <c r="A2148" s="62" t="s">
        <v>4398</v>
      </c>
      <c r="B2148" s="96">
        <v>371481</v>
      </c>
      <c r="C2148" s="96" t="str">
        <f t="shared" si="226"/>
        <v>CPOS371481</v>
      </c>
      <c r="D2148" s="95" t="s">
        <v>2203</v>
      </c>
      <c r="E2148" s="63" t="s">
        <v>58</v>
      </c>
      <c r="F2148" s="64">
        <v>22.92</v>
      </c>
    </row>
    <row r="2149" spans="1:6" x14ac:dyDescent="0.25">
      <c r="A2149" s="62" t="s">
        <v>4398</v>
      </c>
      <c r="B2149" s="96">
        <v>371482</v>
      </c>
      <c r="C2149" s="96" t="str">
        <f t="shared" si="226"/>
        <v>CPOS371482</v>
      </c>
      <c r="D2149" s="95" t="s">
        <v>2204</v>
      </c>
      <c r="E2149" s="63" t="s">
        <v>58</v>
      </c>
      <c r="F2149" s="64">
        <v>31.59</v>
      </c>
    </row>
    <row r="2150" spans="1:6" x14ac:dyDescent="0.25">
      <c r="A2150" s="62" t="s">
        <v>4398</v>
      </c>
      <c r="B2150" s="96">
        <v>371483</v>
      </c>
      <c r="C2150" s="96" t="str">
        <f t="shared" si="226"/>
        <v>CPOS371483</v>
      </c>
      <c r="D2150" s="95" t="s">
        <v>2205</v>
      </c>
      <c r="E2150" s="63" t="s">
        <v>58</v>
      </c>
      <c r="F2150" s="64">
        <v>44.24</v>
      </c>
    </row>
    <row r="2151" spans="1:6" x14ac:dyDescent="0.25">
      <c r="A2151" s="62" t="s">
        <v>4398</v>
      </c>
      <c r="B2151" s="96">
        <v>371491</v>
      </c>
      <c r="C2151" s="96" t="str">
        <f t="shared" si="226"/>
        <v>CPOS371491</v>
      </c>
      <c r="D2151" s="95" t="s">
        <v>2206</v>
      </c>
      <c r="E2151" s="63" t="s">
        <v>58</v>
      </c>
      <c r="F2151" s="64">
        <v>229.12</v>
      </c>
    </row>
    <row r="2152" spans="1:6" x14ac:dyDescent="0.25">
      <c r="D2152" s="94" t="s">
        <v>2207</v>
      </c>
    </row>
    <row r="2153" spans="1:6" x14ac:dyDescent="0.25">
      <c r="A2153" s="62" t="s">
        <v>4398</v>
      </c>
      <c r="B2153" s="96">
        <v>371511</v>
      </c>
      <c r="C2153" s="96" t="str">
        <f t="shared" ref="C2153:C2161" si="227">A2153&amp;B2153</f>
        <v>CPOS371511</v>
      </c>
      <c r="D2153" s="95" t="s">
        <v>2208</v>
      </c>
      <c r="E2153" s="63" t="s">
        <v>58</v>
      </c>
      <c r="F2153" s="64">
        <v>1511.6200000000001</v>
      </c>
    </row>
    <row r="2154" spans="1:6" x14ac:dyDescent="0.25">
      <c r="A2154" s="62" t="s">
        <v>4398</v>
      </c>
      <c r="B2154" s="96">
        <v>371512</v>
      </c>
      <c r="C2154" s="96" t="str">
        <f t="shared" si="227"/>
        <v>CPOS371512</v>
      </c>
      <c r="D2154" s="95" t="s">
        <v>2209</v>
      </c>
      <c r="E2154" s="63" t="s">
        <v>58</v>
      </c>
      <c r="F2154" s="64">
        <v>1146.54</v>
      </c>
    </row>
    <row r="2155" spans="1:6" x14ac:dyDescent="0.25">
      <c r="A2155" s="62" t="s">
        <v>4398</v>
      </c>
      <c r="B2155" s="96">
        <v>371514</v>
      </c>
      <c r="C2155" s="96" t="str">
        <f t="shared" si="227"/>
        <v>CPOS371514</v>
      </c>
      <c r="D2155" s="95" t="s">
        <v>2210</v>
      </c>
      <c r="E2155" s="63" t="s">
        <v>58</v>
      </c>
      <c r="F2155" s="64">
        <v>1171.79</v>
      </c>
    </row>
    <row r="2156" spans="1:6" ht="30" x14ac:dyDescent="0.25">
      <c r="A2156" s="62" t="s">
        <v>4398</v>
      </c>
      <c r="B2156" s="96">
        <v>371515</v>
      </c>
      <c r="C2156" s="96" t="str">
        <f t="shared" si="227"/>
        <v>CPOS371515</v>
      </c>
      <c r="D2156" s="95" t="s">
        <v>2211</v>
      </c>
      <c r="E2156" s="63" t="s">
        <v>58</v>
      </c>
      <c r="F2156" s="64">
        <v>223.66</v>
      </c>
    </row>
    <row r="2157" spans="1:6" ht="30" x14ac:dyDescent="0.25">
      <c r="A2157" s="62" t="s">
        <v>4398</v>
      </c>
      <c r="B2157" s="96">
        <v>371516</v>
      </c>
      <c r="C2157" s="96" t="str">
        <f t="shared" si="227"/>
        <v>CPOS371516</v>
      </c>
      <c r="D2157" s="95" t="s">
        <v>2212</v>
      </c>
      <c r="E2157" s="63" t="s">
        <v>58</v>
      </c>
      <c r="F2157" s="64">
        <v>258.41000000000003</v>
      </c>
    </row>
    <row r="2158" spans="1:6" ht="30" x14ac:dyDescent="0.25">
      <c r="A2158" s="62" t="s">
        <v>4398</v>
      </c>
      <c r="B2158" s="96">
        <v>371517</v>
      </c>
      <c r="C2158" s="96" t="str">
        <f t="shared" si="227"/>
        <v>CPOS371517</v>
      </c>
      <c r="D2158" s="95" t="s">
        <v>2213</v>
      </c>
      <c r="E2158" s="63" t="s">
        <v>58</v>
      </c>
      <c r="F2158" s="64">
        <v>250.89000000000001</v>
      </c>
    </row>
    <row r="2159" spans="1:6" x14ac:dyDescent="0.25">
      <c r="A2159" s="62" t="s">
        <v>4398</v>
      </c>
      <c r="B2159" s="96">
        <v>371520</v>
      </c>
      <c r="C2159" s="96" t="str">
        <f t="shared" si="227"/>
        <v>CPOS371520</v>
      </c>
      <c r="D2159" s="95" t="s">
        <v>2214</v>
      </c>
      <c r="E2159" s="63" t="s">
        <v>58</v>
      </c>
      <c r="F2159" s="64">
        <v>842.95</v>
      </c>
    </row>
    <row r="2160" spans="1:6" x14ac:dyDescent="0.25">
      <c r="A2160" s="62" t="s">
        <v>4398</v>
      </c>
      <c r="B2160" s="96">
        <v>371521</v>
      </c>
      <c r="C2160" s="96" t="str">
        <f t="shared" si="227"/>
        <v>CPOS371521</v>
      </c>
      <c r="D2160" s="95" t="s">
        <v>2215</v>
      </c>
      <c r="E2160" s="63" t="s">
        <v>58</v>
      </c>
      <c r="F2160" s="64">
        <v>964.54</v>
      </c>
    </row>
    <row r="2161" spans="1:6" x14ac:dyDescent="0.25">
      <c r="A2161" s="62" t="s">
        <v>4398</v>
      </c>
      <c r="B2161" s="96">
        <v>371522</v>
      </c>
      <c r="C2161" s="96" t="str">
        <f t="shared" si="227"/>
        <v>CPOS371522</v>
      </c>
      <c r="D2161" s="95" t="s">
        <v>2216</v>
      </c>
      <c r="E2161" s="63" t="s">
        <v>58</v>
      </c>
      <c r="F2161" s="64">
        <v>1024.3499999999999</v>
      </c>
    </row>
    <row r="2162" spans="1:6" x14ac:dyDescent="0.25">
      <c r="D2162" s="94" t="s">
        <v>2217</v>
      </c>
    </row>
    <row r="2163" spans="1:6" x14ac:dyDescent="0.25">
      <c r="A2163" s="62" t="s">
        <v>4398</v>
      </c>
      <c r="B2163" s="96">
        <v>371607</v>
      </c>
      <c r="C2163" s="96" t="str">
        <f>A2163&amp;B2163</f>
        <v>CPOS371607</v>
      </c>
      <c r="D2163" s="95" t="s">
        <v>2218</v>
      </c>
      <c r="E2163" s="63" t="s">
        <v>2219</v>
      </c>
      <c r="F2163" s="64">
        <v>169</v>
      </c>
    </row>
    <row r="2164" spans="1:6" x14ac:dyDescent="0.25">
      <c r="D2164" s="94" t="s">
        <v>2220</v>
      </c>
    </row>
    <row r="2165" spans="1:6" x14ac:dyDescent="0.25">
      <c r="A2165" s="62" t="s">
        <v>4398</v>
      </c>
      <c r="B2165" s="96">
        <v>371706</v>
      </c>
      <c r="C2165" s="96" t="str">
        <f t="shared" ref="C2165:C2173" si="228">A2165&amp;B2165</f>
        <v>CPOS371706</v>
      </c>
      <c r="D2165" s="95" t="s">
        <v>2221</v>
      </c>
      <c r="E2165" s="63" t="s">
        <v>58</v>
      </c>
      <c r="F2165" s="64">
        <v>118.36</v>
      </c>
    </row>
    <row r="2166" spans="1:6" x14ac:dyDescent="0.25">
      <c r="A2166" s="62" t="s">
        <v>4398</v>
      </c>
      <c r="B2166" s="96">
        <v>371707</v>
      </c>
      <c r="C2166" s="96" t="str">
        <f t="shared" si="228"/>
        <v>CPOS371707</v>
      </c>
      <c r="D2166" s="95" t="s">
        <v>2222</v>
      </c>
      <c r="E2166" s="63" t="s">
        <v>58</v>
      </c>
      <c r="F2166" s="64">
        <v>127.37</v>
      </c>
    </row>
    <row r="2167" spans="1:6" x14ac:dyDescent="0.25">
      <c r="A2167" s="62" t="s">
        <v>4398</v>
      </c>
      <c r="B2167" s="96">
        <v>371708</v>
      </c>
      <c r="C2167" s="96" t="str">
        <f t="shared" si="228"/>
        <v>CPOS371708</v>
      </c>
      <c r="D2167" s="95" t="s">
        <v>2223</v>
      </c>
      <c r="E2167" s="63" t="s">
        <v>58</v>
      </c>
      <c r="F2167" s="64">
        <v>138.75</v>
      </c>
    </row>
    <row r="2168" spans="1:6" x14ac:dyDescent="0.25">
      <c r="A2168" s="62" t="s">
        <v>4398</v>
      </c>
      <c r="B2168" s="96">
        <v>371709</v>
      </c>
      <c r="C2168" s="96" t="str">
        <f t="shared" si="228"/>
        <v>CPOS371709</v>
      </c>
      <c r="D2168" s="95" t="s">
        <v>2224</v>
      </c>
      <c r="E2168" s="63" t="s">
        <v>58</v>
      </c>
      <c r="F2168" s="64">
        <v>168.48</v>
      </c>
    </row>
    <row r="2169" spans="1:6" x14ac:dyDescent="0.25">
      <c r="A2169" s="62" t="s">
        <v>4398</v>
      </c>
      <c r="B2169" s="96">
        <v>371710</v>
      </c>
      <c r="C2169" s="96" t="str">
        <f t="shared" si="228"/>
        <v>CPOS371710</v>
      </c>
      <c r="D2169" s="95" t="s">
        <v>2225</v>
      </c>
      <c r="E2169" s="63" t="s">
        <v>58</v>
      </c>
      <c r="F2169" s="64">
        <v>283.95</v>
      </c>
    </row>
    <row r="2170" spans="1:6" x14ac:dyDescent="0.25">
      <c r="A2170" s="62" t="s">
        <v>4398</v>
      </c>
      <c r="B2170" s="96">
        <v>371711</v>
      </c>
      <c r="C2170" s="96" t="str">
        <f t="shared" si="228"/>
        <v>CPOS371711</v>
      </c>
      <c r="D2170" s="95" t="s">
        <v>2226</v>
      </c>
      <c r="E2170" s="63" t="s">
        <v>58</v>
      </c>
      <c r="F2170" s="64">
        <v>281.95999999999998</v>
      </c>
    </row>
    <row r="2171" spans="1:6" x14ac:dyDescent="0.25">
      <c r="A2171" s="62" t="s">
        <v>4398</v>
      </c>
      <c r="B2171" s="96">
        <v>371712</v>
      </c>
      <c r="C2171" s="96" t="str">
        <f t="shared" si="228"/>
        <v>CPOS371712</v>
      </c>
      <c r="D2171" s="95" t="s">
        <v>2227</v>
      </c>
      <c r="E2171" s="63" t="s">
        <v>58</v>
      </c>
      <c r="F2171" s="64">
        <v>140.63999999999999</v>
      </c>
    </row>
    <row r="2172" spans="1:6" x14ac:dyDescent="0.25">
      <c r="A2172" s="62" t="s">
        <v>4398</v>
      </c>
      <c r="B2172" s="96">
        <v>371713</v>
      </c>
      <c r="C2172" s="96" t="str">
        <f t="shared" si="228"/>
        <v>CPOS371713</v>
      </c>
      <c r="D2172" s="95" t="s">
        <v>2228</v>
      </c>
      <c r="E2172" s="63" t="s">
        <v>58</v>
      </c>
      <c r="F2172" s="64">
        <v>170.51</v>
      </c>
    </row>
    <row r="2173" spans="1:6" x14ac:dyDescent="0.25">
      <c r="A2173" s="62" t="s">
        <v>4398</v>
      </c>
      <c r="B2173" s="96">
        <v>371718</v>
      </c>
      <c r="C2173" s="96" t="str">
        <f t="shared" si="228"/>
        <v>CPOS371718</v>
      </c>
      <c r="D2173" s="95" t="s">
        <v>2229</v>
      </c>
      <c r="E2173" s="63" t="s">
        <v>58</v>
      </c>
      <c r="F2173" s="64">
        <v>610.47</v>
      </c>
    </row>
    <row r="2174" spans="1:6" x14ac:dyDescent="0.25">
      <c r="D2174" s="94" t="s">
        <v>2230</v>
      </c>
    </row>
    <row r="2175" spans="1:6" ht="30" x14ac:dyDescent="0.25">
      <c r="A2175" s="62" t="s">
        <v>4398</v>
      </c>
      <c r="B2175" s="96">
        <v>371801</v>
      </c>
      <c r="C2175" s="96" t="str">
        <f t="shared" ref="C2175:C2178" si="229">A2175&amp;B2175</f>
        <v>CPOS371801</v>
      </c>
      <c r="D2175" s="95" t="s">
        <v>2231</v>
      </c>
      <c r="E2175" s="63" t="s">
        <v>58</v>
      </c>
      <c r="F2175" s="64">
        <v>1640.8700000000001</v>
      </c>
    </row>
    <row r="2176" spans="1:6" ht="30" x14ac:dyDescent="0.25">
      <c r="A2176" s="62" t="s">
        <v>4398</v>
      </c>
      <c r="B2176" s="96">
        <v>371802</v>
      </c>
      <c r="C2176" s="96" t="str">
        <f t="shared" si="229"/>
        <v>CPOS371802</v>
      </c>
      <c r="D2176" s="95" t="s">
        <v>2232</v>
      </c>
      <c r="E2176" s="63" t="s">
        <v>58</v>
      </c>
      <c r="F2176" s="64">
        <v>2299.9299999999998</v>
      </c>
    </row>
    <row r="2177" spans="1:6" ht="30" x14ac:dyDescent="0.25">
      <c r="A2177" s="62" t="s">
        <v>4398</v>
      </c>
      <c r="B2177" s="96">
        <v>371803</v>
      </c>
      <c r="C2177" s="96" t="str">
        <f t="shared" si="229"/>
        <v>CPOS371803</v>
      </c>
      <c r="D2177" s="95" t="s">
        <v>2233</v>
      </c>
      <c r="E2177" s="63" t="s">
        <v>58</v>
      </c>
      <c r="F2177" s="64">
        <v>1200.0999999999999</v>
      </c>
    </row>
    <row r="2178" spans="1:6" ht="30" x14ac:dyDescent="0.25">
      <c r="A2178" s="62" t="s">
        <v>4398</v>
      </c>
      <c r="B2178" s="96">
        <v>371804</v>
      </c>
      <c r="C2178" s="96" t="str">
        <f t="shared" si="229"/>
        <v>CPOS371804</v>
      </c>
      <c r="D2178" s="95" t="s">
        <v>2234</v>
      </c>
      <c r="E2178" s="63" t="s">
        <v>58</v>
      </c>
      <c r="F2178" s="64">
        <v>2163.2199999999998</v>
      </c>
    </row>
    <row r="2179" spans="1:6" x14ac:dyDescent="0.25">
      <c r="D2179" s="94" t="s">
        <v>2235</v>
      </c>
    </row>
    <row r="2180" spans="1:6" x14ac:dyDescent="0.25">
      <c r="A2180" s="62" t="s">
        <v>4398</v>
      </c>
      <c r="B2180" s="96">
        <v>371901</v>
      </c>
      <c r="C2180" s="96" t="str">
        <f t="shared" ref="C2180:C2184" si="230">A2180&amp;B2180</f>
        <v>CPOS371901</v>
      </c>
      <c r="D2180" s="95" t="s">
        <v>2236</v>
      </c>
      <c r="E2180" s="63" t="s">
        <v>58</v>
      </c>
      <c r="F2180" s="64">
        <v>180.11</v>
      </c>
    </row>
    <row r="2181" spans="1:6" x14ac:dyDescent="0.25">
      <c r="A2181" s="62" t="s">
        <v>4398</v>
      </c>
      <c r="B2181" s="96">
        <v>371902</v>
      </c>
      <c r="C2181" s="96" t="str">
        <f t="shared" si="230"/>
        <v>CPOS371902</v>
      </c>
      <c r="D2181" s="95" t="s">
        <v>2237</v>
      </c>
      <c r="E2181" s="63" t="s">
        <v>58</v>
      </c>
      <c r="F2181" s="64">
        <v>181.43</v>
      </c>
    </row>
    <row r="2182" spans="1:6" x14ac:dyDescent="0.25">
      <c r="A2182" s="62" t="s">
        <v>4398</v>
      </c>
      <c r="B2182" s="96">
        <v>371903</v>
      </c>
      <c r="C2182" s="96" t="str">
        <f t="shared" si="230"/>
        <v>CPOS371903</v>
      </c>
      <c r="D2182" s="95" t="s">
        <v>2238</v>
      </c>
      <c r="E2182" s="63" t="s">
        <v>58</v>
      </c>
      <c r="F2182" s="64">
        <v>297.52999999999997</v>
      </c>
    </row>
    <row r="2183" spans="1:6" x14ac:dyDescent="0.25">
      <c r="A2183" s="62" t="s">
        <v>4398</v>
      </c>
      <c r="B2183" s="96">
        <v>371906</v>
      </c>
      <c r="C2183" s="96" t="str">
        <f t="shared" si="230"/>
        <v>CPOS371906</v>
      </c>
      <c r="D2183" s="95" t="s">
        <v>2239</v>
      </c>
      <c r="E2183" s="63" t="s">
        <v>58</v>
      </c>
      <c r="F2183" s="64">
        <v>139.36000000000001</v>
      </c>
    </row>
    <row r="2184" spans="1:6" x14ac:dyDescent="0.25">
      <c r="A2184" s="62" t="s">
        <v>4398</v>
      </c>
      <c r="B2184" s="96">
        <v>371908</v>
      </c>
      <c r="C2184" s="96" t="str">
        <f t="shared" si="230"/>
        <v>CPOS371908</v>
      </c>
      <c r="D2184" s="95" t="s">
        <v>2240</v>
      </c>
      <c r="E2184" s="63" t="s">
        <v>58</v>
      </c>
      <c r="F2184" s="64">
        <v>651.30999999999995</v>
      </c>
    </row>
    <row r="2185" spans="1:6" x14ac:dyDescent="0.25">
      <c r="D2185" s="94" t="s">
        <v>693</v>
      </c>
    </row>
    <row r="2186" spans="1:6" x14ac:dyDescent="0.25">
      <c r="A2186" s="62" t="s">
        <v>4398</v>
      </c>
      <c r="B2186" s="96">
        <v>372001</v>
      </c>
      <c r="C2186" s="96" t="str">
        <f t="shared" ref="C2186:C2197" si="231">A2186&amp;B2186</f>
        <v>CPOS372001</v>
      </c>
      <c r="D2186" s="95" t="s">
        <v>2241</v>
      </c>
      <c r="E2186" s="63" t="s">
        <v>58</v>
      </c>
      <c r="F2186" s="64">
        <v>18.09</v>
      </c>
    </row>
    <row r="2187" spans="1:6" x14ac:dyDescent="0.25">
      <c r="A2187" s="62" t="s">
        <v>4398</v>
      </c>
      <c r="B2187" s="96">
        <v>372003</v>
      </c>
      <c r="C2187" s="96" t="str">
        <f t="shared" si="231"/>
        <v>CPOS372003</v>
      </c>
      <c r="D2187" s="95" t="s">
        <v>2242</v>
      </c>
      <c r="E2187" s="63" t="s">
        <v>58</v>
      </c>
      <c r="F2187" s="64">
        <v>14.030000000000001</v>
      </c>
    </row>
    <row r="2188" spans="1:6" x14ac:dyDescent="0.25">
      <c r="A2188" s="62" t="s">
        <v>4398</v>
      </c>
      <c r="B2188" s="96">
        <v>372004</v>
      </c>
      <c r="C2188" s="96" t="str">
        <f t="shared" si="231"/>
        <v>CPOS372004</v>
      </c>
      <c r="D2188" s="95" t="s">
        <v>2243</v>
      </c>
      <c r="E2188" s="63" t="s">
        <v>58</v>
      </c>
      <c r="F2188" s="64">
        <v>2.85</v>
      </c>
    </row>
    <row r="2189" spans="1:6" x14ac:dyDescent="0.25">
      <c r="A2189" s="62" t="s">
        <v>4398</v>
      </c>
      <c r="B2189" s="96">
        <v>372008</v>
      </c>
      <c r="C2189" s="96" t="str">
        <f t="shared" si="231"/>
        <v>CPOS372008</v>
      </c>
      <c r="D2189" s="95" t="s">
        <v>2244</v>
      </c>
      <c r="E2189" s="63" t="s">
        <v>58</v>
      </c>
      <c r="F2189" s="64">
        <v>14.88</v>
      </c>
    </row>
    <row r="2190" spans="1:6" x14ac:dyDescent="0.25">
      <c r="A2190" s="62" t="s">
        <v>4398</v>
      </c>
      <c r="B2190" s="96">
        <v>372009</v>
      </c>
      <c r="C2190" s="96" t="str">
        <f t="shared" si="231"/>
        <v>CPOS372009</v>
      </c>
      <c r="D2190" s="95" t="s">
        <v>2245</v>
      </c>
      <c r="E2190" s="63" t="s">
        <v>58</v>
      </c>
      <c r="F2190" s="64">
        <v>13.290000000000001</v>
      </c>
    </row>
    <row r="2191" spans="1:6" x14ac:dyDescent="0.25">
      <c r="A2191" s="62" t="s">
        <v>4398</v>
      </c>
      <c r="B2191" s="96">
        <v>372010</v>
      </c>
      <c r="C2191" s="96" t="str">
        <f t="shared" si="231"/>
        <v>CPOS372010</v>
      </c>
      <c r="D2191" s="95" t="s">
        <v>2246</v>
      </c>
      <c r="E2191" s="63" t="s">
        <v>81</v>
      </c>
      <c r="F2191" s="64">
        <v>18.78</v>
      </c>
    </row>
    <row r="2192" spans="1:6" x14ac:dyDescent="0.25">
      <c r="A2192" s="62" t="s">
        <v>4398</v>
      </c>
      <c r="B2192" s="96">
        <v>372011</v>
      </c>
      <c r="C2192" s="96" t="str">
        <f t="shared" si="231"/>
        <v>CPOS372011</v>
      </c>
      <c r="D2192" s="95" t="s">
        <v>2247</v>
      </c>
      <c r="E2192" s="63" t="s">
        <v>81</v>
      </c>
      <c r="F2192" s="64">
        <v>37.56</v>
      </c>
    </row>
    <row r="2193" spans="1:6" x14ac:dyDescent="0.25">
      <c r="A2193" s="62" t="s">
        <v>4398</v>
      </c>
      <c r="B2193" s="96">
        <v>372013</v>
      </c>
      <c r="C2193" s="96" t="str">
        <f t="shared" si="231"/>
        <v>CPOS372013</v>
      </c>
      <c r="D2193" s="95" t="s">
        <v>2248</v>
      </c>
      <c r="E2193" s="63" t="s">
        <v>58</v>
      </c>
      <c r="F2193" s="64">
        <v>369.73</v>
      </c>
    </row>
    <row r="2194" spans="1:6" x14ac:dyDescent="0.25">
      <c r="A2194" s="62" t="s">
        <v>4398</v>
      </c>
      <c r="B2194" s="96">
        <v>372014</v>
      </c>
      <c r="C2194" s="96" t="str">
        <f t="shared" si="231"/>
        <v>CPOS372014</v>
      </c>
      <c r="D2194" s="95" t="s">
        <v>2249</v>
      </c>
      <c r="E2194" s="63" t="s">
        <v>58</v>
      </c>
      <c r="F2194" s="64">
        <v>59.11</v>
      </c>
    </row>
    <row r="2195" spans="1:6" x14ac:dyDescent="0.25">
      <c r="A2195" s="62" t="s">
        <v>4398</v>
      </c>
      <c r="B2195" s="96">
        <v>372015</v>
      </c>
      <c r="C2195" s="96" t="str">
        <f t="shared" si="231"/>
        <v>CPOS372015</v>
      </c>
      <c r="D2195" s="95" t="s">
        <v>2250</v>
      </c>
      <c r="E2195" s="63" t="s">
        <v>81</v>
      </c>
      <c r="F2195" s="64">
        <v>303.63</v>
      </c>
    </row>
    <row r="2196" spans="1:6" ht="30" x14ac:dyDescent="0.25">
      <c r="A2196" s="62" t="s">
        <v>4398</v>
      </c>
      <c r="B2196" s="96">
        <v>372019</v>
      </c>
      <c r="C2196" s="96" t="str">
        <f t="shared" si="231"/>
        <v>CPOS372019</v>
      </c>
      <c r="D2196" s="95" t="s">
        <v>2251</v>
      </c>
      <c r="E2196" s="63" t="s">
        <v>58</v>
      </c>
      <c r="F2196" s="64">
        <v>3812.54</v>
      </c>
    </row>
    <row r="2197" spans="1:6" x14ac:dyDescent="0.25">
      <c r="A2197" s="62" t="s">
        <v>4398</v>
      </c>
      <c r="B2197" s="96">
        <v>372021</v>
      </c>
      <c r="C2197" s="96" t="str">
        <f t="shared" si="231"/>
        <v>CPOS372021</v>
      </c>
      <c r="D2197" s="95" t="s">
        <v>2252</v>
      </c>
      <c r="E2197" s="63" t="s">
        <v>58</v>
      </c>
      <c r="F2197" s="64">
        <v>366.57</v>
      </c>
    </row>
    <row r="2198" spans="1:6" x14ac:dyDescent="0.25">
      <c r="D2198" s="94" t="s">
        <v>2253</v>
      </c>
    </row>
    <row r="2199" spans="1:6" ht="30" x14ac:dyDescent="0.25">
      <c r="A2199" s="62" t="s">
        <v>4398</v>
      </c>
      <c r="B2199" s="96">
        <v>372101</v>
      </c>
      <c r="C2199" s="96" t="str">
        <f>A2199&amp;B2199</f>
        <v>CPOS372101</v>
      </c>
      <c r="D2199" s="95" t="s">
        <v>2254</v>
      </c>
      <c r="E2199" s="63" t="s">
        <v>58</v>
      </c>
      <c r="F2199" s="64">
        <v>590.28</v>
      </c>
    </row>
    <row r="2200" spans="1:6" x14ac:dyDescent="0.25">
      <c r="D2200" s="94" t="s">
        <v>2255</v>
      </c>
    </row>
    <row r="2201" spans="1:6" x14ac:dyDescent="0.25">
      <c r="A2201" s="62" t="s">
        <v>4398</v>
      </c>
      <c r="B2201" s="96">
        <v>372201</v>
      </c>
      <c r="C2201" s="96" t="str">
        <f>A2201&amp;B2201</f>
        <v>CPOS372201</v>
      </c>
      <c r="D2201" s="95" t="s">
        <v>2256</v>
      </c>
      <c r="E2201" s="63" t="s">
        <v>58</v>
      </c>
      <c r="F2201" s="64">
        <v>245.35</v>
      </c>
    </row>
    <row r="2202" spans="1:6" x14ac:dyDescent="0.25">
      <c r="D2202" s="94" t="s">
        <v>2257</v>
      </c>
    </row>
    <row r="2203" spans="1:6" ht="30" x14ac:dyDescent="0.25">
      <c r="A2203" s="62" t="s">
        <v>4398</v>
      </c>
      <c r="B2203" s="96">
        <v>372403</v>
      </c>
      <c r="C2203" s="96" t="str">
        <f t="shared" ref="C2203:C2204" si="232">A2203&amp;B2203</f>
        <v>CPOS372403</v>
      </c>
      <c r="D2203" s="95" t="s">
        <v>2258</v>
      </c>
      <c r="E2203" s="63" t="s">
        <v>58</v>
      </c>
      <c r="F2203" s="64">
        <v>132.06</v>
      </c>
    </row>
    <row r="2204" spans="1:6" ht="30" x14ac:dyDescent="0.25">
      <c r="A2204" s="62" t="s">
        <v>4398</v>
      </c>
      <c r="B2204" s="96">
        <v>372404</v>
      </c>
      <c r="C2204" s="96" t="str">
        <f t="shared" si="232"/>
        <v>CPOS372404</v>
      </c>
      <c r="D2204" s="95" t="s">
        <v>2259</v>
      </c>
      <c r="E2204" s="63" t="s">
        <v>58</v>
      </c>
      <c r="F2204" s="64">
        <v>128.99</v>
      </c>
    </row>
    <row r="2205" spans="1:6" x14ac:dyDescent="0.25">
      <c r="D2205" s="94" t="s">
        <v>2146</v>
      </c>
    </row>
    <row r="2206" spans="1:6" ht="30" x14ac:dyDescent="0.25">
      <c r="A2206" s="62" t="s">
        <v>4398</v>
      </c>
      <c r="B2206" s="96">
        <v>372502</v>
      </c>
      <c r="C2206" s="96" t="str">
        <f t="shared" ref="C2206:C2212" si="233">A2206&amp;B2206</f>
        <v>CPOS372502</v>
      </c>
      <c r="D2206" s="95" t="s">
        <v>2260</v>
      </c>
      <c r="E2206" s="63" t="s">
        <v>117</v>
      </c>
      <c r="F2206" s="64">
        <v>41807.440000000002</v>
      </c>
    </row>
    <row r="2207" spans="1:6" ht="30" x14ac:dyDescent="0.25">
      <c r="A2207" s="62" t="s">
        <v>4398</v>
      </c>
      <c r="B2207" s="96">
        <v>372509</v>
      </c>
      <c r="C2207" s="96" t="str">
        <f t="shared" si="233"/>
        <v>CPOS372509</v>
      </c>
      <c r="D2207" s="95" t="s">
        <v>2261</v>
      </c>
      <c r="E2207" s="63" t="s">
        <v>58</v>
      </c>
      <c r="F2207" s="64">
        <v>286.18</v>
      </c>
    </row>
    <row r="2208" spans="1:6" ht="30" x14ac:dyDescent="0.25">
      <c r="A2208" s="62" t="s">
        <v>4398</v>
      </c>
      <c r="B2208" s="96">
        <v>372510</v>
      </c>
      <c r="C2208" s="96" t="str">
        <f t="shared" si="233"/>
        <v>CPOS372510</v>
      </c>
      <c r="D2208" s="95" t="s">
        <v>2262</v>
      </c>
      <c r="E2208" s="63" t="s">
        <v>58</v>
      </c>
      <c r="F2208" s="64">
        <v>382.58</v>
      </c>
    </row>
    <row r="2209" spans="1:6" ht="30" x14ac:dyDescent="0.25">
      <c r="A2209" s="62" t="s">
        <v>4398</v>
      </c>
      <c r="B2209" s="96">
        <v>372511</v>
      </c>
      <c r="C2209" s="96" t="str">
        <f t="shared" si="233"/>
        <v>CPOS372511</v>
      </c>
      <c r="D2209" s="95" t="s">
        <v>2263</v>
      </c>
      <c r="E2209" s="63" t="s">
        <v>58</v>
      </c>
      <c r="F2209" s="64">
        <v>569.34</v>
      </c>
    </row>
    <row r="2210" spans="1:6" ht="30" x14ac:dyDescent="0.25">
      <c r="A2210" s="62" t="s">
        <v>4398</v>
      </c>
      <c r="B2210" s="96">
        <v>372520</v>
      </c>
      <c r="C2210" s="96" t="str">
        <f t="shared" si="233"/>
        <v>CPOS372520</v>
      </c>
      <c r="D2210" s="95" t="s">
        <v>2264</v>
      </c>
      <c r="E2210" s="63" t="s">
        <v>58</v>
      </c>
      <c r="F2210" s="64">
        <v>268.56</v>
      </c>
    </row>
    <row r="2211" spans="1:6" ht="30" x14ac:dyDescent="0.25">
      <c r="A2211" s="62" t="s">
        <v>4398</v>
      </c>
      <c r="B2211" s="96">
        <v>372521</v>
      </c>
      <c r="C2211" s="96" t="str">
        <f t="shared" si="233"/>
        <v>CPOS372521</v>
      </c>
      <c r="D2211" s="95" t="s">
        <v>2265</v>
      </c>
      <c r="E2211" s="63" t="s">
        <v>58</v>
      </c>
      <c r="F2211" s="64">
        <v>514.79999999999995</v>
      </c>
    </row>
    <row r="2212" spans="1:6" ht="30" x14ac:dyDescent="0.25">
      <c r="A2212" s="62" t="s">
        <v>4398</v>
      </c>
      <c r="B2212" s="96">
        <v>372522</v>
      </c>
      <c r="C2212" s="96" t="str">
        <f t="shared" si="233"/>
        <v>CPOS372522</v>
      </c>
      <c r="D2212" s="95" t="s">
        <v>2266</v>
      </c>
      <c r="E2212" s="63" t="s">
        <v>117</v>
      </c>
      <c r="F2212" s="64">
        <v>26737.02</v>
      </c>
    </row>
    <row r="2213" spans="1:6" x14ac:dyDescent="0.25">
      <c r="D2213" s="94" t="s">
        <v>2267</v>
      </c>
    </row>
    <row r="2214" spans="1:6" x14ac:dyDescent="0.25">
      <c r="D2214" s="94" t="s">
        <v>2268</v>
      </c>
    </row>
    <row r="2215" spans="1:6" x14ac:dyDescent="0.25">
      <c r="A2215" s="62" t="s">
        <v>4398</v>
      </c>
      <c r="B2215" s="96">
        <v>380102</v>
      </c>
      <c r="C2215" s="96" t="str">
        <f t="shared" ref="C2215:C2223" si="234">A2215&amp;B2215</f>
        <v>CPOS380102</v>
      </c>
      <c r="D2215" s="95" t="s">
        <v>2269</v>
      </c>
      <c r="E2215" s="63" t="s">
        <v>110</v>
      </c>
      <c r="F2215" s="64">
        <v>13.040000000000001</v>
      </c>
    </row>
    <row r="2216" spans="1:6" x14ac:dyDescent="0.25">
      <c r="A2216" s="62" t="s">
        <v>4398</v>
      </c>
      <c r="B2216" s="96">
        <v>380104</v>
      </c>
      <c r="C2216" s="96" t="str">
        <f t="shared" si="234"/>
        <v>CPOS380104</v>
      </c>
      <c r="D2216" s="95" t="s">
        <v>2270</v>
      </c>
      <c r="E2216" s="63" t="s">
        <v>110</v>
      </c>
      <c r="F2216" s="64">
        <v>16.100000000000001</v>
      </c>
    </row>
    <row r="2217" spans="1:6" x14ac:dyDescent="0.25">
      <c r="A2217" s="62" t="s">
        <v>4398</v>
      </c>
      <c r="B2217" s="96">
        <v>380106</v>
      </c>
      <c r="C2217" s="96" t="str">
        <f t="shared" si="234"/>
        <v>CPOS380106</v>
      </c>
      <c r="D2217" s="95" t="s">
        <v>2271</v>
      </c>
      <c r="E2217" s="63" t="s">
        <v>110</v>
      </c>
      <c r="F2217" s="64">
        <v>19.940000000000001</v>
      </c>
    </row>
    <row r="2218" spans="1:6" x14ac:dyDescent="0.25">
      <c r="A2218" s="62" t="s">
        <v>4398</v>
      </c>
      <c r="B2218" s="96">
        <v>380108</v>
      </c>
      <c r="C2218" s="96" t="str">
        <f t="shared" si="234"/>
        <v>CPOS380108</v>
      </c>
      <c r="D2218" s="95" t="s">
        <v>2272</v>
      </c>
      <c r="E2218" s="63" t="s">
        <v>110</v>
      </c>
      <c r="F2218" s="64">
        <v>24.310000000000002</v>
      </c>
    </row>
    <row r="2219" spans="1:6" x14ac:dyDescent="0.25">
      <c r="A2219" s="62" t="s">
        <v>4398</v>
      </c>
      <c r="B2219" s="96">
        <v>380110</v>
      </c>
      <c r="C2219" s="96" t="str">
        <f t="shared" si="234"/>
        <v>CPOS380110</v>
      </c>
      <c r="D2219" s="95" t="s">
        <v>2273</v>
      </c>
      <c r="E2219" s="63" t="s">
        <v>110</v>
      </c>
      <c r="F2219" s="64">
        <v>28.39</v>
      </c>
    </row>
    <row r="2220" spans="1:6" x14ac:dyDescent="0.25">
      <c r="A2220" s="62" t="s">
        <v>4398</v>
      </c>
      <c r="B2220" s="96">
        <v>380112</v>
      </c>
      <c r="C2220" s="96" t="str">
        <f t="shared" si="234"/>
        <v>CPOS380112</v>
      </c>
      <c r="D2220" s="95" t="s">
        <v>2274</v>
      </c>
      <c r="E2220" s="63" t="s">
        <v>110</v>
      </c>
      <c r="F2220" s="64">
        <v>33.29</v>
      </c>
    </row>
    <row r="2221" spans="1:6" x14ac:dyDescent="0.25">
      <c r="A2221" s="62" t="s">
        <v>4398</v>
      </c>
      <c r="B2221" s="96">
        <v>380114</v>
      </c>
      <c r="C2221" s="96" t="str">
        <f t="shared" si="234"/>
        <v>CPOS380114</v>
      </c>
      <c r="D2221" s="95" t="s">
        <v>2275</v>
      </c>
      <c r="E2221" s="63" t="s">
        <v>110</v>
      </c>
      <c r="F2221" s="64">
        <v>45.03</v>
      </c>
    </row>
    <row r="2222" spans="1:6" x14ac:dyDescent="0.25">
      <c r="A2222" s="62" t="s">
        <v>4398</v>
      </c>
      <c r="B2222" s="96">
        <v>380116</v>
      </c>
      <c r="C2222" s="96" t="str">
        <f t="shared" si="234"/>
        <v>CPOS380116</v>
      </c>
      <c r="D2222" s="95" t="s">
        <v>2276</v>
      </c>
      <c r="E2222" s="63" t="s">
        <v>110</v>
      </c>
      <c r="F2222" s="64">
        <v>53.21</v>
      </c>
    </row>
    <row r="2223" spans="1:6" x14ac:dyDescent="0.25">
      <c r="A2223" s="62" t="s">
        <v>4398</v>
      </c>
      <c r="B2223" s="96">
        <v>380118</v>
      </c>
      <c r="C2223" s="96" t="str">
        <f t="shared" si="234"/>
        <v>CPOS380118</v>
      </c>
      <c r="D2223" s="95" t="s">
        <v>2277</v>
      </c>
      <c r="E2223" s="63" t="s">
        <v>110</v>
      </c>
      <c r="F2223" s="64">
        <v>72.95</v>
      </c>
    </row>
    <row r="2224" spans="1:6" x14ac:dyDescent="0.25">
      <c r="D2224" s="94" t="s">
        <v>2278</v>
      </c>
    </row>
    <row r="2225" spans="1:6" x14ac:dyDescent="0.25">
      <c r="A2225" s="62" t="s">
        <v>4398</v>
      </c>
      <c r="B2225" s="96">
        <v>380402</v>
      </c>
      <c r="C2225" s="96" t="str">
        <f t="shared" ref="C2225:C2233" si="235">A2225&amp;B2225</f>
        <v>CPOS380402</v>
      </c>
      <c r="D2225" s="95" t="s">
        <v>2279</v>
      </c>
      <c r="E2225" s="63" t="s">
        <v>110</v>
      </c>
      <c r="F2225" s="64">
        <v>17.07</v>
      </c>
    </row>
    <row r="2226" spans="1:6" x14ac:dyDescent="0.25">
      <c r="A2226" s="62" t="s">
        <v>4398</v>
      </c>
      <c r="B2226" s="96">
        <v>380404</v>
      </c>
      <c r="C2226" s="96" t="str">
        <f t="shared" si="235"/>
        <v>CPOS380404</v>
      </c>
      <c r="D2226" s="95" t="s">
        <v>2280</v>
      </c>
      <c r="E2226" s="63" t="s">
        <v>110</v>
      </c>
      <c r="F2226" s="64">
        <v>20.7</v>
      </c>
    </row>
    <row r="2227" spans="1:6" x14ac:dyDescent="0.25">
      <c r="A2227" s="62" t="s">
        <v>4398</v>
      </c>
      <c r="B2227" s="96">
        <v>380406</v>
      </c>
      <c r="C2227" s="96" t="str">
        <f t="shared" si="235"/>
        <v>CPOS380406</v>
      </c>
      <c r="D2227" s="95" t="s">
        <v>2281</v>
      </c>
      <c r="E2227" s="63" t="s">
        <v>110</v>
      </c>
      <c r="F2227" s="64">
        <v>24.560000000000002</v>
      </c>
    </row>
    <row r="2228" spans="1:6" x14ac:dyDescent="0.25">
      <c r="A2228" s="62" t="s">
        <v>4398</v>
      </c>
      <c r="B2228" s="96">
        <v>380408</v>
      </c>
      <c r="C2228" s="96" t="str">
        <f t="shared" si="235"/>
        <v>CPOS380408</v>
      </c>
      <c r="D2228" s="95" t="s">
        <v>2282</v>
      </c>
      <c r="E2228" s="63" t="s">
        <v>110</v>
      </c>
      <c r="F2228" s="64">
        <v>29.86</v>
      </c>
    </row>
    <row r="2229" spans="1:6" x14ac:dyDescent="0.25">
      <c r="A2229" s="62" t="s">
        <v>4398</v>
      </c>
      <c r="B2229" s="96">
        <v>380410</v>
      </c>
      <c r="C2229" s="96" t="str">
        <f t="shared" si="235"/>
        <v>CPOS380410</v>
      </c>
      <c r="D2229" s="95" t="s">
        <v>2283</v>
      </c>
      <c r="E2229" s="63" t="s">
        <v>110</v>
      </c>
      <c r="F2229" s="64">
        <v>34.200000000000003</v>
      </c>
    </row>
    <row r="2230" spans="1:6" x14ac:dyDescent="0.25">
      <c r="A2230" s="62" t="s">
        <v>4398</v>
      </c>
      <c r="B2230" s="96">
        <v>380412</v>
      </c>
      <c r="C2230" s="96" t="str">
        <f t="shared" si="235"/>
        <v>CPOS380412</v>
      </c>
      <c r="D2230" s="95" t="s">
        <v>2284</v>
      </c>
      <c r="E2230" s="63" t="s">
        <v>110</v>
      </c>
      <c r="F2230" s="64">
        <v>39.76</v>
      </c>
    </row>
    <row r="2231" spans="1:6" x14ac:dyDescent="0.25">
      <c r="A2231" s="62" t="s">
        <v>4398</v>
      </c>
      <c r="B2231" s="96">
        <v>380414</v>
      </c>
      <c r="C2231" s="96" t="str">
        <f t="shared" si="235"/>
        <v>CPOS380414</v>
      </c>
      <c r="D2231" s="95" t="s">
        <v>2285</v>
      </c>
      <c r="E2231" s="63" t="s">
        <v>110</v>
      </c>
      <c r="F2231" s="64">
        <v>54.14</v>
      </c>
    </row>
    <row r="2232" spans="1:6" x14ac:dyDescent="0.25">
      <c r="A2232" s="62" t="s">
        <v>4398</v>
      </c>
      <c r="B2232" s="96">
        <v>380416</v>
      </c>
      <c r="C2232" s="96" t="str">
        <f t="shared" si="235"/>
        <v>CPOS380416</v>
      </c>
      <c r="D2232" s="95" t="s">
        <v>2286</v>
      </c>
      <c r="E2232" s="63" t="s">
        <v>110</v>
      </c>
      <c r="F2232" s="64">
        <v>67.819999999999993</v>
      </c>
    </row>
    <row r="2233" spans="1:6" x14ac:dyDescent="0.25">
      <c r="A2233" s="62" t="s">
        <v>4398</v>
      </c>
      <c r="B2233" s="96">
        <v>380418</v>
      </c>
      <c r="C2233" s="96" t="str">
        <f t="shared" si="235"/>
        <v>CPOS380418</v>
      </c>
      <c r="D2233" s="95" t="s">
        <v>2287</v>
      </c>
      <c r="E2233" s="63" t="s">
        <v>110</v>
      </c>
      <c r="F2233" s="64">
        <v>89.26</v>
      </c>
    </row>
    <row r="2234" spans="1:6" x14ac:dyDescent="0.25">
      <c r="D2234" s="94" t="s">
        <v>2288</v>
      </c>
    </row>
    <row r="2235" spans="1:6" x14ac:dyDescent="0.25">
      <c r="A2235" s="62" t="s">
        <v>4398</v>
      </c>
      <c r="B2235" s="96">
        <v>380502</v>
      </c>
      <c r="C2235" s="96" t="str">
        <f t="shared" ref="C2235:C2243" si="236">A2235&amp;B2235</f>
        <v>CPOS380502</v>
      </c>
      <c r="D2235" s="95" t="s">
        <v>2289</v>
      </c>
      <c r="E2235" s="63" t="s">
        <v>110</v>
      </c>
      <c r="F2235" s="64">
        <v>18.95</v>
      </c>
    </row>
    <row r="2236" spans="1:6" x14ac:dyDescent="0.25">
      <c r="A2236" s="62" t="s">
        <v>4398</v>
      </c>
      <c r="B2236" s="96">
        <v>380504</v>
      </c>
      <c r="C2236" s="96" t="str">
        <f t="shared" si="236"/>
        <v>CPOS380504</v>
      </c>
      <c r="D2236" s="95" t="s">
        <v>2290</v>
      </c>
      <c r="E2236" s="63" t="s">
        <v>110</v>
      </c>
      <c r="F2236" s="64">
        <v>23.34</v>
      </c>
    </row>
    <row r="2237" spans="1:6" x14ac:dyDescent="0.25">
      <c r="A2237" s="62" t="s">
        <v>4398</v>
      </c>
      <c r="B2237" s="96">
        <v>380506</v>
      </c>
      <c r="C2237" s="96" t="str">
        <f t="shared" si="236"/>
        <v>CPOS380506</v>
      </c>
      <c r="D2237" s="95" t="s">
        <v>2291</v>
      </c>
      <c r="E2237" s="63" t="s">
        <v>110</v>
      </c>
      <c r="F2237" s="64">
        <v>27.18</v>
      </c>
    </row>
    <row r="2238" spans="1:6" x14ac:dyDescent="0.25">
      <c r="A2238" s="62" t="s">
        <v>4398</v>
      </c>
      <c r="B2238" s="96">
        <v>380509</v>
      </c>
      <c r="C2238" s="96" t="str">
        <f t="shared" si="236"/>
        <v>CPOS380509</v>
      </c>
      <c r="D2238" s="95" t="s">
        <v>2292</v>
      </c>
      <c r="E2238" s="63" t="s">
        <v>110</v>
      </c>
      <c r="F2238" s="64">
        <v>34.92</v>
      </c>
    </row>
    <row r="2239" spans="1:6" x14ac:dyDescent="0.25">
      <c r="A2239" s="62" t="s">
        <v>4398</v>
      </c>
      <c r="B2239" s="96">
        <v>380510</v>
      </c>
      <c r="C2239" s="96" t="str">
        <f t="shared" si="236"/>
        <v>CPOS380510</v>
      </c>
      <c r="D2239" s="95" t="s">
        <v>2293</v>
      </c>
      <c r="E2239" s="63" t="s">
        <v>110</v>
      </c>
      <c r="F2239" s="64">
        <v>42.29</v>
      </c>
    </row>
    <row r="2240" spans="1:6" x14ac:dyDescent="0.25">
      <c r="A2240" s="62" t="s">
        <v>4398</v>
      </c>
      <c r="B2240" s="96">
        <v>380512</v>
      </c>
      <c r="C2240" s="96" t="str">
        <f t="shared" si="236"/>
        <v>CPOS380512</v>
      </c>
      <c r="D2240" s="95" t="s">
        <v>2294</v>
      </c>
      <c r="E2240" s="63" t="s">
        <v>110</v>
      </c>
      <c r="F2240" s="64">
        <v>47.550000000000004</v>
      </c>
    </row>
    <row r="2241" spans="1:6" x14ac:dyDescent="0.25">
      <c r="A2241" s="62" t="s">
        <v>4398</v>
      </c>
      <c r="B2241" s="96">
        <v>380514</v>
      </c>
      <c r="C2241" s="96" t="str">
        <f t="shared" si="236"/>
        <v>CPOS380514</v>
      </c>
      <c r="D2241" s="95" t="s">
        <v>2295</v>
      </c>
      <c r="E2241" s="63" t="s">
        <v>110</v>
      </c>
      <c r="F2241" s="64">
        <v>63.47</v>
      </c>
    </row>
    <row r="2242" spans="1:6" x14ac:dyDescent="0.25">
      <c r="A2242" s="62" t="s">
        <v>4398</v>
      </c>
      <c r="B2242" s="96">
        <v>380516</v>
      </c>
      <c r="C2242" s="96" t="str">
        <f t="shared" si="236"/>
        <v>CPOS380516</v>
      </c>
      <c r="D2242" s="95" t="s">
        <v>2296</v>
      </c>
      <c r="E2242" s="63" t="s">
        <v>110</v>
      </c>
      <c r="F2242" s="64">
        <v>75</v>
      </c>
    </row>
    <row r="2243" spans="1:6" x14ac:dyDescent="0.25">
      <c r="A2243" s="62" t="s">
        <v>4398</v>
      </c>
      <c r="B2243" s="96">
        <v>380518</v>
      </c>
      <c r="C2243" s="96" t="str">
        <f t="shared" si="236"/>
        <v>CPOS380518</v>
      </c>
      <c r="D2243" s="95" t="s">
        <v>2297</v>
      </c>
      <c r="E2243" s="63" t="s">
        <v>110</v>
      </c>
      <c r="F2243" s="64">
        <v>98.73</v>
      </c>
    </row>
    <row r="2244" spans="1:6" x14ac:dyDescent="0.25">
      <c r="D2244" s="94" t="s">
        <v>2298</v>
      </c>
    </row>
    <row r="2245" spans="1:6" x14ac:dyDescent="0.25">
      <c r="A2245" s="62" t="s">
        <v>4398</v>
      </c>
      <c r="B2245" s="96">
        <v>380602</v>
      </c>
      <c r="C2245" s="96" t="str">
        <f t="shared" ref="C2245:C2253" si="237">A2245&amp;B2245</f>
        <v>CPOS380602</v>
      </c>
      <c r="D2245" s="95" t="s">
        <v>2299</v>
      </c>
      <c r="E2245" s="63" t="s">
        <v>110</v>
      </c>
      <c r="F2245" s="64">
        <v>21.11</v>
      </c>
    </row>
    <row r="2246" spans="1:6" x14ac:dyDescent="0.25">
      <c r="A2246" s="62" t="s">
        <v>4398</v>
      </c>
      <c r="B2246" s="96">
        <v>380604</v>
      </c>
      <c r="C2246" s="96" t="str">
        <f t="shared" si="237"/>
        <v>CPOS380604</v>
      </c>
      <c r="D2246" s="95" t="s">
        <v>2300</v>
      </c>
      <c r="E2246" s="63" t="s">
        <v>110</v>
      </c>
      <c r="F2246" s="64">
        <v>25.62</v>
      </c>
    </row>
    <row r="2247" spans="1:6" x14ac:dyDescent="0.25">
      <c r="A2247" s="62" t="s">
        <v>4398</v>
      </c>
      <c r="B2247" s="96">
        <v>380606</v>
      </c>
      <c r="C2247" s="96" t="str">
        <f t="shared" si="237"/>
        <v>CPOS380606</v>
      </c>
      <c r="D2247" s="95" t="s">
        <v>2301</v>
      </c>
      <c r="E2247" s="63" t="s">
        <v>110</v>
      </c>
      <c r="F2247" s="64">
        <v>30.830000000000002</v>
      </c>
    </row>
    <row r="2248" spans="1:6" x14ac:dyDescent="0.25">
      <c r="A2248" s="62" t="s">
        <v>4398</v>
      </c>
      <c r="B2248" s="96">
        <v>380608</v>
      </c>
      <c r="C2248" s="96" t="str">
        <f t="shared" si="237"/>
        <v>CPOS380608</v>
      </c>
      <c r="D2248" s="95" t="s">
        <v>2302</v>
      </c>
      <c r="E2248" s="63" t="s">
        <v>110</v>
      </c>
      <c r="F2248" s="64">
        <v>38.18</v>
      </c>
    </row>
    <row r="2249" spans="1:6" x14ac:dyDescent="0.25">
      <c r="A2249" s="62" t="s">
        <v>4398</v>
      </c>
      <c r="B2249" s="96">
        <v>380610</v>
      </c>
      <c r="C2249" s="96" t="str">
        <f t="shared" si="237"/>
        <v>CPOS380610</v>
      </c>
      <c r="D2249" s="95" t="s">
        <v>2303</v>
      </c>
      <c r="E2249" s="63" t="s">
        <v>110</v>
      </c>
      <c r="F2249" s="64">
        <v>44.85</v>
      </c>
    </row>
    <row r="2250" spans="1:6" x14ac:dyDescent="0.25">
      <c r="A2250" s="62" t="s">
        <v>4398</v>
      </c>
      <c r="B2250" s="96">
        <v>380612</v>
      </c>
      <c r="C2250" s="96" t="str">
        <f t="shared" si="237"/>
        <v>CPOS380612</v>
      </c>
      <c r="D2250" s="95" t="s">
        <v>2304</v>
      </c>
      <c r="E2250" s="63" t="s">
        <v>110</v>
      </c>
      <c r="F2250" s="64">
        <v>51.910000000000004</v>
      </c>
    </row>
    <row r="2251" spans="1:6" x14ac:dyDescent="0.25">
      <c r="A2251" s="62" t="s">
        <v>4398</v>
      </c>
      <c r="B2251" s="96">
        <v>380614</v>
      </c>
      <c r="C2251" s="96" t="str">
        <f t="shared" si="237"/>
        <v>CPOS380614</v>
      </c>
      <c r="D2251" s="95" t="s">
        <v>2305</v>
      </c>
      <c r="E2251" s="63" t="s">
        <v>110</v>
      </c>
      <c r="F2251" s="64">
        <v>69.349999999999994</v>
      </c>
    </row>
    <row r="2252" spans="1:6" x14ac:dyDescent="0.25">
      <c r="A2252" s="62" t="s">
        <v>4398</v>
      </c>
      <c r="B2252" s="96">
        <v>380616</v>
      </c>
      <c r="C2252" s="96" t="str">
        <f t="shared" si="237"/>
        <v>CPOS380616</v>
      </c>
      <c r="D2252" s="95" t="s">
        <v>2306</v>
      </c>
      <c r="E2252" s="63" t="s">
        <v>110</v>
      </c>
      <c r="F2252" s="64">
        <v>83.93</v>
      </c>
    </row>
    <row r="2253" spans="1:6" x14ac:dyDescent="0.25">
      <c r="A2253" s="62" t="s">
        <v>4398</v>
      </c>
      <c r="B2253" s="96">
        <v>380618</v>
      </c>
      <c r="C2253" s="96" t="str">
        <f t="shared" si="237"/>
        <v>CPOS380618</v>
      </c>
      <c r="D2253" s="95" t="s">
        <v>2307</v>
      </c>
      <c r="E2253" s="63" t="s">
        <v>110</v>
      </c>
      <c r="F2253" s="64">
        <v>106.75</v>
      </c>
    </row>
    <row r="2254" spans="1:6" x14ac:dyDescent="0.25">
      <c r="D2254" s="94" t="s">
        <v>2308</v>
      </c>
    </row>
    <row r="2255" spans="1:6" x14ac:dyDescent="0.25">
      <c r="A2255" s="62" t="s">
        <v>4398</v>
      </c>
      <c r="B2255" s="96">
        <v>380701</v>
      </c>
      <c r="C2255" s="96" t="str">
        <f t="shared" ref="C2255:C2271" si="238">A2255&amp;B2255</f>
        <v>CPOS380701</v>
      </c>
      <c r="D2255" s="95" t="s">
        <v>2309</v>
      </c>
      <c r="E2255" s="63" t="s">
        <v>58</v>
      </c>
      <c r="F2255" s="64">
        <v>8.51</v>
      </c>
    </row>
    <row r="2256" spans="1:6" x14ac:dyDescent="0.25">
      <c r="A2256" s="62" t="s">
        <v>4398</v>
      </c>
      <c r="B2256" s="96">
        <v>380703</v>
      </c>
      <c r="C2256" s="96" t="str">
        <f t="shared" si="238"/>
        <v>CPOS380703</v>
      </c>
      <c r="D2256" s="95" t="s">
        <v>2310</v>
      </c>
      <c r="E2256" s="63" t="s">
        <v>117</v>
      </c>
      <c r="F2256" s="64">
        <v>10.8</v>
      </c>
    </row>
    <row r="2257" spans="1:6" x14ac:dyDescent="0.25">
      <c r="A2257" s="62" t="s">
        <v>4398</v>
      </c>
      <c r="B2257" s="96">
        <v>380705</v>
      </c>
      <c r="C2257" s="96" t="str">
        <f t="shared" si="238"/>
        <v>CPOS380705</v>
      </c>
      <c r="D2257" s="95" t="s">
        <v>2311</v>
      </c>
      <c r="E2257" s="63" t="s">
        <v>110</v>
      </c>
      <c r="F2257" s="64">
        <v>3.69</v>
      </c>
    </row>
    <row r="2258" spans="1:6" x14ac:dyDescent="0.25">
      <c r="A2258" s="62" t="s">
        <v>4398</v>
      </c>
      <c r="B2258" s="96">
        <v>380712</v>
      </c>
      <c r="C2258" s="96" t="str">
        <f t="shared" si="238"/>
        <v>CPOS380712</v>
      </c>
      <c r="D2258" s="95" t="s">
        <v>2312</v>
      </c>
      <c r="E2258" s="63" t="s">
        <v>58</v>
      </c>
      <c r="F2258" s="64">
        <v>4.51</v>
      </c>
    </row>
    <row r="2259" spans="1:6" x14ac:dyDescent="0.25">
      <c r="A2259" s="62" t="s">
        <v>4398</v>
      </c>
      <c r="B2259" s="96">
        <v>380713</v>
      </c>
      <c r="C2259" s="96" t="str">
        <f t="shared" si="238"/>
        <v>CPOS380713</v>
      </c>
      <c r="D2259" s="95" t="s">
        <v>2313</v>
      </c>
      <c r="E2259" s="63" t="s">
        <v>58</v>
      </c>
      <c r="F2259" s="64">
        <v>6.16</v>
      </c>
    </row>
    <row r="2260" spans="1:6" x14ac:dyDescent="0.25">
      <c r="A2260" s="62" t="s">
        <v>4398</v>
      </c>
      <c r="B2260" s="96">
        <v>380714</v>
      </c>
      <c r="C2260" s="96" t="str">
        <f t="shared" si="238"/>
        <v>CPOS380714</v>
      </c>
      <c r="D2260" s="95" t="s">
        <v>2314</v>
      </c>
      <c r="E2260" s="63" t="s">
        <v>58</v>
      </c>
      <c r="F2260" s="64">
        <v>4.9800000000000004</v>
      </c>
    </row>
    <row r="2261" spans="1:6" x14ac:dyDescent="0.25">
      <c r="A2261" s="62" t="s">
        <v>4398</v>
      </c>
      <c r="B2261" s="96">
        <v>380717</v>
      </c>
      <c r="C2261" s="96" t="str">
        <f t="shared" si="238"/>
        <v>CPOS380717</v>
      </c>
      <c r="D2261" s="95" t="s">
        <v>2315</v>
      </c>
      <c r="E2261" s="63" t="s">
        <v>110</v>
      </c>
      <c r="F2261" s="64">
        <v>10.119999999999999</v>
      </c>
    </row>
    <row r="2262" spans="1:6" x14ac:dyDescent="0.25">
      <c r="A2262" s="62" t="s">
        <v>4398</v>
      </c>
      <c r="B2262" s="96">
        <v>380720</v>
      </c>
      <c r="C2262" s="96" t="str">
        <f t="shared" si="238"/>
        <v>CPOS380720</v>
      </c>
      <c r="D2262" s="95" t="s">
        <v>2316</v>
      </c>
      <c r="E2262" s="63" t="s">
        <v>110</v>
      </c>
      <c r="F2262" s="64">
        <v>7.6400000000000006</v>
      </c>
    </row>
    <row r="2263" spans="1:6" x14ac:dyDescent="0.25">
      <c r="A2263" s="62" t="s">
        <v>4398</v>
      </c>
      <c r="B2263" s="96">
        <v>380721</v>
      </c>
      <c r="C2263" s="96" t="str">
        <f t="shared" si="238"/>
        <v>CPOS380721</v>
      </c>
      <c r="D2263" s="95" t="s">
        <v>2317</v>
      </c>
      <c r="E2263" s="63" t="s">
        <v>110</v>
      </c>
      <c r="F2263" s="64">
        <v>5.38</v>
      </c>
    </row>
    <row r="2264" spans="1:6" x14ac:dyDescent="0.25">
      <c r="A2264" s="62" t="s">
        <v>4398</v>
      </c>
      <c r="B2264" s="96">
        <v>380722</v>
      </c>
      <c r="C2264" s="96" t="str">
        <f t="shared" si="238"/>
        <v>CPOS380722</v>
      </c>
      <c r="D2264" s="95" t="s">
        <v>2318</v>
      </c>
      <c r="E2264" s="63" t="s">
        <v>58</v>
      </c>
      <c r="F2264" s="64">
        <v>22.37</v>
      </c>
    </row>
    <row r="2265" spans="1:6" x14ac:dyDescent="0.25">
      <c r="A2265" s="62" t="s">
        <v>4398</v>
      </c>
      <c r="B2265" s="96">
        <v>380723</v>
      </c>
      <c r="C2265" s="96" t="str">
        <f t="shared" si="238"/>
        <v>CPOS380723</v>
      </c>
      <c r="D2265" s="95" t="s">
        <v>2319</v>
      </c>
      <c r="E2265" s="63" t="s">
        <v>58</v>
      </c>
      <c r="F2265" s="64">
        <v>34.11</v>
      </c>
    </row>
    <row r="2266" spans="1:6" x14ac:dyDescent="0.25">
      <c r="A2266" s="62" t="s">
        <v>4398</v>
      </c>
      <c r="B2266" s="96">
        <v>380724</v>
      </c>
      <c r="C2266" s="96" t="str">
        <f t="shared" si="238"/>
        <v>CPOS380724</v>
      </c>
      <c r="D2266" s="95" t="s">
        <v>2320</v>
      </c>
      <c r="E2266" s="63" t="s">
        <v>58</v>
      </c>
      <c r="F2266" s="64">
        <v>42.6</v>
      </c>
    </row>
    <row r="2267" spans="1:6" x14ac:dyDescent="0.25">
      <c r="A2267" s="62" t="s">
        <v>4398</v>
      </c>
      <c r="B2267" s="96">
        <v>380725</v>
      </c>
      <c r="C2267" s="96" t="str">
        <f t="shared" si="238"/>
        <v>CPOS380725</v>
      </c>
      <c r="D2267" s="95" t="s">
        <v>2321</v>
      </c>
      <c r="E2267" s="63" t="s">
        <v>110</v>
      </c>
      <c r="F2267" s="64">
        <v>6.57</v>
      </c>
    </row>
    <row r="2268" spans="1:6" x14ac:dyDescent="0.25">
      <c r="A2268" s="62" t="s">
        <v>4398</v>
      </c>
      <c r="B2268" s="96">
        <v>380730</v>
      </c>
      <c r="C2268" s="96" t="str">
        <f t="shared" si="238"/>
        <v>CPOS380730</v>
      </c>
      <c r="D2268" s="95" t="s">
        <v>2322</v>
      </c>
      <c r="E2268" s="63" t="s">
        <v>110</v>
      </c>
      <c r="F2268" s="64">
        <v>25.57</v>
      </c>
    </row>
    <row r="2269" spans="1:6" x14ac:dyDescent="0.25">
      <c r="A2269" s="62" t="s">
        <v>4398</v>
      </c>
      <c r="B2269" s="96">
        <v>380731</v>
      </c>
      <c r="C2269" s="96" t="str">
        <f t="shared" si="238"/>
        <v>CPOS380731</v>
      </c>
      <c r="D2269" s="95" t="s">
        <v>2323</v>
      </c>
      <c r="E2269" s="63" t="s">
        <v>110</v>
      </c>
      <c r="F2269" s="64">
        <v>38.44</v>
      </c>
    </row>
    <row r="2270" spans="1:6" x14ac:dyDescent="0.25">
      <c r="A2270" s="62" t="s">
        <v>4398</v>
      </c>
      <c r="B2270" s="96">
        <v>380733</v>
      </c>
      <c r="C2270" s="96" t="str">
        <f t="shared" si="238"/>
        <v>CPOS380733</v>
      </c>
      <c r="D2270" s="95" t="s">
        <v>2324</v>
      </c>
      <c r="E2270" s="63" t="s">
        <v>58</v>
      </c>
      <c r="F2270" s="64">
        <v>6.08</v>
      </c>
    </row>
    <row r="2271" spans="1:6" x14ac:dyDescent="0.25">
      <c r="A2271" s="62" t="s">
        <v>4398</v>
      </c>
      <c r="B2271" s="96">
        <v>380734</v>
      </c>
      <c r="C2271" s="96" t="str">
        <f t="shared" si="238"/>
        <v>CPOS380734</v>
      </c>
      <c r="D2271" s="95" t="s">
        <v>2325</v>
      </c>
      <c r="E2271" s="63" t="s">
        <v>110</v>
      </c>
      <c r="F2271" s="64">
        <v>24.69</v>
      </c>
    </row>
    <row r="2272" spans="1:6" x14ac:dyDescent="0.25">
      <c r="D2272" s="94" t="s">
        <v>2326</v>
      </c>
    </row>
    <row r="2273" spans="1:6" x14ac:dyDescent="0.25">
      <c r="A2273" s="62" t="s">
        <v>4398</v>
      </c>
      <c r="B2273" s="96">
        <v>381001</v>
      </c>
      <c r="C2273" s="96" t="str">
        <f t="shared" ref="C2273:C2281" si="239">A2273&amp;B2273</f>
        <v>CPOS381001</v>
      </c>
      <c r="D2273" s="95" t="s">
        <v>2327</v>
      </c>
      <c r="E2273" s="63" t="s">
        <v>110</v>
      </c>
      <c r="F2273" s="64">
        <v>28.060000000000002</v>
      </c>
    </row>
    <row r="2274" spans="1:6" x14ac:dyDescent="0.25">
      <c r="A2274" s="62" t="s">
        <v>4398</v>
      </c>
      <c r="B2274" s="96">
        <v>381002</v>
      </c>
      <c r="C2274" s="96" t="str">
        <f t="shared" si="239"/>
        <v>CPOS381002</v>
      </c>
      <c r="D2274" s="95" t="s">
        <v>2328</v>
      </c>
      <c r="E2274" s="63" t="s">
        <v>110</v>
      </c>
      <c r="F2274" s="64">
        <v>38.96</v>
      </c>
    </row>
    <row r="2275" spans="1:6" ht="30" x14ac:dyDescent="0.25">
      <c r="A2275" s="62" t="s">
        <v>4398</v>
      </c>
      <c r="B2275" s="96">
        <v>381003</v>
      </c>
      <c r="C2275" s="96" t="str">
        <f t="shared" si="239"/>
        <v>CPOS381003</v>
      </c>
      <c r="D2275" s="95" t="s">
        <v>2329</v>
      </c>
      <c r="E2275" s="63" t="s">
        <v>58</v>
      </c>
      <c r="F2275" s="64">
        <v>114.34</v>
      </c>
    </row>
    <row r="2276" spans="1:6" ht="30" x14ac:dyDescent="0.25">
      <c r="A2276" s="62" t="s">
        <v>4398</v>
      </c>
      <c r="B2276" s="96">
        <v>381004</v>
      </c>
      <c r="C2276" s="96" t="str">
        <f t="shared" si="239"/>
        <v>CPOS381004</v>
      </c>
      <c r="D2276" s="95" t="s">
        <v>2330</v>
      </c>
      <c r="E2276" s="63" t="s">
        <v>58</v>
      </c>
      <c r="F2276" s="64">
        <v>87.52</v>
      </c>
    </row>
    <row r="2277" spans="1:6" ht="30" x14ac:dyDescent="0.25">
      <c r="A2277" s="62" t="s">
        <v>4398</v>
      </c>
      <c r="B2277" s="96">
        <v>381005</v>
      </c>
      <c r="C2277" s="96" t="str">
        <f t="shared" si="239"/>
        <v>CPOS381005</v>
      </c>
      <c r="D2277" s="95" t="s">
        <v>2331</v>
      </c>
      <c r="E2277" s="63" t="s">
        <v>58</v>
      </c>
      <c r="F2277" s="64">
        <v>36.85</v>
      </c>
    </row>
    <row r="2278" spans="1:6" x14ac:dyDescent="0.25">
      <c r="A2278" s="62" t="s">
        <v>4398</v>
      </c>
      <c r="B2278" s="96">
        <v>381006</v>
      </c>
      <c r="C2278" s="96" t="str">
        <f t="shared" si="239"/>
        <v>CPOS381006</v>
      </c>
      <c r="D2278" s="95" t="s">
        <v>2332</v>
      </c>
      <c r="E2278" s="63" t="s">
        <v>58</v>
      </c>
      <c r="F2278" s="64">
        <v>74.290000000000006</v>
      </c>
    </row>
    <row r="2279" spans="1:6" x14ac:dyDescent="0.25">
      <c r="A2279" s="62" t="s">
        <v>4398</v>
      </c>
      <c r="B2279" s="96">
        <v>381007</v>
      </c>
      <c r="C2279" s="96" t="str">
        <f t="shared" si="239"/>
        <v>CPOS381007</v>
      </c>
      <c r="D2279" s="95" t="s">
        <v>2333</v>
      </c>
      <c r="E2279" s="63" t="s">
        <v>58</v>
      </c>
      <c r="F2279" s="64">
        <v>88.36</v>
      </c>
    </row>
    <row r="2280" spans="1:6" x14ac:dyDescent="0.25">
      <c r="A2280" s="62" t="s">
        <v>4398</v>
      </c>
      <c r="B2280" s="96">
        <v>381008</v>
      </c>
      <c r="C2280" s="96" t="str">
        <f t="shared" si="239"/>
        <v>CPOS381008</v>
      </c>
      <c r="D2280" s="95" t="s">
        <v>2334</v>
      </c>
      <c r="E2280" s="63" t="s">
        <v>58</v>
      </c>
      <c r="F2280" s="64">
        <v>189.61</v>
      </c>
    </row>
    <row r="2281" spans="1:6" x14ac:dyDescent="0.25">
      <c r="A2281" s="62" t="s">
        <v>4398</v>
      </c>
      <c r="B2281" s="96">
        <v>381009</v>
      </c>
      <c r="C2281" s="96" t="str">
        <f t="shared" si="239"/>
        <v>CPOS381009</v>
      </c>
      <c r="D2281" s="95" t="s">
        <v>2335</v>
      </c>
      <c r="E2281" s="63" t="s">
        <v>58</v>
      </c>
      <c r="F2281" s="64">
        <v>5.83</v>
      </c>
    </row>
    <row r="2282" spans="1:6" x14ac:dyDescent="0.25">
      <c r="D2282" s="94" t="s">
        <v>2336</v>
      </c>
    </row>
    <row r="2283" spans="1:6" ht="30" x14ac:dyDescent="0.25">
      <c r="A2283" s="62" t="s">
        <v>4398</v>
      </c>
      <c r="B2283" s="96">
        <v>381209</v>
      </c>
      <c r="C2283" s="96" t="str">
        <f t="shared" ref="C2283:C2288" si="240">A2283&amp;B2283</f>
        <v>CPOS381209</v>
      </c>
      <c r="D2283" s="95" t="s">
        <v>2337</v>
      </c>
      <c r="E2283" s="63" t="s">
        <v>110</v>
      </c>
      <c r="F2283" s="64">
        <v>84.63</v>
      </c>
    </row>
    <row r="2284" spans="1:6" ht="30" x14ac:dyDescent="0.25">
      <c r="A2284" s="62" t="s">
        <v>4398</v>
      </c>
      <c r="B2284" s="96">
        <v>381210</v>
      </c>
      <c r="C2284" s="96" t="str">
        <f t="shared" si="240"/>
        <v>CPOS381210</v>
      </c>
      <c r="D2284" s="95" t="s">
        <v>2338</v>
      </c>
      <c r="E2284" s="63" t="s">
        <v>110</v>
      </c>
      <c r="F2284" s="64">
        <v>99.86</v>
      </c>
    </row>
    <row r="2285" spans="1:6" ht="30" x14ac:dyDescent="0.25">
      <c r="A2285" s="62" t="s">
        <v>4398</v>
      </c>
      <c r="B2285" s="96">
        <v>381211</v>
      </c>
      <c r="C2285" s="96" t="str">
        <f t="shared" si="240"/>
        <v>CPOS381211</v>
      </c>
      <c r="D2285" s="95" t="s">
        <v>2339</v>
      </c>
      <c r="E2285" s="63" t="s">
        <v>110</v>
      </c>
      <c r="F2285" s="64">
        <v>60.800000000000004</v>
      </c>
    </row>
    <row r="2286" spans="1:6" ht="30" x14ac:dyDescent="0.25">
      <c r="A2286" s="62" t="s">
        <v>4398</v>
      </c>
      <c r="B2286" s="96">
        <v>381212</v>
      </c>
      <c r="C2286" s="96" t="str">
        <f t="shared" si="240"/>
        <v>CPOS381212</v>
      </c>
      <c r="D2286" s="95" t="s">
        <v>2340</v>
      </c>
      <c r="E2286" s="63" t="s">
        <v>110</v>
      </c>
      <c r="F2286" s="64">
        <v>91.95</v>
      </c>
    </row>
    <row r="2287" spans="1:6" ht="30" x14ac:dyDescent="0.25">
      <c r="A2287" s="62" t="s">
        <v>4398</v>
      </c>
      <c r="B2287" s="96">
        <v>381213</v>
      </c>
      <c r="C2287" s="96" t="str">
        <f t="shared" si="240"/>
        <v>CPOS381213</v>
      </c>
      <c r="D2287" s="95" t="s">
        <v>2341</v>
      </c>
      <c r="E2287" s="63" t="s">
        <v>110</v>
      </c>
      <c r="F2287" s="64">
        <v>113.16</v>
      </c>
    </row>
    <row r="2288" spans="1:6" ht="30" x14ac:dyDescent="0.25">
      <c r="A2288" s="62" t="s">
        <v>4398</v>
      </c>
      <c r="B2288" s="96">
        <v>381214</v>
      </c>
      <c r="C2288" s="96" t="str">
        <f t="shared" si="240"/>
        <v>CPOS381214</v>
      </c>
      <c r="D2288" s="95" t="s">
        <v>2342</v>
      </c>
      <c r="E2288" s="63" t="s">
        <v>110</v>
      </c>
      <c r="F2288" s="64">
        <v>128.06</v>
      </c>
    </row>
    <row r="2289" spans="1:6" x14ac:dyDescent="0.25">
      <c r="D2289" s="94" t="s">
        <v>2343</v>
      </c>
    </row>
    <row r="2290" spans="1:6" ht="30" x14ac:dyDescent="0.25">
      <c r="A2290" s="62" t="s">
        <v>4398</v>
      </c>
      <c r="B2290" s="96">
        <v>381301</v>
      </c>
      <c r="C2290" s="96" t="str">
        <f t="shared" ref="C2290:C2296" si="241">A2290&amp;B2290</f>
        <v>CPOS381301</v>
      </c>
      <c r="D2290" s="95" t="s">
        <v>2344</v>
      </c>
      <c r="E2290" s="63" t="s">
        <v>110</v>
      </c>
      <c r="F2290" s="64">
        <v>6.91</v>
      </c>
    </row>
    <row r="2291" spans="1:6" ht="30" x14ac:dyDescent="0.25">
      <c r="A2291" s="62" t="s">
        <v>4398</v>
      </c>
      <c r="B2291" s="96">
        <v>381302</v>
      </c>
      <c r="C2291" s="96" t="str">
        <f t="shared" si="241"/>
        <v>CPOS381302</v>
      </c>
      <c r="D2291" s="95" t="s">
        <v>2345</v>
      </c>
      <c r="E2291" s="63" t="s">
        <v>110</v>
      </c>
      <c r="F2291" s="64">
        <v>10.94</v>
      </c>
    </row>
    <row r="2292" spans="1:6" ht="30" x14ac:dyDescent="0.25">
      <c r="A2292" s="62" t="s">
        <v>4398</v>
      </c>
      <c r="B2292" s="96">
        <v>381303</v>
      </c>
      <c r="C2292" s="96" t="str">
        <f t="shared" si="241"/>
        <v>CPOS381303</v>
      </c>
      <c r="D2292" s="95" t="s">
        <v>2346</v>
      </c>
      <c r="E2292" s="63" t="s">
        <v>110</v>
      </c>
      <c r="F2292" s="64">
        <v>14.11</v>
      </c>
    </row>
    <row r="2293" spans="1:6" ht="30" x14ac:dyDescent="0.25">
      <c r="A2293" s="62" t="s">
        <v>4398</v>
      </c>
      <c r="B2293" s="96">
        <v>381304</v>
      </c>
      <c r="C2293" s="96" t="str">
        <f t="shared" si="241"/>
        <v>CPOS381304</v>
      </c>
      <c r="D2293" s="95" t="s">
        <v>2347</v>
      </c>
      <c r="E2293" s="63" t="s">
        <v>110</v>
      </c>
      <c r="F2293" s="64">
        <v>20.69</v>
      </c>
    </row>
    <row r="2294" spans="1:6" ht="30" x14ac:dyDescent="0.25">
      <c r="A2294" s="62" t="s">
        <v>4398</v>
      </c>
      <c r="B2294" s="96">
        <v>381305</v>
      </c>
      <c r="C2294" s="96" t="str">
        <f t="shared" si="241"/>
        <v>CPOS381305</v>
      </c>
      <c r="D2294" s="95" t="s">
        <v>2348</v>
      </c>
      <c r="E2294" s="63" t="s">
        <v>110</v>
      </c>
      <c r="F2294" s="64">
        <v>33.04</v>
      </c>
    </row>
    <row r="2295" spans="1:6" ht="30" x14ac:dyDescent="0.25">
      <c r="A2295" s="62" t="s">
        <v>4398</v>
      </c>
      <c r="B2295" s="96">
        <v>381306</v>
      </c>
      <c r="C2295" s="96" t="str">
        <f t="shared" si="241"/>
        <v>CPOS381306</v>
      </c>
      <c r="D2295" s="95" t="s">
        <v>2349</v>
      </c>
      <c r="E2295" s="63" t="s">
        <v>110</v>
      </c>
      <c r="F2295" s="64">
        <v>47.050000000000004</v>
      </c>
    </row>
    <row r="2296" spans="1:6" ht="30" x14ac:dyDescent="0.25">
      <c r="A2296" s="62" t="s">
        <v>4398</v>
      </c>
      <c r="B2296" s="96">
        <v>381307</v>
      </c>
      <c r="C2296" s="96" t="str">
        <f t="shared" si="241"/>
        <v>CPOS381307</v>
      </c>
      <c r="D2296" s="95" t="s">
        <v>2350</v>
      </c>
      <c r="E2296" s="63" t="s">
        <v>110</v>
      </c>
      <c r="F2296" s="64">
        <v>8.08</v>
      </c>
    </row>
    <row r="2297" spans="1:6" x14ac:dyDescent="0.25">
      <c r="D2297" s="94" t="s">
        <v>2351</v>
      </c>
    </row>
    <row r="2298" spans="1:6" x14ac:dyDescent="0.25">
      <c r="A2298" s="62" t="s">
        <v>4398</v>
      </c>
      <c r="B2298" s="96">
        <v>381501</v>
      </c>
      <c r="C2298" s="96" t="str">
        <f t="shared" ref="C2298:C2309" si="242">A2298&amp;B2298</f>
        <v>CPOS381501</v>
      </c>
      <c r="D2298" s="95" t="s">
        <v>2352</v>
      </c>
      <c r="E2298" s="63" t="s">
        <v>110</v>
      </c>
      <c r="F2298" s="64">
        <v>14.74</v>
      </c>
    </row>
    <row r="2299" spans="1:6" x14ac:dyDescent="0.25">
      <c r="A2299" s="62" t="s">
        <v>4398</v>
      </c>
      <c r="B2299" s="96">
        <v>381502</v>
      </c>
      <c r="C2299" s="96" t="str">
        <f t="shared" si="242"/>
        <v>CPOS381502</v>
      </c>
      <c r="D2299" s="95" t="s">
        <v>2353</v>
      </c>
      <c r="E2299" s="63" t="s">
        <v>110</v>
      </c>
      <c r="F2299" s="64">
        <v>16.75</v>
      </c>
    </row>
    <row r="2300" spans="1:6" x14ac:dyDescent="0.25">
      <c r="A2300" s="62" t="s">
        <v>4398</v>
      </c>
      <c r="B2300" s="96">
        <v>381503</v>
      </c>
      <c r="C2300" s="96" t="str">
        <f t="shared" si="242"/>
        <v>CPOS381503</v>
      </c>
      <c r="D2300" s="95" t="s">
        <v>2354</v>
      </c>
      <c r="E2300" s="63" t="s">
        <v>110</v>
      </c>
      <c r="F2300" s="64">
        <v>23.67</v>
      </c>
    </row>
    <row r="2301" spans="1:6" x14ac:dyDescent="0.25">
      <c r="A2301" s="62" t="s">
        <v>4398</v>
      </c>
      <c r="B2301" s="96">
        <v>381504</v>
      </c>
      <c r="C2301" s="96" t="str">
        <f t="shared" si="242"/>
        <v>CPOS381504</v>
      </c>
      <c r="D2301" s="95" t="s">
        <v>2355</v>
      </c>
      <c r="E2301" s="63" t="s">
        <v>110</v>
      </c>
      <c r="F2301" s="64">
        <v>27.240000000000002</v>
      </c>
    </row>
    <row r="2302" spans="1:6" x14ac:dyDescent="0.25">
      <c r="A2302" s="62" t="s">
        <v>4398</v>
      </c>
      <c r="B2302" s="96">
        <v>381511</v>
      </c>
      <c r="C2302" s="96" t="str">
        <f t="shared" si="242"/>
        <v>CPOS381511</v>
      </c>
      <c r="D2302" s="95" t="s">
        <v>2356</v>
      </c>
      <c r="E2302" s="63" t="s">
        <v>58</v>
      </c>
      <c r="F2302" s="64">
        <v>10.47</v>
      </c>
    </row>
    <row r="2303" spans="1:6" x14ac:dyDescent="0.25">
      <c r="A2303" s="62" t="s">
        <v>4398</v>
      </c>
      <c r="B2303" s="96">
        <v>381512</v>
      </c>
      <c r="C2303" s="96" t="str">
        <f t="shared" si="242"/>
        <v>CPOS381512</v>
      </c>
      <c r="D2303" s="95" t="s">
        <v>2357</v>
      </c>
      <c r="E2303" s="63" t="s">
        <v>58</v>
      </c>
      <c r="F2303" s="64">
        <v>15.22</v>
      </c>
    </row>
    <row r="2304" spans="1:6" x14ac:dyDescent="0.25">
      <c r="A2304" s="62" t="s">
        <v>4398</v>
      </c>
      <c r="B2304" s="96">
        <v>381513</v>
      </c>
      <c r="C2304" s="96" t="str">
        <f t="shared" si="242"/>
        <v>CPOS381513</v>
      </c>
      <c r="D2304" s="95" t="s">
        <v>2358</v>
      </c>
      <c r="E2304" s="63" t="s">
        <v>58</v>
      </c>
      <c r="F2304" s="64">
        <v>31.25</v>
      </c>
    </row>
    <row r="2305" spans="1:6" x14ac:dyDescent="0.25">
      <c r="A2305" s="62" t="s">
        <v>4398</v>
      </c>
      <c r="B2305" s="96">
        <v>381514</v>
      </c>
      <c r="C2305" s="96" t="str">
        <f t="shared" si="242"/>
        <v>CPOS381514</v>
      </c>
      <c r="D2305" s="95" t="s">
        <v>2359</v>
      </c>
      <c r="E2305" s="63" t="s">
        <v>58</v>
      </c>
      <c r="F2305" s="64">
        <v>43.34</v>
      </c>
    </row>
    <row r="2306" spans="1:6" x14ac:dyDescent="0.25">
      <c r="A2306" s="62" t="s">
        <v>4398</v>
      </c>
      <c r="B2306" s="96">
        <v>381531</v>
      </c>
      <c r="C2306" s="96" t="str">
        <f t="shared" si="242"/>
        <v>CPOS381531</v>
      </c>
      <c r="D2306" s="95" t="s">
        <v>2360</v>
      </c>
      <c r="E2306" s="63" t="s">
        <v>58</v>
      </c>
      <c r="F2306" s="64">
        <v>11.1</v>
      </c>
    </row>
    <row r="2307" spans="1:6" x14ac:dyDescent="0.25">
      <c r="A2307" s="62" t="s">
        <v>4398</v>
      </c>
      <c r="B2307" s="96">
        <v>381532</v>
      </c>
      <c r="C2307" s="96" t="str">
        <f t="shared" si="242"/>
        <v>CPOS381532</v>
      </c>
      <c r="D2307" s="95" t="s">
        <v>2361</v>
      </c>
      <c r="E2307" s="63" t="s">
        <v>58</v>
      </c>
      <c r="F2307" s="64">
        <v>17.350000000000001</v>
      </c>
    </row>
    <row r="2308" spans="1:6" x14ac:dyDescent="0.25">
      <c r="A2308" s="62" t="s">
        <v>4398</v>
      </c>
      <c r="B2308" s="96">
        <v>381533</v>
      </c>
      <c r="C2308" s="96" t="str">
        <f t="shared" si="242"/>
        <v>CPOS381533</v>
      </c>
      <c r="D2308" s="95" t="s">
        <v>2362</v>
      </c>
      <c r="E2308" s="63" t="s">
        <v>58</v>
      </c>
      <c r="F2308" s="64">
        <v>38.46</v>
      </c>
    </row>
    <row r="2309" spans="1:6" x14ac:dyDescent="0.25">
      <c r="A2309" s="62" t="s">
        <v>4398</v>
      </c>
      <c r="B2309" s="96">
        <v>381534</v>
      </c>
      <c r="C2309" s="96" t="str">
        <f t="shared" si="242"/>
        <v>CPOS381534</v>
      </c>
      <c r="D2309" s="95" t="s">
        <v>2363</v>
      </c>
      <c r="E2309" s="63" t="s">
        <v>58</v>
      </c>
      <c r="F2309" s="64">
        <v>49.02</v>
      </c>
    </row>
    <row r="2310" spans="1:6" x14ac:dyDescent="0.25">
      <c r="D2310" s="94" t="s">
        <v>2364</v>
      </c>
    </row>
    <row r="2311" spans="1:6" x14ac:dyDescent="0.25">
      <c r="A2311" s="62" t="s">
        <v>4398</v>
      </c>
      <c r="B2311" s="96">
        <v>381603</v>
      </c>
      <c r="C2311" s="96" t="str">
        <f t="shared" ref="C2311:C2325" si="243">A2311&amp;B2311</f>
        <v>CPOS381603</v>
      </c>
      <c r="D2311" s="95" t="s">
        <v>2365</v>
      </c>
      <c r="E2311" s="63" t="s">
        <v>110</v>
      </c>
      <c r="F2311" s="64">
        <v>40.07</v>
      </c>
    </row>
    <row r="2312" spans="1:6" ht="30" x14ac:dyDescent="0.25">
      <c r="A2312" s="62" t="s">
        <v>4398</v>
      </c>
      <c r="B2312" s="96">
        <v>381606</v>
      </c>
      <c r="C2312" s="96" t="str">
        <f t="shared" si="243"/>
        <v>CPOS381606</v>
      </c>
      <c r="D2312" s="95" t="s">
        <v>2366</v>
      </c>
      <c r="E2312" s="63" t="s">
        <v>58</v>
      </c>
      <c r="F2312" s="64">
        <v>48.730000000000004</v>
      </c>
    </row>
    <row r="2313" spans="1:6" x14ac:dyDescent="0.25">
      <c r="A2313" s="62" t="s">
        <v>4398</v>
      </c>
      <c r="B2313" s="96">
        <v>381608</v>
      </c>
      <c r="C2313" s="96" t="str">
        <f t="shared" si="243"/>
        <v>CPOS381608</v>
      </c>
      <c r="D2313" s="95" t="s">
        <v>2367</v>
      </c>
      <c r="E2313" s="63" t="s">
        <v>58</v>
      </c>
      <c r="F2313" s="64">
        <v>53.59</v>
      </c>
    </row>
    <row r="2314" spans="1:6" ht="30" x14ac:dyDescent="0.25">
      <c r="A2314" s="62" t="s">
        <v>4398</v>
      </c>
      <c r="B2314" s="96">
        <v>381609</v>
      </c>
      <c r="C2314" s="96" t="str">
        <f t="shared" si="243"/>
        <v>CPOS381609</v>
      </c>
      <c r="D2314" s="95" t="s">
        <v>2368</v>
      </c>
      <c r="E2314" s="63" t="s">
        <v>58</v>
      </c>
      <c r="F2314" s="64">
        <v>16.399999999999999</v>
      </c>
    </row>
    <row r="2315" spans="1:6" ht="30" x14ac:dyDescent="0.25">
      <c r="A2315" s="62" t="s">
        <v>4398</v>
      </c>
      <c r="B2315" s="96">
        <v>381611</v>
      </c>
      <c r="C2315" s="96" t="str">
        <f t="shared" si="243"/>
        <v>CPOS381611</v>
      </c>
      <c r="D2315" s="95" t="s">
        <v>2369</v>
      </c>
      <c r="E2315" s="63" t="s">
        <v>58</v>
      </c>
      <c r="F2315" s="64">
        <v>37.39</v>
      </c>
    </row>
    <row r="2316" spans="1:6" ht="30" x14ac:dyDescent="0.25">
      <c r="A2316" s="62" t="s">
        <v>4398</v>
      </c>
      <c r="B2316" s="96">
        <v>381613</v>
      </c>
      <c r="C2316" s="96" t="str">
        <f t="shared" si="243"/>
        <v>CPOS381613</v>
      </c>
      <c r="D2316" s="95" t="s">
        <v>2370</v>
      </c>
      <c r="E2316" s="63" t="s">
        <v>58</v>
      </c>
      <c r="F2316" s="64">
        <v>14.01</v>
      </c>
    </row>
    <row r="2317" spans="1:6" ht="30" x14ac:dyDescent="0.25">
      <c r="A2317" s="62" t="s">
        <v>4398</v>
      </c>
      <c r="B2317" s="96">
        <v>381614</v>
      </c>
      <c r="C2317" s="96" t="str">
        <f t="shared" si="243"/>
        <v>CPOS381614</v>
      </c>
      <c r="D2317" s="95" t="s">
        <v>2371</v>
      </c>
      <c r="E2317" s="63" t="s">
        <v>58</v>
      </c>
      <c r="F2317" s="64">
        <v>8.0299999999999994</v>
      </c>
    </row>
    <row r="2318" spans="1:6" x14ac:dyDescent="0.25">
      <c r="A2318" s="62" t="s">
        <v>4398</v>
      </c>
      <c r="B2318" s="96">
        <v>381615</v>
      </c>
      <c r="C2318" s="96" t="str">
        <f t="shared" si="243"/>
        <v>CPOS381615</v>
      </c>
      <c r="D2318" s="95" t="s">
        <v>2372</v>
      </c>
      <c r="E2318" s="63" t="s">
        <v>110</v>
      </c>
      <c r="F2318" s="64">
        <v>35.29</v>
      </c>
    </row>
    <row r="2319" spans="1:6" x14ac:dyDescent="0.25">
      <c r="A2319" s="62" t="s">
        <v>4398</v>
      </c>
      <c r="B2319" s="96">
        <v>381616</v>
      </c>
      <c r="C2319" s="96" t="str">
        <f t="shared" si="243"/>
        <v>CPOS381616</v>
      </c>
      <c r="D2319" s="95" t="s">
        <v>2373</v>
      </c>
      <c r="E2319" s="63" t="s">
        <v>58</v>
      </c>
      <c r="F2319" s="64">
        <v>36.590000000000003</v>
      </c>
    </row>
    <row r="2320" spans="1:6" ht="30" x14ac:dyDescent="0.25">
      <c r="A2320" s="62" t="s">
        <v>4398</v>
      </c>
      <c r="B2320" s="96">
        <v>381619</v>
      </c>
      <c r="C2320" s="96" t="str">
        <f t="shared" si="243"/>
        <v>CPOS381619</v>
      </c>
      <c r="D2320" s="95" t="s">
        <v>2374</v>
      </c>
      <c r="E2320" s="63" t="s">
        <v>58</v>
      </c>
      <c r="F2320" s="64">
        <v>7.37</v>
      </c>
    </row>
    <row r="2321" spans="1:6" ht="30" x14ac:dyDescent="0.25">
      <c r="A2321" s="62" t="s">
        <v>4398</v>
      </c>
      <c r="B2321" s="96">
        <v>381620</v>
      </c>
      <c r="C2321" s="96" t="str">
        <f t="shared" si="243"/>
        <v>CPOS381620</v>
      </c>
      <c r="D2321" s="95" t="s">
        <v>2375</v>
      </c>
      <c r="E2321" s="63" t="s">
        <v>58</v>
      </c>
      <c r="F2321" s="64">
        <v>39.46</v>
      </c>
    </row>
    <row r="2322" spans="1:6" x14ac:dyDescent="0.25">
      <c r="A2322" s="62" t="s">
        <v>4398</v>
      </c>
      <c r="B2322" s="96">
        <v>381623</v>
      </c>
      <c r="C2322" s="96" t="str">
        <f t="shared" si="243"/>
        <v>CPOS381623</v>
      </c>
      <c r="D2322" s="95" t="s">
        <v>2376</v>
      </c>
      <c r="E2322" s="63" t="s">
        <v>58</v>
      </c>
      <c r="F2322" s="64">
        <v>42.93</v>
      </c>
    </row>
    <row r="2323" spans="1:6" ht="30" x14ac:dyDescent="0.25">
      <c r="A2323" s="62" t="s">
        <v>4398</v>
      </c>
      <c r="B2323" s="96">
        <v>381625</v>
      </c>
      <c r="C2323" s="96" t="str">
        <f t="shared" si="243"/>
        <v>CPOS381625</v>
      </c>
      <c r="D2323" s="95" t="s">
        <v>2377</v>
      </c>
      <c r="E2323" s="63" t="s">
        <v>58</v>
      </c>
      <c r="F2323" s="64">
        <v>275.86</v>
      </c>
    </row>
    <row r="2324" spans="1:6" x14ac:dyDescent="0.25">
      <c r="A2324" s="62" t="s">
        <v>4398</v>
      </c>
      <c r="B2324" s="96">
        <v>381626</v>
      </c>
      <c r="C2324" s="96" t="str">
        <f t="shared" si="243"/>
        <v>CPOS381626</v>
      </c>
      <c r="D2324" s="95" t="s">
        <v>2378</v>
      </c>
      <c r="E2324" s="63" t="s">
        <v>58</v>
      </c>
      <c r="F2324" s="64">
        <v>43.29</v>
      </c>
    </row>
    <row r="2325" spans="1:6" x14ac:dyDescent="0.25">
      <c r="A2325" s="62" t="s">
        <v>4398</v>
      </c>
      <c r="B2325" s="96">
        <v>381627</v>
      </c>
      <c r="C2325" s="96" t="str">
        <f t="shared" si="243"/>
        <v>CPOS381627</v>
      </c>
      <c r="D2325" s="95" t="s">
        <v>2379</v>
      </c>
      <c r="E2325" s="63" t="s">
        <v>58</v>
      </c>
      <c r="F2325" s="64">
        <v>38.43</v>
      </c>
    </row>
    <row r="2326" spans="1:6" x14ac:dyDescent="0.25">
      <c r="D2326" s="94" t="s">
        <v>2380</v>
      </c>
    </row>
    <row r="2327" spans="1:6" x14ac:dyDescent="0.25">
      <c r="A2327" s="62" t="s">
        <v>4398</v>
      </c>
      <c r="B2327" s="96">
        <v>381901</v>
      </c>
      <c r="C2327" s="96" t="str">
        <f t="shared" ref="C2327:C2333" si="244">A2327&amp;B2327</f>
        <v>CPOS381901</v>
      </c>
      <c r="D2327" s="95" t="s">
        <v>2381</v>
      </c>
      <c r="E2327" s="63" t="s">
        <v>110</v>
      </c>
      <c r="F2327" s="64">
        <v>9.16</v>
      </c>
    </row>
    <row r="2328" spans="1:6" x14ac:dyDescent="0.25">
      <c r="A2328" s="62" t="s">
        <v>4398</v>
      </c>
      <c r="B2328" s="96">
        <v>381902</v>
      </c>
      <c r="C2328" s="96" t="str">
        <f t="shared" si="244"/>
        <v>CPOS381902</v>
      </c>
      <c r="D2328" s="95" t="s">
        <v>2382</v>
      </c>
      <c r="E2328" s="63" t="s">
        <v>110</v>
      </c>
      <c r="F2328" s="64">
        <v>9.43</v>
      </c>
    </row>
    <row r="2329" spans="1:6" x14ac:dyDescent="0.25">
      <c r="A2329" s="62" t="s">
        <v>4398</v>
      </c>
      <c r="B2329" s="96">
        <v>381903</v>
      </c>
      <c r="C2329" s="96" t="str">
        <f t="shared" si="244"/>
        <v>CPOS381903</v>
      </c>
      <c r="D2329" s="95" t="s">
        <v>2383</v>
      </c>
      <c r="E2329" s="63" t="s">
        <v>110</v>
      </c>
      <c r="F2329" s="64">
        <v>9.61</v>
      </c>
    </row>
    <row r="2330" spans="1:6" x14ac:dyDescent="0.25">
      <c r="A2330" s="62" t="s">
        <v>4398</v>
      </c>
      <c r="B2330" s="96">
        <v>381904</v>
      </c>
      <c r="C2330" s="96" t="str">
        <f t="shared" si="244"/>
        <v>CPOS381904</v>
      </c>
      <c r="D2330" s="95" t="s">
        <v>2384</v>
      </c>
      <c r="E2330" s="63" t="s">
        <v>110</v>
      </c>
      <c r="F2330" s="64">
        <v>10.39</v>
      </c>
    </row>
    <row r="2331" spans="1:6" x14ac:dyDescent="0.25">
      <c r="A2331" s="62" t="s">
        <v>4398</v>
      </c>
      <c r="B2331" s="96">
        <v>381920</v>
      </c>
      <c r="C2331" s="96" t="str">
        <f t="shared" si="244"/>
        <v>CPOS381920</v>
      </c>
      <c r="D2331" s="95" t="s">
        <v>2385</v>
      </c>
      <c r="E2331" s="63" t="s">
        <v>110</v>
      </c>
      <c r="F2331" s="64">
        <v>9.64</v>
      </c>
    </row>
    <row r="2332" spans="1:6" x14ac:dyDescent="0.25">
      <c r="A2332" s="62" t="s">
        <v>4398</v>
      </c>
      <c r="B2332" s="96">
        <v>381921</v>
      </c>
      <c r="C2332" s="96" t="str">
        <f t="shared" si="244"/>
        <v>CPOS381921</v>
      </c>
      <c r="D2332" s="95" t="s">
        <v>2386</v>
      </c>
      <c r="E2332" s="63" t="s">
        <v>110</v>
      </c>
      <c r="F2332" s="64">
        <v>10.16</v>
      </c>
    </row>
    <row r="2333" spans="1:6" x14ac:dyDescent="0.25">
      <c r="A2333" s="62" t="s">
        <v>4398</v>
      </c>
      <c r="B2333" s="96">
        <v>381922</v>
      </c>
      <c r="C2333" s="96" t="str">
        <f t="shared" si="244"/>
        <v>CPOS381922</v>
      </c>
      <c r="D2333" s="95" t="s">
        <v>2387</v>
      </c>
      <c r="E2333" s="63" t="s">
        <v>110</v>
      </c>
      <c r="F2333" s="64">
        <v>11.06</v>
      </c>
    </row>
    <row r="2334" spans="1:6" x14ac:dyDescent="0.25">
      <c r="D2334" s="94" t="s">
        <v>2388</v>
      </c>
    </row>
    <row r="2335" spans="1:6" x14ac:dyDescent="0.25">
      <c r="A2335" s="62" t="s">
        <v>4398</v>
      </c>
      <c r="B2335" s="96">
        <v>382111</v>
      </c>
      <c r="C2335" s="96" t="str">
        <f t="shared" ref="C2335:C2350" si="245">A2335&amp;B2335</f>
        <v>CPOS382111</v>
      </c>
      <c r="D2335" s="95" t="s">
        <v>2389</v>
      </c>
      <c r="E2335" s="63" t="s">
        <v>110</v>
      </c>
      <c r="F2335" s="64">
        <v>30.330000000000002</v>
      </c>
    </row>
    <row r="2336" spans="1:6" x14ac:dyDescent="0.25">
      <c r="A2336" s="62" t="s">
        <v>4398</v>
      </c>
      <c r="B2336" s="96">
        <v>382112</v>
      </c>
      <c r="C2336" s="96" t="str">
        <f t="shared" si="245"/>
        <v>CPOS382112</v>
      </c>
      <c r="D2336" s="95" t="s">
        <v>2390</v>
      </c>
      <c r="E2336" s="63" t="s">
        <v>110</v>
      </c>
      <c r="F2336" s="64">
        <v>36.03</v>
      </c>
    </row>
    <row r="2337" spans="1:6" x14ac:dyDescent="0.25">
      <c r="A2337" s="62" t="s">
        <v>4398</v>
      </c>
      <c r="B2337" s="96">
        <v>382113</v>
      </c>
      <c r="C2337" s="96" t="str">
        <f t="shared" si="245"/>
        <v>CPOS382113</v>
      </c>
      <c r="D2337" s="95" t="s">
        <v>2391</v>
      </c>
      <c r="E2337" s="63" t="s">
        <v>110</v>
      </c>
      <c r="F2337" s="64">
        <v>41.71</v>
      </c>
    </row>
    <row r="2338" spans="1:6" x14ac:dyDescent="0.25">
      <c r="A2338" s="62" t="s">
        <v>4398</v>
      </c>
      <c r="B2338" s="96">
        <v>382114</v>
      </c>
      <c r="C2338" s="96" t="str">
        <f t="shared" si="245"/>
        <v>CPOS382114</v>
      </c>
      <c r="D2338" s="95" t="s">
        <v>2392</v>
      </c>
      <c r="E2338" s="63" t="s">
        <v>110</v>
      </c>
      <c r="F2338" s="64">
        <v>47.39</v>
      </c>
    </row>
    <row r="2339" spans="1:6" x14ac:dyDescent="0.25">
      <c r="A2339" s="62" t="s">
        <v>4398</v>
      </c>
      <c r="B2339" s="96">
        <v>382115</v>
      </c>
      <c r="C2339" s="96" t="str">
        <f t="shared" si="245"/>
        <v>CPOS382115</v>
      </c>
      <c r="D2339" s="95" t="s">
        <v>2393</v>
      </c>
      <c r="E2339" s="63" t="s">
        <v>110</v>
      </c>
      <c r="F2339" s="64">
        <v>53.07</v>
      </c>
    </row>
    <row r="2340" spans="1:6" x14ac:dyDescent="0.25">
      <c r="A2340" s="62" t="s">
        <v>4398</v>
      </c>
      <c r="B2340" s="96">
        <v>382131</v>
      </c>
      <c r="C2340" s="96" t="str">
        <f t="shared" si="245"/>
        <v>CPOS382131</v>
      </c>
      <c r="D2340" s="95" t="s">
        <v>2394</v>
      </c>
      <c r="E2340" s="63" t="s">
        <v>110</v>
      </c>
      <c r="F2340" s="64">
        <v>54.03</v>
      </c>
    </row>
    <row r="2341" spans="1:6" x14ac:dyDescent="0.25">
      <c r="A2341" s="62" t="s">
        <v>4398</v>
      </c>
      <c r="B2341" s="96">
        <v>382132</v>
      </c>
      <c r="C2341" s="96" t="str">
        <f t="shared" si="245"/>
        <v>CPOS382132</v>
      </c>
      <c r="D2341" s="95" t="s">
        <v>2395</v>
      </c>
      <c r="E2341" s="63" t="s">
        <v>110</v>
      </c>
      <c r="F2341" s="64">
        <v>59.71</v>
      </c>
    </row>
    <row r="2342" spans="1:6" x14ac:dyDescent="0.25">
      <c r="A2342" s="62" t="s">
        <v>4398</v>
      </c>
      <c r="B2342" s="96">
        <v>382133</v>
      </c>
      <c r="C2342" s="96" t="str">
        <f t="shared" si="245"/>
        <v>CPOS382133</v>
      </c>
      <c r="D2342" s="95" t="s">
        <v>2396</v>
      </c>
      <c r="E2342" s="63" t="s">
        <v>110</v>
      </c>
      <c r="F2342" s="64">
        <v>65.400000000000006</v>
      </c>
    </row>
    <row r="2343" spans="1:6" x14ac:dyDescent="0.25">
      <c r="A2343" s="62" t="s">
        <v>4398</v>
      </c>
      <c r="B2343" s="96">
        <v>382134</v>
      </c>
      <c r="C2343" s="96" t="str">
        <f t="shared" si="245"/>
        <v>CPOS382134</v>
      </c>
      <c r="D2343" s="95" t="s">
        <v>2397</v>
      </c>
      <c r="E2343" s="63" t="s">
        <v>110</v>
      </c>
      <c r="F2343" s="64">
        <v>71.36</v>
      </c>
    </row>
    <row r="2344" spans="1:6" x14ac:dyDescent="0.25">
      <c r="A2344" s="62" t="s">
        <v>4398</v>
      </c>
      <c r="B2344" s="96">
        <v>382135</v>
      </c>
      <c r="C2344" s="96" t="str">
        <f t="shared" si="245"/>
        <v>CPOS382135</v>
      </c>
      <c r="D2344" s="95" t="s">
        <v>2398</v>
      </c>
      <c r="E2344" s="63" t="s">
        <v>110</v>
      </c>
      <c r="F2344" s="64">
        <v>83.41</v>
      </c>
    </row>
    <row r="2345" spans="1:6" x14ac:dyDescent="0.25">
      <c r="A2345" s="62" t="s">
        <v>4398</v>
      </c>
      <c r="B2345" s="96">
        <v>382136</v>
      </c>
      <c r="C2345" s="96" t="str">
        <f t="shared" si="245"/>
        <v>CPOS382136</v>
      </c>
      <c r="D2345" s="95" t="s">
        <v>2399</v>
      </c>
      <c r="E2345" s="63" t="s">
        <v>110</v>
      </c>
      <c r="F2345" s="64">
        <v>107.59</v>
      </c>
    </row>
    <row r="2346" spans="1:6" x14ac:dyDescent="0.25">
      <c r="A2346" s="62" t="s">
        <v>4398</v>
      </c>
      <c r="B2346" s="96">
        <v>382137</v>
      </c>
      <c r="C2346" s="96" t="str">
        <f t="shared" si="245"/>
        <v>CPOS382137</v>
      </c>
      <c r="D2346" s="95" t="s">
        <v>2400</v>
      </c>
      <c r="E2346" s="63" t="s">
        <v>110</v>
      </c>
      <c r="F2346" s="64">
        <v>121.08</v>
      </c>
    </row>
    <row r="2347" spans="1:6" x14ac:dyDescent="0.25">
      <c r="A2347" s="62" t="s">
        <v>4398</v>
      </c>
      <c r="B2347" s="96">
        <v>382192</v>
      </c>
      <c r="C2347" s="96" t="str">
        <f t="shared" si="245"/>
        <v>CPOS382192</v>
      </c>
      <c r="D2347" s="95" t="s">
        <v>2401</v>
      </c>
      <c r="E2347" s="63" t="s">
        <v>110</v>
      </c>
      <c r="F2347" s="64">
        <v>37.17</v>
      </c>
    </row>
    <row r="2348" spans="1:6" x14ac:dyDescent="0.25">
      <c r="A2348" s="62" t="s">
        <v>4398</v>
      </c>
      <c r="B2348" s="96">
        <v>382193</v>
      </c>
      <c r="C2348" s="96" t="str">
        <f t="shared" si="245"/>
        <v>CPOS382193</v>
      </c>
      <c r="D2348" s="95" t="s">
        <v>2402</v>
      </c>
      <c r="E2348" s="63" t="s">
        <v>110</v>
      </c>
      <c r="F2348" s="64">
        <v>43.14</v>
      </c>
    </row>
    <row r="2349" spans="1:6" x14ac:dyDescent="0.25">
      <c r="A2349" s="62" t="s">
        <v>4398</v>
      </c>
      <c r="B2349" s="96">
        <v>382194</v>
      </c>
      <c r="C2349" s="96" t="str">
        <f t="shared" si="245"/>
        <v>CPOS382194</v>
      </c>
      <c r="D2349" s="95" t="s">
        <v>2403</v>
      </c>
      <c r="E2349" s="63" t="s">
        <v>110</v>
      </c>
      <c r="F2349" s="64">
        <v>49.11</v>
      </c>
    </row>
    <row r="2350" spans="1:6" x14ac:dyDescent="0.25">
      <c r="A2350" s="62" t="s">
        <v>4398</v>
      </c>
      <c r="B2350" s="96">
        <v>382195</v>
      </c>
      <c r="C2350" s="96" t="str">
        <f t="shared" si="245"/>
        <v>CPOS382195</v>
      </c>
      <c r="D2350" s="95" t="s">
        <v>2404</v>
      </c>
      <c r="E2350" s="63" t="s">
        <v>110</v>
      </c>
      <c r="F2350" s="64">
        <v>55.07</v>
      </c>
    </row>
    <row r="2351" spans="1:6" x14ac:dyDescent="0.25">
      <c r="D2351" s="94" t="s">
        <v>2388</v>
      </c>
    </row>
    <row r="2352" spans="1:6" x14ac:dyDescent="0.25">
      <c r="A2352" s="62" t="s">
        <v>4398</v>
      </c>
      <c r="B2352" s="96">
        <v>382212</v>
      </c>
      <c r="C2352" s="96" t="str">
        <f t="shared" ref="C2352:C2367" si="246">A2352&amp;B2352</f>
        <v>CPOS382212</v>
      </c>
      <c r="D2352" s="95" t="s">
        <v>2405</v>
      </c>
      <c r="E2352" s="63" t="s">
        <v>110</v>
      </c>
      <c r="F2352" s="64">
        <v>61.71</v>
      </c>
    </row>
    <row r="2353" spans="1:6" x14ac:dyDescent="0.25">
      <c r="A2353" s="62" t="s">
        <v>4398</v>
      </c>
      <c r="B2353" s="96">
        <v>382213</v>
      </c>
      <c r="C2353" s="96" t="str">
        <f t="shared" si="246"/>
        <v>CPOS382213</v>
      </c>
      <c r="D2353" s="95" t="s">
        <v>2406</v>
      </c>
      <c r="E2353" s="63" t="s">
        <v>110</v>
      </c>
      <c r="F2353" s="64">
        <v>67.680000000000007</v>
      </c>
    </row>
    <row r="2354" spans="1:6" x14ac:dyDescent="0.25">
      <c r="A2354" s="62" t="s">
        <v>4398</v>
      </c>
      <c r="B2354" s="96">
        <v>382214</v>
      </c>
      <c r="C2354" s="96" t="str">
        <f t="shared" si="246"/>
        <v>CPOS382214</v>
      </c>
      <c r="D2354" s="95" t="s">
        <v>2407</v>
      </c>
      <c r="E2354" s="63" t="s">
        <v>110</v>
      </c>
      <c r="F2354" s="64">
        <v>73.650000000000006</v>
      </c>
    </row>
    <row r="2355" spans="1:6" x14ac:dyDescent="0.25">
      <c r="A2355" s="62" t="s">
        <v>4398</v>
      </c>
      <c r="B2355" s="96">
        <v>382215</v>
      </c>
      <c r="C2355" s="96" t="str">
        <f t="shared" si="246"/>
        <v>CPOS382215</v>
      </c>
      <c r="D2355" s="95" t="s">
        <v>2408</v>
      </c>
      <c r="E2355" s="63" t="s">
        <v>110</v>
      </c>
      <c r="F2355" s="64">
        <v>86.27</v>
      </c>
    </row>
    <row r="2356" spans="1:6" x14ac:dyDescent="0.25">
      <c r="A2356" s="62" t="s">
        <v>4398</v>
      </c>
      <c r="B2356" s="96">
        <v>382216</v>
      </c>
      <c r="C2356" s="96" t="str">
        <f t="shared" si="246"/>
        <v>CPOS382216</v>
      </c>
      <c r="D2356" s="95" t="s">
        <v>2409</v>
      </c>
      <c r="E2356" s="63" t="s">
        <v>110</v>
      </c>
      <c r="F2356" s="64">
        <v>115.17</v>
      </c>
    </row>
    <row r="2357" spans="1:6" x14ac:dyDescent="0.25">
      <c r="A2357" s="62" t="s">
        <v>4398</v>
      </c>
      <c r="B2357" s="96">
        <v>382217</v>
      </c>
      <c r="C2357" s="96" t="str">
        <f t="shared" si="246"/>
        <v>CPOS382217</v>
      </c>
      <c r="D2357" s="95" t="s">
        <v>2410</v>
      </c>
      <c r="E2357" s="63" t="s">
        <v>110</v>
      </c>
      <c r="F2357" s="64">
        <v>129.91999999999999</v>
      </c>
    </row>
    <row r="2358" spans="1:6" x14ac:dyDescent="0.25">
      <c r="A2358" s="62" t="s">
        <v>4398</v>
      </c>
      <c r="B2358" s="96">
        <v>382218</v>
      </c>
      <c r="C2358" s="96" t="str">
        <f t="shared" si="246"/>
        <v>CPOS382218</v>
      </c>
      <c r="D2358" s="95" t="s">
        <v>2411</v>
      </c>
      <c r="E2358" s="63" t="s">
        <v>110</v>
      </c>
      <c r="F2358" s="64">
        <v>159.46</v>
      </c>
    </row>
    <row r="2359" spans="1:6" x14ac:dyDescent="0.25">
      <c r="A2359" s="62" t="s">
        <v>4398</v>
      </c>
      <c r="B2359" s="96">
        <v>382261</v>
      </c>
      <c r="C2359" s="96" t="str">
        <f t="shared" si="246"/>
        <v>CPOS382261</v>
      </c>
      <c r="D2359" s="95" t="s">
        <v>2412</v>
      </c>
      <c r="E2359" s="63" t="s">
        <v>110</v>
      </c>
      <c r="F2359" s="64">
        <v>9.61</v>
      </c>
    </row>
    <row r="2360" spans="1:6" x14ac:dyDescent="0.25">
      <c r="A2360" s="62" t="s">
        <v>4398</v>
      </c>
      <c r="B2360" s="96">
        <v>382262</v>
      </c>
      <c r="C2360" s="96" t="str">
        <f t="shared" si="246"/>
        <v>CPOS382262</v>
      </c>
      <c r="D2360" s="95" t="s">
        <v>2413</v>
      </c>
      <c r="E2360" s="63" t="s">
        <v>110</v>
      </c>
      <c r="F2360" s="64">
        <v>15.31</v>
      </c>
    </row>
    <row r="2361" spans="1:6" x14ac:dyDescent="0.25">
      <c r="A2361" s="62" t="s">
        <v>4398</v>
      </c>
      <c r="B2361" s="96">
        <v>382263</v>
      </c>
      <c r="C2361" s="96" t="str">
        <f t="shared" si="246"/>
        <v>CPOS382263</v>
      </c>
      <c r="D2361" s="95" t="s">
        <v>2414</v>
      </c>
      <c r="E2361" s="63" t="s">
        <v>110</v>
      </c>
      <c r="F2361" s="64">
        <v>21</v>
      </c>
    </row>
    <row r="2362" spans="1:6" x14ac:dyDescent="0.25">
      <c r="A2362" s="62" t="s">
        <v>4398</v>
      </c>
      <c r="B2362" s="96">
        <v>382264</v>
      </c>
      <c r="C2362" s="96" t="str">
        <f t="shared" si="246"/>
        <v>CPOS382264</v>
      </c>
      <c r="D2362" s="95" t="s">
        <v>2415</v>
      </c>
      <c r="E2362" s="63" t="s">
        <v>110</v>
      </c>
      <c r="F2362" s="64">
        <v>26.69</v>
      </c>
    </row>
    <row r="2363" spans="1:6" x14ac:dyDescent="0.25">
      <c r="A2363" s="62" t="s">
        <v>4398</v>
      </c>
      <c r="B2363" s="96">
        <v>382265</v>
      </c>
      <c r="C2363" s="96" t="str">
        <f t="shared" si="246"/>
        <v>CPOS382265</v>
      </c>
      <c r="D2363" s="95" t="s">
        <v>2416</v>
      </c>
      <c r="E2363" s="63" t="s">
        <v>110</v>
      </c>
      <c r="F2363" s="64">
        <v>31.98</v>
      </c>
    </row>
    <row r="2364" spans="1:6" x14ac:dyDescent="0.25">
      <c r="A2364" s="62" t="s">
        <v>4398</v>
      </c>
      <c r="B2364" s="96">
        <v>382266</v>
      </c>
      <c r="C2364" s="96" t="str">
        <f t="shared" si="246"/>
        <v>CPOS382266</v>
      </c>
      <c r="D2364" s="95" t="s">
        <v>2417</v>
      </c>
      <c r="E2364" s="63" t="s">
        <v>110</v>
      </c>
      <c r="F2364" s="64">
        <v>38.08</v>
      </c>
    </row>
    <row r="2365" spans="1:6" x14ac:dyDescent="0.25">
      <c r="A2365" s="62" t="s">
        <v>4398</v>
      </c>
      <c r="B2365" s="96">
        <v>382267</v>
      </c>
      <c r="C2365" s="96" t="str">
        <f t="shared" si="246"/>
        <v>CPOS382267</v>
      </c>
      <c r="D2365" s="95" t="s">
        <v>2418</v>
      </c>
      <c r="E2365" s="63" t="s">
        <v>110</v>
      </c>
      <c r="F2365" s="64">
        <v>49.47</v>
      </c>
    </row>
    <row r="2366" spans="1:6" x14ac:dyDescent="0.25">
      <c r="A2366" s="62" t="s">
        <v>4398</v>
      </c>
      <c r="B2366" s="96">
        <v>382268</v>
      </c>
      <c r="C2366" s="96" t="str">
        <f t="shared" si="246"/>
        <v>CPOS382268</v>
      </c>
      <c r="D2366" s="95" t="s">
        <v>2419</v>
      </c>
      <c r="E2366" s="63" t="s">
        <v>110</v>
      </c>
      <c r="F2366" s="64">
        <v>60.84</v>
      </c>
    </row>
    <row r="2367" spans="1:6" x14ac:dyDescent="0.25">
      <c r="A2367" s="62" t="s">
        <v>4398</v>
      </c>
      <c r="B2367" s="96">
        <v>382269</v>
      </c>
      <c r="C2367" s="96" t="str">
        <f t="shared" si="246"/>
        <v>CPOS382269</v>
      </c>
      <c r="D2367" s="95" t="s">
        <v>2420</v>
      </c>
      <c r="E2367" s="63" t="s">
        <v>110</v>
      </c>
      <c r="F2367" s="64">
        <v>83.62</v>
      </c>
    </row>
    <row r="2368" spans="1:6" x14ac:dyDescent="0.25">
      <c r="D2368" s="94" t="s">
        <v>2388</v>
      </c>
    </row>
    <row r="2369" spans="1:6" x14ac:dyDescent="0.25">
      <c r="A2369" s="62" t="s">
        <v>4398</v>
      </c>
      <c r="B2369" s="96">
        <v>382301</v>
      </c>
      <c r="C2369" s="96" t="str">
        <f t="shared" ref="C2369:C2391" si="247">A2369&amp;B2369</f>
        <v>CPOS382301</v>
      </c>
      <c r="D2369" s="95" t="s">
        <v>2421</v>
      </c>
      <c r="E2369" s="63" t="s">
        <v>58</v>
      </c>
      <c r="F2369" s="64">
        <v>9.24</v>
      </c>
    </row>
    <row r="2370" spans="1:6" x14ac:dyDescent="0.25">
      <c r="A2370" s="62" t="s">
        <v>4398</v>
      </c>
      <c r="B2370" s="96">
        <v>382302</v>
      </c>
      <c r="C2370" s="96" t="str">
        <f t="shared" si="247"/>
        <v>CPOS382302</v>
      </c>
      <c r="D2370" s="95" t="s">
        <v>2422</v>
      </c>
      <c r="E2370" s="63" t="s">
        <v>58</v>
      </c>
      <c r="F2370" s="64">
        <v>9.67</v>
      </c>
    </row>
    <row r="2371" spans="1:6" x14ac:dyDescent="0.25">
      <c r="A2371" s="62" t="s">
        <v>4398</v>
      </c>
      <c r="B2371" s="96">
        <v>382303</v>
      </c>
      <c r="C2371" s="96" t="str">
        <f t="shared" si="247"/>
        <v>CPOS382303</v>
      </c>
      <c r="D2371" s="95" t="s">
        <v>2423</v>
      </c>
      <c r="E2371" s="63" t="s">
        <v>58</v>
      </c>
      <c r="F2371" s="64">
        <v>10.46</v>
      </c>
    </row>
    <row r="2372" spans="1:6" x14ac:dyDescent="0.25">
      <c r="A2372" s="62" t="s">
        <v>4398</v>
      </c>
      <c r="B2372" s="96">
        <v>382304</v>
      </c>
      <c r="C2372" s="96" t="str">
        <f t="shared" si="247"/>
        <v>CPOS382304</v>
      </c>
      <c r="D2372" s="95" t="s">
        <v>2424</v>
      </c>
      <c r="E2372" s="63" t="s">
        <v>58</v>
      </c>
      <c r="F2372" s="64">
        <v>11.74</v>
      </c>
    </row>
    <row r="2373" spans="1:6" x14ac:dyDescent="0.25">
      <c r="A2373" s="62" t="s">
        <v>4398</v>
      </c>
      <c r="B2373" s="96">
        <v>382305</v>
      </c>
      <c r="C2373" s="96" t="str">
        <f t="shared" si="247"/>
        <v>CPOS382305</v>
      </c>
      <c r="D2373" s="95" t="s">
        <v>2425</v>
      </c>
      <c r="E2373" s="63" t="s">
        <v>58</v>
      </c>
      <c r="F2373" s="64">
        <v>12.49</v>
      </c>
    </row>
    <row r="2374" spans="1:6" x14ac:dyDescent="0.25">
      <c r="A2374" s="62" t="s">
        <v>4398</v>
      </c>
      <c r="B2374" s="96">
        <v>382306</v>
      </c>
      <c r="C2374" s="96" t="str">
        <f t="shared" si="247"/>
        <v>CPOS382306</v>
      </c>
      <c r="D2374" s="95" t="s">
        <v>2426</v>
      </c>
      <c r="E2374" s="63" t="s">
        <v>58</v>
      </c>
      <c r="F2374" s="64">
        <v>13.540000000000001</v>
      </c>
    </row>
    <row r="2375" spans="1:6" x14ac:dyDescent="0.25">
      <c r="A2375" s="62" t="s">
        <v>4398</v>
      </c>
      <c r="B2375" s="96">
        <v>382311</v>
      </c>
      <c r="C2375" s="96" t="str">
        <f t="shared" si="247"/>
        <v>CPOS382311</v>
      </c>
      <c r="D2375" s="95" t="s">
        <v>2427</v>
      </c>
      <c r="E2375" s="63" t="s">
        <v>58</v>
      </c>
      <c r="F2375" s="64">
        <v>10.48</v>
      </c>
    </row>
    <row r="2376" spans="1:6" x14ac:dyDescent="0.25">
      <c r="A2376" s="62" t="s">
        <v>4398</v>
      </c>
      <c r="B2376" s="96">
        <v>382312</v>
      </c>
      <c r="C2376" s="96" t="str">
        <f t="shared" si="247"/>
        <v>CPOS382312</v>
      </c>
      <c r="D2376" s="95" t="s">
        <v>2428</v>
      </c>
      <c r="E2376" s="63" t="s">
        <v>58</v>
      </c>
      <c r="F2376" s="64">
        <v>11.25</v>
      </c>
    </row>
    <row r="2377" spans="1:6" x14ac:dyDescent="0.25">
      <c r="A2377" s="62" t="s">
        <v>4398</v>
      </c>
      <c r="B2377" s="96">
        <v>382313</v>
      </c>
      <c r="C2377" s="96" t="str">
        <f t="shared" si="247"/>
        <v>CPOS382313</v>
      </c>
      <c r="D2377" s="95" t="s">
        <v>2429</v>
      </c>
      <c r="E2377" s="63" t="s">
        <v>58</v>
      </c>
      <c r="F2377" s="64">
        <v>12.13</v>
      </c>
    </row>
    <row r="2378" spans="1:6" x14ac:dyDescent="0.25">
      <c r="A2378" s="62" t="s">
        <v>4398</v>
      </c>
      <c r="B2378" s="96">
        <v>382314</v>
      </c>
      <c r="C2378" s="96" t="str">
        <f t="shared" si="247"/>
        <v>CPOS382314</v>
      </c>
      <c r="D2378" s="95" t="s">
        <v>2430</v>
      </c>
      <c r="E2378" s="63" t="s">
        <v>58</v>
      </c>
      <c r="F2378" s="64">
        <v>13.51</v>
      </c>
    </row>
    <row r="2379" spans="1:6" x14ac:dyDescent="0.25">
      <c r="A2379" s="62" t="s">
        <v>4398</v>
      </c>
      <c r="B2379" s="96">
        <v>382315</v>
      </c>
      <c r="C2379" s="96" t="str">
        <f t="shared" si="247"/>
        <v>CPOS382315</v>
      </c>
      <c r="D2379" s="95" t="s">
        <v>2431</v>
      </c>
      <c r="E2379" s="63" t="s">
        <v>58</v>
      </c>
      <c r="F2379" s="64">
        <v>13.55</v>
      </c>
    </row>
    <row r="2380" spans="1:6" x14ac:dyDescent="0.25">
      <c r="A2380" s="62" t="s">
        <v>4398</v>
      </c>
      <c r="B2380" s="96">
        <v>382316</v>
      </c>
      <c r="C2380" s="96" t="str">
        <f t="shared" si="247"/>
        <v>CPOS382316</v>
      </c>
      <c r="D2380" s="95" t="s">
        <v>2432</v>
      </c>
      <c r="E2380" s="63" t="s">
        <v>58</v>
      </c>
      <c r="F2380" s="64">
        <v>15.64</v>
      </c>
    </row>
    <row r="2381" spans="1:6" x14ac:dyDescent="0.25">
      <c r="A2381" s="62" t="s">
        <v>4398</v>
      </c>
      <c r="B2381" s="96">
        <v>382317</v>
      </c>
      <c r="C2381" s="96" t="str">
        <f t="shared" si="247"/>
        <v>CPOS382317</v>
      </c>
      <c r="D2381" s="95" t="s">
        <v>2433</v>
      </c>
      <c r="E2381" s="63" t="s">
        <v>58</v>
      </c>
      <c r="F2381" s="64">
        <v>19.77</v>
      </c>
    </row>
    <row r="2382" spans="1:6" x14ac:dyDescent="0.25">
      <c r="A2382" s="62" t="s">
        <v>4398</v>
      </c>
      <c r="B2382" s="96">
        <v>382318</v>
      </c>
      <c r="C2382" s="96" t="str">
        <f t="shared" si="247"/>
        <v>CPOS382318</v>
      </c>
      <c r="D2382" s="95" t="s">
        <v>2434</v>
      </c>
      <c r="E2382" s="63" t="s">
        <v>58</v>
      </c>
      <c r="F2382" s="64">
        <v>24.05</v>
      </c>
    </row>
    <row r="2383" spans="1:6" x14ac:dyDescent="0.25">
      <c r="A2383" s="62" t="s">
        <v>4398</v>
      </c>
      <c r="B2383" s="96">
        <v>382321</v>
      </c>
      <c r="C2383" s="96" t="str">
        <f t="shared" si="247"/>
        <v>CPOS382321</v>
      </c>
      <c r="D2383" s="95" t="s">
        <v>2435</v>
      </c>
      <c r="E2383" s="63" t="s">
        <v>58</v>
      </c>
      <c r="F2383" s="64">
        <v>12.5</v>
      </c>
    </row>
    <row r="2384" spans="1:6" x14ac:dyDescent="0.25">
      <c r="A2384" s="62" t="s">
        <v>4398</v>
      </c>
      <c r="B2384" s="96">
        <v>382322</v>
      </c>
      <c r="C2384" s="96" t="str">
        <f t="shared" si="247"/>
        <v>CPOS382322</v>
      </c>
      <c r="D2384" s="95" t="s">
        <v>2436</v>
      </c>
      <c r="E2384" s="63" t="s">
        <v>58</v>
      </c>
      <c r="F2384" s="64">
        <v>14.1</v>
      </c>
    </row>
    <row r="2385" spans="1:6" x14ac:dyDescent="0.25">
      <c r="A2385" s="62" t="s">
        <v>4398</v>
      </c>
      <c r="B2385" s="96">
        <v>382323</v>
      </c>
      <c r="C2385" s="96" t="str">
        <f t="shared" si="247"/>
        <v>CPOS382323</v>
      </c>
      <c r="D2385" s="95" t="s">
        <v>2437</v>
      </c>
      <c r="E2385" s="63" t="s">
        <v>58</v>
      </c>
      <c r="F2385" s="64">
        <v>16.100000000000001</v>
      </c>
    </row>
    <row r="2386" spans="1:6" x14ac:dyDescent="0.25">
      <c r="A2386" s="62" t="s">
        <v>4398</v>
      </c>
      <c r="B2386" s="96">
        <v>382324</v>
      </c>
      <c r="C2386" s="96" t="str">
        <f t="shared" si="247"/>
        <v>CPOS382324</v>
      </c>
      <c r="D2386" s="95" t="s">
        <v>2438</v>
      </c>
      <c r="E2386" s="63" t="s">
        <v>58</v>
      </c>
      <c r="F2386" s="64">
        <v>17.87</v>
      </c>
    </row>
    <row r="2387" spans="1:6" x14ac:dyDescent="0.25">
      <c r="A2387" s="62" t="s">
        <v>4398</v>
      </c>
      <c r="B2387" s="96">
        <v>382331</v>
      </c>
      <c r="C2387" s="96" t="str">
        <f t="shared" si="247"/>
        <v>CPOS382331</v>
      </c>
      <c r="D2387" s="95" t="s">
        <v>2439</v>
      </c>
      <c r="E2387" s="63" t="s">
        <v>58</v>
      </c>
      <c r="F2387" s="64">
        <v>24.54</v>
      </c>
    </row>
    <row r="2388" spans="1:6" x14ac:dyDescent="0.25">
      <c r="A2388" s="62" t="s">
        <v>4398</v>
      </c>
      <c r="B2388" s="96">
        <v>382332</v>
      </c>
      <c r="C2388" s="96" t="str">
        <f t="shared" si="247"/>
        <v>CPOS382332</v>
      </c>
      <c r="D2388" s="95" t="s">
        <v>2440</v>
      </c>
      <c r="E2388" s="63" t="s">
        <v>58</v>
      </c>
      <c r="F2388" s="64">
        <v>28.02</v>
      </c>
    </row>
    <row r="2389" spans="1:6" x14ac:dyDescent="0.25">
      <c r="A2389" s="62" t="s">
        <v>4398</v>
      </c>
      <c r="B2389" s="96">
        <v>382333</v>
      </c>
      <c r="C2389" s="96" t="str">
        <f t="shared" si="247"/>
        <v>CPOS382333</v>
      </c>
      <c r="D2389" s="95" t="s">
        <v>2441</v>
      </c>
      <c r="E2389" s="63" t="s">
        <v>58</v>
      </c>
      <c r="F2389" s="64">
        <v>31.240000000000002</v>
      </c>
    </row>
    <row r="2390" spans="1:6" x14ac:dyDescent="0.25">
      <c r="A2390" s="62" t="s">
        <v>4398</v>
      </c>
      <c r="B2390" s="96">
        <v>382335</v>
      </c>
      <c r="C2390" s="96" t="str">
        <f t="shared" si="247"/>
        <v>CPOS382335</v>
      </c>
      <c r="D2390" s="95" t="s">
        <v>2442</v>
      </c>
      <c r="E2390" s="63" t="s">
        <v>58</v>
      </c>
      <c r="F2390" s="64">
        <v>38.229999999999997</v>
      </c>
    </row>
    <row r="2391" spans="1:6" x14ac:dyDescent="0.25">
      <c r="A2391" s="62" t="s">
        <v>4398</v>
      </c>
      <c r="B2391" s="96">
        <v>382341</v>
      </c>
      <c r="C2391" s="96" t="str">
        <f t="shared" si="247"/>
        <v>CPOS382341</v>
      </c>
      <c r="D2391" s="95" t="s">
        <v>2443</v>
      </c>
      <c r="E2391" s="63" t="s">
        <v>58</v>
      </c>
      <c r="F2391" s="64">
        <v>66.11</v>
      </c>
    </row>
    <row r="2392" spans="1:6" x14ac:dyDescent="0.25">
      <c r="D2392" s="94" t="s">
        <v>2444</v>
      </c>
    </row>
    <row r="2393" spans="1:6" x14ac:dyDescent="0.25">
      <c r="D2393" s="94" t="s">
        <v>2445</v>
      </c>
    </row>
    <row r="2394" spans="1:6" x14ac:dyDescent="0.25">
      <c r="A2394" s="62" t="s">
        <v>4398</v>
      </c>
      <c r="B2394" s="96">
        <v>390201</v>
      </c>
      <c r="C2394" s="96" t="str">
        <f t="shared" ref="C2394:C2409" si="248">A2394&amp;B2394</f>
        <v>CPOS390201</v>
      </c>
      <c r="D2394" s="95" t="s">
        <v>2446</v>
      </c>
      <c r="E2394" s="63" t="s">
        <v>110</v>
      </c>
      <c r="F2394" s="64">
        <v>1.62</v>
      </c>
    </row>
    <row r="2395" spans="1:6" x14ac:dyDescent="0.25">
      <c r="A2395" s="62" t="s">
        <v>4398</v>
      </c>
      <c r="B2395" s="96">
        <v>390203</v>
      </c>
      <c r="C2395" s="96" t="str">
        <f t="shared" si="248"/>
        <v>CPOS390203</v>
      </c>
      <c r="D2395" s="95" t="s">
        <v>2447</v>
      </c>
      <c r="E2395" s="63" t="s">
        <v>110</v>
      </c>
      <c r="F2395" s="64">
        <v>3.7800000000000002</v>
      </c>
    </row>
    <row r="2396" spans="1:6" x14ac:dyDescent="0.25">
      <c r="A2396" s="62" t="s">
        <v>4398</v>
      </c>
      <c r="B2396" s="96">
        <v>390204</v>
      </c>
      <c r="C2396" s="96" t="str">
        <f t="shared" si="248"/>
        <v>CPOS390204</v>
      </c>
      <c r="D2396" s="95" t="s">
        <v>2448</v>
      </c>
      <c r="E2396" s="63" t="s">
        <v>110</v>
      </c>
      <c r="F2396" s="64">
        <v>6.07</v>
      </c>
    </row>
    <row r="2397" spans="1:6" x14ac:dyDescent="0.25">
      <c r="A2397" s="62" t="s">
        <v>4398</v>
      </c>
      <c r="B2397" s="96">
        <v>390205</v>
      </c>
      <c r="C2397" s="96" t="str">
        <f t="shared" si="248"/>
        <v>CPOS390205</v>
      </c>
      <c r="D2397" s="95" t="s">
        <v>2449</v>
      </c>
      <c r="E2397" s="63" t="s">
        <v>110</v>
      </c>
      <c r="F2397" s="64">
        <v>8.6300000000000008</v>
      </c>
    </row>
    <row r="2398" spans="1:6" x14ac:dyDescent="0.25">
      <c r="A2398" s="62" t="s">
        <v>4398</v>
      </c>
      <c r="B2398" s="96">
        <v>390206</v>
      </c>
      <c r="C2398" s="96" t="str">
        <f t="shared" si="248"/>
        <v>CPOS390206</v>
      </c>
      <c r="D2398" s="95" t="s">
        <v>2450</v>
      </c>
      <c r="E2398" s="63" t="s">
        <v>110</v>
      </c>
      <c r="F2398" s="64">
        <v>12.25</v>
      </c>
    </row>
    <row r="2399" spans="1:6" x14ac:dyDescent="0.25">
      <c r="A2399" s="62" t="s">
        <v>4398</v>
      </c>
      <c r="B2399" s="96">
        <v>390207</v>
      </c>
      <c r="C2399" s="96" t="str">
        <f t="shared" si="248"/>
        <v>CPOS390207</v>
      </c>
      <c r="D2399" s="95" t="s">
        <v>2451</v>
      </c>
      <c r="E2399" s="63" t="s">
        <v>110</v>
      </c>
      <c r="F2399" s="64">
        <v>17.350000000000001</v>
      </c>
    </row>
    <row r="2400" spans="1:6" x14ac:dyDescent="0.25">
      <c r="A2400" s="62" t="s">
        <v>4398</v>
      </c>
      <c r="B2400" s="96">
        <v>390208</v>
      </c>
      <c r="C2400" s="96" t="str">
        <f t="shared" si="248"/>
        <v>CPOS390208</v>
      </c>
      <c r="D2400" s="95" t="s">
        <v>2452</v>
      </c>
      <c r="E2400" s="63" t="s">
        <v>110</v>
      </c>
      <c r="F2400" s="64">
        <v>24.560000000000002</v>
      </c>
    </row>
    <row r="2401" spans="1:6" x14ac:dyDescent="0.25">
      <c r="A2401" s="62" t="s">
        <v>4398</v>
      </c>
      <c r="B2401" s="96">
        <v>390209</v>
      </c>
      <c r="C2401" s="96" t="str">
        <f t="shared" si="248"/>
        <v>CPOS390209</v>
      </c>
      <c r="D2401" s="95" t="s">
        <v>2453</v>
      </c>
      <c r="E2401" s="63" t="s">
        <v>110</v>
      </c>
      <c r="F2401" s="64">
        <v>35.28</v>
      </c>
    </row>
    <row r="2402" spans="1:6" x14ac:dyDescent="0.25">
      <c r="A2402" s="62" t="s">
        <v>4398</v>
      </c>
      <c r="B2402" s="96">
        <v>390210</v>
      </c>
      <c r="C2402" s="96" t="str">
        <f t="shared" si="248"/>
        <v>CPOS390210</v>
      </c>
      <c r="D2402" s="95" t="s">
        <v>2454</v>
      </c>
      <c r="E2402" s="63" t="s">
        <v>110</v>
      </c>
      <c r="F2402" s="64">
        <v>47.89</v>
      </c>
    </row>
    <row r="2403" spans="1:6" x14ac:dyDescent="0.25">
      <c r="A2403" s="62" t="s">
        <v>4398</v>
      </c>
      <c r="B2403" s="96">
        <v>390211</v>
      </c>
      <c r="C2403" s="96" t="str">
        <f t="shared" si="248"/>
        <v>CPOS390211</v>
      </c>
      <c r="D2403" s="95" t="s">
        <v>2455</v>
      </c>
      <c r="E2403" s="63" t="s">
        <v>110</v>
      </c>
      <c r="F2403" s="64">
        <v>57.88</v>
      </c>
    </row>
    <row r="2404" spans="1:6" x14ac:dyDescent="0.25">
      <c r="A2404" s="62" t="s">
        <v>4398</v>
      </c>
      <c r="B2404" s="96">
        <v>390212</v>
      </c>
      <c r="C2404" s="96" t="str">
        <f t="shared" si="248"/>
        <v>CPOS390212</v>
      </c>
      <c r="D2404" s="95" t="s">
        <v>2456</v>
      </c>
      <c r="E2404" s="63" t="s">
        <v>110</v>
      </c>
      <c r="F2404" s="64">
        <v>70.16</v>
      </c>
    </row>
    <row r="2405" spans="1:6" x14ac:dyDescent="0.25">
      <c r="A2405" s="62" t="s">
        <v>4398</v>
      </c>
      <c r="B2405" s="96">
        <v>390213</v>
      </c>
      <c r="C2405" s="96" t="str">
        <f t="shared" si="248"/>
        <v>CPOS390213</v>
      </c>
      <c r="D2405" s="95" t="s">
        <v>2457</v>
      </c>
      <c r="E2405" s="63" t="s">
        <v>110</v>
      </c>
      <c r="F2405" s="64">
        <v>86.710000000000008</v>
      </c>
    </row>
    <row r="2406" spans="1:6" x14ac:dyDescent="0.25">
      <c r="A2406" s="62" t="s">
        <v>4398</v>
      </c>
      <c r="B2406" s="96">
        <v>390214</v>
      </c>
      <c r="C2406" s="96" t="str">
        <f t="shared" si="248"/>
        <v>CPOS390214</v>
      </c>
      <c r="D2406" s="95" t="s">
        <v>2458</v>
      </c>
      <c r="E2406" s="63" t="s">
        <v>110</v>
      </c>
      <c r="F2406" s="64">
        <v>118.16</v>
      </c>
    </row>
    <row r="2407" spans="1:6" x14ac:dyDescent="0.25">
      <c r="A2407" s="62" t="s">
        <v>4398</v>
      </c>
      <c r="B2407" s="96">
        <v>390215</v>
      </c>
      <c r="C2407" s="96" t="str">
        <f t="shared" si="248"/>
        <v>CPOS390215</v>
      </c>
      <c r="D2407" s="95" t="s">
        <v>2459</v>
      </c>
      <c r="E2407" s="63" t="s">
        <v>110</v>
      </c>
      <c r="F2407" s="64">
        <v>118.28</v>
      </c>
    </row>
    <row r="2408" spans="1:6" x14ac:dyDescent="0.25">
      <c r="A2408" s="62" t="s">
        <v>4398</v>
      </c>
      <c r="B2408" s="96">
        <v>390216</v>
      </c>
      <c r="C2408" s="96" t="str">
        <f t="shared" si="248"/>
        <v>CPOS390216</v>
      </c>
      <c r="D2408" s="95" t="s">
        <v>2460</v>
      </c>
      <c r="E2408" s="63" t="s">
        <v>110</v>
      </c>
      <c r="F2408" s="64">
        <v>2.25</v>
      </c>
    </row>
    <row r="2409" spans="1:6" x14ac:dyDescent="0.25">
      <c r="A2409" s="62" t="s">
        <v>4398</v>
      </c>
      <c r="B2409" s="96">
        <v>390217</v>
      </c>
      <c r="C2409" s="96" t="str">
        <f t="shared" si="248"/>
        <v>CPOS390217</v>
      </c>
      <c r="D2409" s="95" t="s">
        <v>2461</v>
      </c>
      <c r="E2409" s="63" t="s">
        <v>110</v>
      </c>
      <c r="F2409" s="64">
        <v>2.97</v>
      </c>
    </row>
    <row r="2410" spans="1:6" x14ac:dyDescent="0.25">
      <c r="D2410" s="94" t="s">
        <v>2462</v>
      </c>
    </row>
    <row r="2411" spans="1:6" x14ac:dyDescent="0.25">
      <c r="A2411" s="62" t="s">
        <v>4398</v>
      </c>
      <c r="B2411" s="96">
        <v>390302</v>
      </c>
      <c r="C2411" s="96" t="str">
        <f t="shared" ref="C2411:C2428" si="249">A2411&amp;B2411</f>
        <v>CPOS390302</v>
      </c>
      <c r="D2411" s="95" t="s">
        <v>2463</v>
      </c>
      <c r="E2411" s="63" t="s">
        <v>110</v>
      </c>
      <c r="F2411" s="64">
        <v>3.47</v>
      </c>
    </row>
    <row r="2412" spans="1:6" x14ac:dyDescent="0.25">
      <c r="A2412" s="62" t="s">
        <v>4398</v>
      </c>
      <c r="B2412" s="96">
        <v>390303</v>
      </c>
      <c r="C2412" s="96" t="str">
        <f t="shared" si="249"/>
        <v>CPOS390303</v>
      </c>
      <c r="D2412" s="95" t="s">
        <v>2464</v>
      </c>
      <c r="E2412" s="63" t="s">
        <v>110</v>
      </c>
      <c r="F2412" s="64">
        <v>4.49</v>
      </c>
    </row>
    <row r="2413" spans="1:6" x14ac:dyDescent="0.25">
      <c r="A2413" s="62" t="s">
        <v>4398</v>
      </c>
      <c r="B2413" s="96">
        <v>390304</v>
      </c>
      <c r="C2413" s="96" t="str">
        <f t="shared" si="249"/>
        <v>CPOS390304</v>
      </c>
      <c r="D2413" s="95" t="s">
        <v>2465</v>
      </c>
      <c r="E2413" s="63" t="s">
        <v>110</v>
      </c>
      <c r="F2413" s="64">
        <v>6.36</v>
      </c>
    </row>
    <row r="2414" spans="1:6" x14ac:dyDescent="0.25">
      <c r="A2414" s="62" t="s">
        <v>4398</v>
      </c>
      <c r="B2414" s="96">
        <v>390305</v>
      </c>
      <c r="C2414" s="96" t="str">
        <f t="shared" si="249"/>
        <v>CPOS390305</v>
      </c>
      <c r="D2414" s="95" t="s">
        <v>2466</v>
      </c>
      <c r="E2414" s="63" t="s">
        <v>110</v>
      </c>
      <c r="F2414" s="64">
        <v>9.06</v>
      </c>
    </row>
    <row r="2415" spans="1:6" x14ac:dyDescent="0.25">
      <c r="A2415" s="62" t="s">
        <v>4398</v>
      </c>
      <c r="B2415" s="96">
        <v>390306</v>
      </c>
      <c r="C2415" s="96" t="str">
        <f t="shared" si="249"/>
        <v>CPOS390306</v>
      </c>
      <c r="D2415" s="95" t="s">
        <v>2467</v>
      </c>
      <c r="E2415" s="63" t="s">
        <v>110</v>
      </c>
      <c r="F2415" s="64">
        <v>12.82</v>
      </c>
    </row>
    <row r="2416" spans="1:6" x14ac:dyDescent="0.25">
      <c r="A2416" s="62" t="s">
        <v>4398</v>
      </c>
      <c r="B2416" s="96">
        <v>390307</v>
      </c>
      <c r="C2416" s="96" t="str">
        <f t="shared" si="249"/>
        <v>CPOS390307</v>
      </c>
      <c r="D2416" s="95" t="s">
        <v>2468</v>
      </c>
      <c r="E2416" s="63" t="s">
        <v>110</v>
      </c>
      <c r="F2416" s="64">
        <v>17.57</v>
      </c>
    </row>
    <row r="2417" spans="1:6" x14ac:dyDescent="0.25">
      <c r="A2417" s="62" t="s">
        <v>4398</v>
      </c>
      <c r="B2417" s="96">
        <v>390308</v>
      </c>
      <c r="C2417" s="96" t="str">
        <f t="shared" si="249"/>
        <v>CPOS390308</v>
      </c>
      <c r="D2417" s="95" t="s">
        <v>2469</v>
      </c>
      <c r="E2417" s="63" t="s">
        <v>110</v>
      </c>
      <c r="F2417" s="64">
        <v>24.87</v>
      </c>
    </row>
    <row r="2418" spans="1:6" x14ac:dyDescent="0.25">
      <c r="A2418" s="62" t="s">
        <v>4398</v>
      </c>
      <c r="B2418" s="96">
        <v>390309</v>
      </c>
      <c r="C2418" s="96" t="str">
        <f t="shared" si="249"/>
        <v>CPOS390309</v>
      </c>
      <c r="D2418" s="95" t="s">
        <v>2470</v>
      </c>
      <c r="E2418" s="63" t="s">
        <v>110</v>
      </c>
      <c r="F2418" s="64">
        <v>34.020000000000003</v>
      </c>
    </row>
    <row r="2419" spans="1:6" x14ac:dyDescent="0.25">
      <c r="A2419" s="62" t="s">
        <v>4398</v>
      </c>
      <c r="B2419" s="96">
        <v>390310</v>
      </c>
      <c r="C2419" s="96" t="str">
        <f t="shared" si="249"/>
        <v>CPOS390310</v>
      </c>
      <c r="D2419" s="95" t="s">
        <v>2471</v>
      </c>
      <c r="E2419" s="63" t="s">
        <v>110</v>
      </c>
      <c r="F2419" s="64">
        <v>43.910000000000004</v>
      </c>
    </row>
    <row r="2420" spans="1:6" x14ac:dyDescent="0.25">
      <c r="A2420" s="62" t="s">
        <v>4398</v>
      </c>
      <c r="B2420" s="96">
        <v>390311</v>
      </c>
      <c r="C2420" s="96" t="str">
        <f t="shared" si="249"/>
        <v>CPOS390311</v>
      </c>
      <c r="D2420" s="95" t="s">
        <v>2472</v>
      </c>
      <c r="E2420" s="63" t="s">
        <v>110</v>
      </c>
      <c r="F2420" s="64">
        <v>67.53</v>
      </c>
    </row>
    <row r="2421" spans="1:6" x14ac:dyDescent="0.25">
      <c r="A2421" s="62" t="s">
        <v>4398</v>
      </c>
      <c r="B2421" s="96">
        <v>390312</v>
      </c>
      <c r="C2421" s="96" t="str">
        <f t="shared" si="249"/>
        <v>CPOS390312</v>
      </c>
      <c r="D2421" s="95" t="s">
        <v>2473</v>
      </c>
      <c r="E2421" s="63" t="s">
        <v>110</v>
      </c>
      <c r="F2421" s="64">
        <v>74.56</v>
      </c>
    </row>
    <row r="2422" spans="1:6" x14ac:dyDescent="0.25">
      <c r="A2422" s="62" t="s">
        <v>4398</v>
      </c>
      <c r="B2422" s="96">
        <v>390313</v>
      </c>
      <c r="C2422" s="96" t="str">
        <f t="shared" si="249"/>
        <v>CPOS390313</v>
      </c>
      <c r="D2422" s="95" t="s">
        <v>2474</v>
      </c>
      <c r="E2422" s="63" t="s">
        <v>110</v>
      </c>
      <c r="F2422" s="64">
        <v>100.72</v>
      </c>
    </row>
    <row r="2423" spans="1:6" x14ac:dyDescent="0.25">
      <c r="A2423" s="62" t="s">
        <v>4398</v>
      </c>
      <c r="B2423" s="96">
        <v>390314</v>
      </c>
      <c r="C2423" s="96" t="str">
        <f t="shared" si="249"/>
        <v>CPOS390314</v>
      </c>
      <c r="D2423" s="95" t="s">
        <v>2475</v>
      </c>
      <c r="E2423" s="63" t="s">
        <v>110</v>
      </c>
      <c r="F2423" s="64">
        <v>130.56</v>
      </c>
    </row>
    <row r="2424" spans="1:6" x14ac:dyDescent="0.25">
      <c r="A2424" s="62" t="s">
        <v>4398</v>
      </c>
      <c r="B2424" s="96">
        <v>390315</v>
      </c>
      <c r="C2424" s="96" t="str">
        <f t="shared" si="249"/>
        <v>CPOS390315</v>
      </c>
      <c r="D2424" s="95" t="s">
        <v>2476</v>
      </c>
      <c r="E2424" s="63" t="s">
        <v>110</v>
      </c>
      <c r="F2424" s="64">
        <v>157.13999999999999</v>
      </c>
    </row>
    <row r="2425" spans="1:6" x14ac:dyDescent="0.25">
      <c r="A2425" s="62" t="s">
        <v>4398</v>
      </c>
      <c r="B2425" s="96">
        <v>390316</v>
      </c>
      <c r="C2425" s="96" t="str">
        <f t="shared" si="249"/>
        <v>CPOS390316</v>
      </c>
      <c r="D2425" s="95" t="s">
        <v>2477</v>
      </c>
      <c r="E2425" s="63" t="s">
        <v>110</v>
      </c>
      <c r="F2425" s="64">
        <v>1.98</v>
      </c>
    </row>
    <row r="2426" spans="1:6" x14ac:dyDescent="0.25">
      <c r="A2426" s="62" t="s">
        <v>4398</v>
      </c>
      <c r="B2426" s="96">
        <v>390317</v>
      </c>
      <c r="C2426" s="96" t="str">
        <f t="shared" si="249"/>
        <v>CPOS390317</v>
      </c>
      <c r="D2426" s="95" t="s">
        <v>2478</v>
      </c>
      <c r="E2426" s="63" t="s">
        <v>110</v>
      </c>
      <c r="F2426" s="64">
        <v>2.56</v>
      </c>
    </row>
    <row r="2427" spans="1:6" x14ac:dyDescent="0.25">
      <c r="A2427" s="62" t="s">
        <v>4398</v>
      </c>
      <c r="B2427" s="96">
        <v>390318</v>
      </c>
      <c r="C2427" s="96" t="str">
        <f t="shared" si="249"/>
        <v>CPOS390318</v>
      </c>
      <c r="D2427" s="95" t="s">
        <v>2479</v>
      </c>
      <c r="E2427" s="63" t="s">
        <v>110</v>
      </c>
      <c r="F2427" s="64">
        <v>115.71000000000001</v>
      </c>
    </row>
    <row r="2428" spans="1:6" x14ac:dyDescent="0.25">
      <c r="A2428" s="62" t="s">
        <v>4398</v>
      </c>
      <c r="B2428" s="96">
        <v>390319</v>
      </c>
      <c r="C2428" s="96" t="str">
        <f t="shared" si="249"/>
        <v>CPOS390319</v>
      </c>
      <c r="D2428" s="95" t="s">
        <v>2480</v>
      </c>
      <c r="E2428" s="63" t="s">
        <v>110</v>
      </c>
      <c r="F2428" s="64">
        <v>149.13</v>
      </c>
    </row>
    <row r="2429" spans="1:6" x14ac:dyDescent="0.25">
      <c r="D2429" s="94" t="s">
        <v>2481</v>
      </c>
    </row>
    <row r="2430" spans="1:6" x14ac:dyDescent="0.25">
      <c r="A2430" s="62" t="s">
        <v>4398</v>
      </c>
      <c r="B2430" s="96">
        <v>390404</v>
      </c>
      <c r="C2430" s="96" t="str">
        <f t="shared" ref="C2430:C2440" si="250">A2430&amp;B2430</f>
        <v>CPOS390404</v>
      </c>
      <c r="D2430" s="95" t="s">
        <v>2482</v>
      </c>
      <c r="E2430" s="63" t="s">
        <v>110</v>
      </c>
      <c r="F2430" s="64">
        <v>5.8</v>
      </c>
    </row>
    <row r="2431" spans="1:6" x14ac:dyDescent="0.25">
      <c r="A2431" s="62" t="s">
        <v>4398</v>
      </c>
      <c r="B2431" s="96">
        <v>390405</v>
      </c>
      <c r="C2431" s="96" t="str">
        <f t="shared" si="250"/>
        <v>CPOS390405</v>
      </c>
      <c r="D2431" s="95" t="s">
        <v>2483</v>
      </c>
      <c r="E2431" s="63" t="s">
        <v>110</v>
      </c>
      <c r="F2431" s="64">
        <v>8.82</v>
      </c>
    </row>
    <row r="2432" spans="1:6" x14ac:dyDescent="0.25">
      <c r="A2432" s="62" t="s">
        <v>4398</v>
      </c>
      <c r="B2432" s="96">
        <v>390406</v>
      </c>
      <c r="C2432" s="96" t="str">
        <f t="shared" si="250"/>
        <v>CPOS390406</v>
      </c>
      <c r="D2432" s="95" t="s">
        <v>2484</v>
      </c>
      <c r="E2432" s="63" t="s">
        <v>110</v>
      </c>
      <c r="F2432" s="64">
        <v>10.98</v>
      </c>
    </row>
    <row r="2433" spans="1:6" x14ac:dyDescent="0.25">
      <c r="A2433" s="62" t="s">
        <v>4398</v>
      </c>
      <c r="B2433" s="96">
        <v>390407</v>
      </c>
      <c r="C2433" s="96" t="str">
        <f t="shared" si="250"/>
        <v>CPOS390407</v>
      </c>
      <c r="D2433" s="95" t="s">
        <v>2485</v>
      </c>
      <c r="E2433" s="63" t="s">
        <v>110</v>
      </c>
      <c r="F2433" s="64">
        <v>14.61</v>
      </c>
    </row>
    <row r="2434" spans="1:6" x14ac:dyDescent="0.25">
      <c r="A2434" s="62" t="s">
        <v>4398</v>
      </c>
      <c r="B2434" s="96">
        <v>390408</v>
      </c>
      <c r="C2434" s="96" t="str">
        <f t="shared" si="250"/>
        <v>CPOS390408</v>
      </c>
      <c r="D2434" s="95" t="s">
        <v>2486</v>
      </c>
      <c r="E2434" s="63" t="s">
        <v>110</v>
      </c>
      <c r="F2434" s="64">
        <v>22.84</v>
      </c>
    </row>
    <row r="2435" spans="1:6" x14ac:dyDescent="0.25">
      <c r="A2435" s="62" t="s">
        <v>4398</v>
      </c>
      <c r="B2435" s="96">
        <v>390410</v>
      </c>
      <c r="C2435" s="96" t="str">
        <f t="shared" si="250"/>
        <v>CPOS390410</v>
      </c>
      <c r="D2435" s="95" t="s">
        <v>2487</v>
      </c>
      <c r="E2435" s="63" t="s">
        <v>110</v>
      </c>
      <c r="F2435" s="64">
        <v>31.54</v>
      </c>
    </row>
    <row r="2436" spans="1:6" x14ac:dyDescent="0.25">
      <c r="A2436" s="62" t="s">
        <v>4398</v>
      </c>
      <c r="B2436" s="96">
        <v>390412</v>
      </c>
      <c r="C2436" s="96" t="str">
        <f t="shared" si="250"/>
        <v>CPOS390412</v>
      </c>
      <c r="D2436" s="95" t="s">
        <v>2488</v>
      </c>
      <c r="E2436" s="63" t="s">
        <v>110</v>
      </c>
      <c r="F2436" s="64">
        <v>43.33</v>
      </c>
    </row>
    <row r="2437" spans="1:6" x14ac:dyDescent="0.25">
      <c r="A2437" s="62" t="s">
        <v>4398</v>
      </c>
      <c r="B2437" s="96">
        <v>390414</v>
      </c>
      <c r="C2437" s="96" t="str">
        <f t="shared" si="250"/>
        <v>CPOS390414</v>
      </c>
      <c r="D2437" s="95" t="s">
        <v>2489</v>
      </c>
      <c r="E2437" s="63" t="s">
        <v>110</v>
      </c>
      <c r="F2437" s="64">
        <v>54.93</v>
      </c>
    </row>
    <row r="2438" spans="1:6" x14ac:dyDescent="0.25">
      <c r="A2438" s="62" t="s">
        <v>4398</v>
      </c>
      <c r="B2438" s="96">
        <v>390416</v>
      </c>
      <c r="C2438" s="96" t="str">
        <f t="shared" si="250"/>
        <v>CPOS390416</v>
      </c>
      <c r="D2438" s="95" t="s">
        <v>2490</v>
      </c>
      <c r="E2438" s="63" t="s">
        <v>110</v>
      </c>
      <c r="F2438" s="64">
        <v>67.66</v>
      </c>
    </row>
    <row r="2439" spans="1:6" x14ac:dyDescent="0.25">
      <c r="A2439" s="62" t="s">
        <v>4398</v>
      </c>
      <c r="B2439" s="96">
        <v>390418</v>
      </c>
      <c r="C2439" s="96" t="str">
        <f t="shared" si="250"/>
        <v>CPOS390418</v>
      </c>
      <c r="D2439" s="95" t="s">
        <v>2491</v>
      </c>
      <c r="E2439" s="63" t="s">
        <v>110</v>
      </c>
      <c r="F2439" s="64">
        <v>74.69</v>
      </c>
    </row>
    <row r="2440" spans="1:6" x14ac:dyDescent="0.25">
      <c r="A2440" s="62" t="s">
        <v>4398</v>
      </c>
      <c r="B2440" s="96">
        <v>390420</v>
      </c>
      <c r="C2440" s="96" t="str">
        <f t="shared" si="250"/>
        <v>CPOS390420</v>
      </c>
      <c r="D2440" s="95" t="s">
        <v>2492</v>
      </c>
      <c r="E2440" s="63" t="s">
        <v>110</v>
      </c>
      <c r="F2440" s="64">
        <v>112.41</v>
      </c>
    </row>
    <row r="2441" spans="1:6" x14ac:dyDescent="0.25">
      <c r="D2441" s="94" t="s">
        <v>2493</v>
      </c>
    </row>
    <row r="2442" spans="1:6" x14ac:dyDescent="0.25">
      <c r="A2442" s="62" t="s">
        <v>4398</v>
      </c>
      <c r="B2442" s="96">
        <v>390506</v>
      </c>
      <c r="C2442" s="96" t="str">
        <f t="shared" ref="C2442:C2443" si="251">A2442&amp;B2442</f>
        <v>CPOS390506</v>
      </c>
      <c r="D2442" s="95" t="s">
        <v>2494</v>
      </c>
      <c r="E2442" s="63" t="s">
        <v>110</v>
      </c>
      <c r="F2442" s="64">
        <v>110.24000000000001</v>
      </c>
    </row>
    <row r="2443" spans="1:6" x14ac:dyDescent="0.25">
      <c r="A2443" s="62" t="s">
        <v>4398</v>
      </c>
      <c r="B2443" s="96">
        <v>390507</v>
      </c>
      <c r="C2443" s="96" t="str">
        <f t="shared" si="251"/>
        <v>CPOS390507</v>
      </c>
      <c r="D2443" s="95" t="s">
        <v>2495</v>
      </c>
      <c r="E2443" s="63" t="s">
        <v>110</v>
      </c>
      <c r="F2443" s="64">
        <v>139.05000000000001</v>
      </c>
    </row>
    <row r="2444" spans="1:6" x14ac:dyDescent="0.25">
      <c r="D2444" s="94" t="s">
        <v>2496</v>
      </c>
    </row>
    <row r="2445" spans="1:6" x14ac:dyDescent="0.25">
      <c r="A2445" s="62" t="s">
        <v>4398</v>
      </c>
      <c r="B2445" s="96">
        <v>390601</v>
      </c>
      <c r="C2445" s="96" t="str">
        <f t="shared" ref="C2445:C2451" si="252">A2445&amp;B2445</f>
        <v>CPOS390601</v>
      </c>
      <c r="D2445" s="95" t="s">
        <v>2497</v>
      </c>
      <c r="E2445" s="63" t="s">
        <v>110</v>
      </c>
      <c r="F2445" s="64">
        <v>66.099999999999994</v>
      </c>
    </row>
    <row r="2446" spans="1:6" x14ac:dyDescent="0.25">
      <c r="A2446" s="62" t="s">
        <v>4398</v>
      </c>
      <c r="B2446" s="96">
        <v>390602</v>
      </c>
      <c r="C2446" s="96" t="str">
        <f t="shared" si="252"/>
        <v>CPOS390602</v>
      </c>
      <c r="D2446" s="95" t="s">
        <v>2498</v>
      </c>
      <c r="E2446" s="63" t="s">
        <v>110</v>
      </c>
      <c r="F2446" s="64">
        <v>74.349999999999994</v>
      </c>
    </row>
    <row r="2447" spans="1:6" x14ac:dyDescent="0.25">
      <c r="A2447" s="62" t="s">
        <v>4398</v>
      </c>
      <c r="B2447" s="96">
        <v>390603</v>
      </c>
      <c r="C2447" s="96" t="str">
        <f t="shared" si="252"/>
        <v>CPOS390603</v>
      </c>
      <c r="D2447" s="95" t="s">
        <v>2499</v>
      </c>
      <c r="E2447" s="63" t="s">
        <v>110</v>
      </c>
      <c r="F2447" s="64">
        <v>106.87</v>
      </c>
    </row>
    <row r="2448" spans="1:6" x14ac:dyDescent="0.25">
      <c r="A2448" s="62" t="s">
        <v>4398</v>
      </c>
      <c r="B2448" s="96">
        <v>390604</v>
      </c>
      <c r="C2448" s="96" t="str">
        <f t="shared" si="252"/>
        <v>CPOS390604</v>
      </c>
      <c r="D2448" s="95" t="s">
        <v>2500</v>
      </c>
      <c r="E2448" s="63" t="s">
        <v>110</v>
      </c>
      <c r="F2448" s="64">
        <v>138.72</v>
      </c>
    </row>
    <row r="2449" spans="1:6" x14ac:dyDescent="0.25">
      <c r="A2449" s="62" t="s">
        <v>4398</v>
      </c>
      <c r="B2449" s="96">
        <v>390606</v>
      </c>
      <c r="C2449" s="96" t="str">
        <f t="shared" si="252"/>
        <v>CPOS390606</v>
      </c>
      <c r="D2449" s="95" t="s">
        <v>2501</v>
      </c>
      <c r="E2449" s="63" t="s">
        <v>110</v>
      </c>
      <c r="F2449" s="64">
        <v>40.75</v>
      </c>
    </row>
    <row r="2450" spans="1:6" x14ac:dyDescent="0.25">
      <c r="A2450" s="62" t="s">
        <v>4398</v>
      </c>
      <c r="B2450" s="96">
        <v>390607</v>
      </c>
      <c r="C2450" s="96" t="str">
        <f t="shared" si="252"/>
        <v>CPOS390607</v>
      </c>
      <c r="D2450" s="95" t="s">
        <v>2502</v>
      </c>
      <c r="E2450" s="63" t="s">
        <v>110</v>
      </c>
      <c r="F2450" s="64">
        <v>50.13</v>
      </c>
    </row>
    <row r="2451" spans="1:6" x14ac:dyDescent="0.25">
      <c r="A2451" s="62" t="s">
        <v>4398</v>
      </c>
      <c r="B2451" s="96">
        <v>390608</v>
      </c>
      <c r="C2451" s="96" t="str">
        <f t="shared" si="252"/>
        <v>CPOS390608</v>
      </c>
      <c r="D2451" s="95" t="s">
        <v>2503</v>
      </c>
      <c r="E2451" s="63" t="s">
        <v>110</v>
      </c>
      <c r="F2451" s="64">
        <v>88.43</v>
      </c>
    </row>
    <row r="2452" spans="1:6" x14ac:dyDescent="0.25">
      <c r="D2452" s="94" t="s">
        <v>2504</v>
      </c>
    </row>
    <row r="2453" spans="1:6" x14ac:dyDescent="0.25">
      <c r="A2453" s="62" t="s">
        <v>4398</v>
      </c>
      <c r="B2453" s="96">
        <v>390702</v>
      </c>
      <c r="C2453" s="96" t="str">
        <f t="shared" ref="C2453:C2469" si="253">A2453&amp;B2453</f>
        <v>CPOS390702</v>
      </c>
      <c r="D2453" s="95" t="s">
        <v>2505</v>
      </c>
      <c r="E2453" s="63" t="s">
        <v>110</v>
      </c>
      <c r="F2453" s="64">
        <v>2.5499999999999998</v>
      </c>
    </row>
    <row r="2454" spans="1:6" x14ac:dyDescent="0.25">
      <c r="A2454" s="62" t="s">
        <v>4398</v>
      </c>
      <c r="B2454" s="96">
        <v>390703</v>
      </c>
      <c r="C2454" s="96" t="str">
        <f t="shared" si="253"/>
        <v>CPOS390703</v>
      </c>
      <c r="D2454" s="95" t="s">
        <v>2506</v>
      </c>
      <c r="E2454" s="63" t="s">
        <v>110</v>
      </c>
      <c r="F2454" s="64">
        <v>3.36</v>
      </c>
    </row>
    <row r="2455" spans="1:6" x14ac:dyDescent="0.25">
      <c r="A2455" s="62" t="s">
        <v>4398</v>
      </c>
      <c r="B2455" s="96">
        <v>390704</v>
      </c>
      <c r="C2455" s="96" t="str">
        <f t="shared" si="253"/>
        <v>CPOS390704</v>
      </c>
      <c r="D2455" s="95" t="s">
        <v>2507</v>
      </c>
      <c r="E2455" s="63" t="s">
        <v>110</v>
      </c>
      <c r="F2455" s="64">
        <v>4.5999999999999996</v>
      </c>
    </row>
    <row r="2456" spans="1:6" x14ac:dyDescent="0.25">
      <c r="A2456" s="62" t="s">
        <v>4398</v>
      </c>
      <c r="B2456" s="96">
        <v>390705</v>
      </c>
      <c r="C2456" s="96" t="str">
        <f t="shared" si="253"/>
        <v>CPOS390705</v>
      </c>
      <c r="D2456" s="95" t="s">
        <v>2508</v>
      </c>
      <c r="E2456" s="63" t="s">
        <v>110</v>
      </c>
      <c r="F2456" s="64">
        <v>6.75</v>
      </c>
    </row>
    <row r="2457" spans="1:6" x14ac:dyDescent="0.25">
      <c r="A2457" s="62" t="s">
        <v>4398</v>
      </c>
      <c r="B2457" s="96">
        <v>390706</v>
      </c>
      <c r="C2457" s="96" t="str">
        <f t="shared" si="253"/>
        <v>CPOS390706</v>
      </c>
      <c r="D2457" s="95" t="s">
        <v>2509</v>
      </c>
      <c r="E2457" s="63" t="s">
        <v>110</v>
      </c>
      <c r="F2457" s="64">
        <v>9.48</v>
      </c>
    </row>
    <row r="2458" spans="1:6" x14ac:dyDescent="0.25">
      <c r="A2458" s="62" t="s">
        <v>4398</v>
      </c>
      <c r="B2458" s="96">
        <v>390707</v>
      </c>
      <c r="C2458" s="96" t="str">
        <f t="shared" si="253"/>
        <v>CPOS390707</v>
      </c>
      <c r="D2458" s="95" t="s">
        <v>2510</v>
      </c>
      <c r="E2458" s="63" t="s">
        <v>110</v>
      </c>
      <c r="F2458" s="64">
        <v>13.51</v>
      </c>
    </row>
    <row r="2459" spans="1:6" x14ac:dyDescent="0.25">
      <c r="A2459" s="62" t="s">
        <v>4398</v>
      </c>
      <c r="B2459" s="96">
        <v>390708</v>
      </c>
      <c r="C2459" s="96" t="str">
        <f t="shared" si="253"/>
        <v>CPOS390708</v>
      </c>
      <c r="D2459" s="95" t="s">
        <v>2511</v>
      </c>
      <c r="E2459" s="63" t="s">
        <v>110</v>
      </c>
      <c r="F2459" s="64">
        <v>18.75</v>
      </c>
    </row>
    <row r="2460" spans="1:6" x14ac:dyDescent="0.25">
      <c r="A2460" s="62" t="s">
        <v>4398</v>
      </c>
      <c r="B2460" s="96">
        <v>390709</v>
      </c>
      <c r="C2460" s="96" t="str">
        <f t="shared" si="253"/>
        <v>CPOS390709</v>
      </c>
      <c r="D2460" s="95" t="s">
        <v>2512</v>
      </c>
      <c r="E2460" s="63" t="s">
        <v>110</v>
      </c>
      <c r="F2460" s="64">
        <v>25.23</v>
      </c>
    </row>
    <row r="2461" spans="1:6" x14ac:dyDescent="0.25">
      <c r="A2461" s="62" t="s">
        <v>4398</v>
      </c>
      <c r="B2461" s="96">
        <v>390710</v>
      </c>
      <c r="C2461" s="96" t="str">
        <f t="shared" si="253"/>
        <v>CPOS390710</v>
      </c>
      <c r="D2461" s="95" t="s">
        <v>2513</v>
      </c>
      <c r="E2461" s="63" t="s">
        <v>110</v>
      </c>
      <c r="F2461" s="64">
        <v>34.46</v>
      </c>
    </row>
    <row r="2462" spans="1:6" x14ac:dyDescent="0.25">
      <c r="A2462" s="62" t="s">
        <v>4398</v>
      </c>
      <c r="B2462" s="96">
        <v>390711</v>
      </c>
      <c r="C2462" s="96" t="str">
        <f t="shared" si="253"/>
        <v>CPOS390711</v>
      </c>
      <c r="D2462" s="95" t="s">
        <v>2514</v>
      </c>
      <c r="E2462" s="63" t="s">
        <v>110</v>
      </c>
      <c r="F2462" s="64">
        <v>44.67</v>
      </c>
    </row>
    <row r="2463" spans="1:6" x14ac:dyDescent="0.25">
      <c r="A2463" s="62" t="s">
        <v>4398</v>
      </c>
      <c r="B2463" s="96">
        <v>390712</v>
      </c>
      <c r="C2463" s="96" t="str">
        <f t="shared" si="253"/>
        <v>CPOS390712</v>
      </c>
      <c r="D2463" s="95" t="s">
        <v>2515</v>
      </c>
      <c r="E2463" s="63" t="s">
        <v>110</v>
      </c>
      <c r="F2463" s="64">
        <v>59.74</v>
      </c>
    </row>
    <row r="2464" spans="1:6" x14ac:dyDescent="0.25">
      <c r="A2464" s="62" t="s">
        <v>4398</v>
      </c>
      <c r="B2464" s="96">
        <v>390713</v>
      </c>
      <c r="C2464" s="96" t="str">
        <f t="shared" si="253"/>
        <v>CPOS390713</v>
      </c>
      <c r="D2464" s="95" t="s">
        <v>2516</v>
      </c>
      <c r="E2464" s="63" t="s">
        <v>110</v>
      </c>
      <c r="F2464" s="64">
        <v>73.56</v>
      </c>
    </row>
    <row r="2465" spans="1:6" x14ac:dyDescent="0.25">
      <c r="A2465" s="62" t="s">
        <v>4398</v>
      </c>
      <c r="B2465" s="96">
        <v>390714</v>
      </c>
      <c r="C2465" s="96" t="str">
        <f t="shared" si="253"/>
        <v>CPOS390714</v>
      </c>
      <c r="D2465" s="95" t="s">
        <v>2517</v>
      </c>
      <c r="E2465" s="63" t="s">
        <v>110</v>
      </c>
      <c r="F2465" s="64">
        <v>87.67</v>
      </c>
    </row>
    <row r="2466" spans="1:6" x14ac:dyDescent="0.25">
      <c r="A2466" s="62" t="s">
        <v>4398</v>
      </c>
      <c r="B2466" s="96">
        <v>390715</v>
      </c>
      <c r="C2466" s="96" t="str">
        <f t="shared" si="253"/>
        <v>CPOS390715</v>
      </c>
      <c r="D2466" s="95" t="s">
        <v>2518</v>
      </c>
      <c r="E2466" s="63" t="s">
        <v>110</v>
      </c>
      <c r="F2466" s="64">
        <v>113.44</v>
      </c>
    </row>
    <row r="2467" spans="1:6" x14ac:dyDescent="0.25">
      <c r="A2467" s="62" t="s">
        <v>4398</v>
      </c>
      <c r="B2467" s="96">
        <v>390716</v>
      </c>
      <c r="C2467" s="96" t="str">
        <f t="shared" si="253"/>
        <v>CPOS390716</v>
      </c>
      <c r="D2467" s="95" t="s">
        <v>2519</v>
      </c>
      <c r="E2467" s="63" t="s">
        <v>110</v>
      </c>
      <c r="F2467" s="64">
        <v>150.54</v>
      </c>
    </row>
    <row r="2468" spans="1:6" x14ac:dyDescent="0.25">
      <c r="A2468" s="62" t="s">
        <v>4398</v>
      </c>
      <c r="B2468" s="96">
        <v>390717</v>
      </c>
      <c r="C2468" s="96" t="str">
        <f t="shared" si="253"/>
        <v>CPOS390717</v>
      </c>
      <c r="D2468" s="95" t="s">
        <v>2520</v>
      </c>
      <c r="E2468" s="63" t="s">
        <v>110</v>
      </c>
      <c r="F2468" s="64">
        <v>196.36</v>
      </c>
    </row>
    <row r="2469" spans="1:6" x14ac:dyDescent="0.25">
      <c r="A2469" s="62" t="s">
        <v>4398</v>
      </c>
      <c r="B2469" s="96">
        <v>390718</v>
      </c>
      <c r="C2469" s="96" t="str">
        <f t="shared" si="253"/>
        <v>CPOS390718</v>
      </c>
      <c r="D2469" s="95" t="s">
        <v>2521</v>
      </c>
      <c r="E2469" s="63" t="s">
        <v>110</v>
      </c>
      <c r="F2469" s="64">
        <v>242.71</v>
      </c>
    </row>
    <row r="2470" spans="1:6" x14ac:dyDescent="0.25">
      <c r="D2470" s="94" t="s">
        <v>2522</v>
      </c>
    </row>
    <row r="2471" spans="1:6" x14ac:dyDescent="0.25">
      <c r="A2471" s="62" t="s">
        <v>4398</v>
      </c>
      <c r="B2471" s="96">
        <v>390801</v>
      </c>
      <c r="C2471" s="96" t="str">
        <f t="shared" ref="C2471:C2478" si="254">A2471&amp;B2471</f>
        <v>CPOS390801</v>
      </c>
      <c r="D2471" s="95" t="s">
        <v>2523</v>
      </c>
      <c r="E2471" s="63" t="s">
        <v>110</v>
      </c>
      <c r="F2471" s="64">
        <v>5.86</v>
      </c>
    </row>
    <row r="2472" spans="1:6" x14ac:dyDescent="0.25">
      <c r="A2472" s="62" t="s">
        <v>4398</v>
      </c>
      <c r="B2472" s="96">
        <v>390802</v>
      </c>
      <c r="C2472" s="96" t="str">
        <f t="shared" si="254"/>
        <v>CPOS390802</v>
      </c>
      <c r="D2472" s="95" t="s">
        <v>2524</v>
      </c>
      <c r="E2472" s="63" t="s">
        <v>110</v>
      </c>
      <c r="F2472" s="64">
        <v>7.8500000000000005</v>
      </c>
    </row>
    <row r="2473" spans="1:6" x14ac:dyDescent="0.25">
      <c r="A2473" s="62" t="s">
        <v>4398</v>
      </c>
      <c r="B2473" s="96">
        <v>390803</v>
      </c>
      <c r="C2473" s="96" t="str">
        <f t="shared" si="254"/>
        <v>CPOS390803</v>
      </c>
      <c r="D2473" s="95" t="s">
        <v>2525</v>
      </c>
      <c r="E2473" s="63" t="s">
        <v>110</v>
      </c>
      <c r="F2473" s="64">
        <v>10.53</v>
      </c>
    </row>
    <row r="2474" spans="1:6" x14ac:dyDescent="0.25">
      <c r="A2474" s="62" t="s">
        <v>4398</v>
      </c>
      <c r="B2474" s="96">
        <v>390804</v>
      </c>
      <c r="C2474" s="96" t="str">
        <f t="shared" si="254"/>
        <v>CPOS390804</v>
      </c>
      <c r="D2474" s="95" t="s">
        <v>2526</v>
      </c>
      <c r="E2474" s="63" t="s">
        <v>110</v>
      </c>
      <c r="F2474" s="64">
        <v>14.14</v>
      </c>
    </row>
    <row r="2475" spans="1:6" x14ac:dyDescent="0.25">
      <c r="A2475" s="62" t="s">
        <v>4398</v>
      </c>
      <c r="B2475" s="96">
        <v>390805</v>
      </c>
      <c r="C2475" s="96" t="str">
        <f t="shared" si="254"/>
        <v>CPOS390805</v>
      </c>
      <c r="D2475" s="95" t="s">
        <v>2527</v>
      </c>
      <c r="E2475" s="63" t="s">
        <v>110</v>
      </c>
      <c r="F2475" s="64">
        <v>21.17</v>
      </c>
    </row>
    <row r="2476" spans="1:6" x14ac:dyDescent="0.25">
      <c r="A2476" s="62" t="s">
        <v>4398</v>
      </c>
      <c r="B2476" s="96">
        <v>390806</v>
      </c>
      <c r="C2476" s="96" t="str">
        <f t="shared" si="254"/>
        <v>CPOS390806</v>
      </c>
      <c r="D2476" s="95" t="s">
        <v>2528</v>
      </c>
      <c r="E2476" s="63" t="s">
        <v>110</v>
      </c>
      <c r="F2476" s="64">
        <v>29.72</v>
      </c>
    </row>
    <row r="2477" spans="1:6" x14ac:dyDescent="0.25">
      <c r="A2477" s="62" t="s">
        <v>4398</v>
      </c>
      <c r="B2477" s="96">
        <v>390807</v>
      </c>
      <c r="C2477" s="96" t="str">
        <f t="shared" si="254"/>
        <v>CPOS390807</v>
      </c>
      <c r="D2477" s="95" t="s">
        <v>2529</v>
      </c>
      <c r="E2477" s="63" t="s">
        <v>110</v>
      </c>
      <c r="F2477" s="64">
        <v>42.43</v>
      </c>
    </row>
    <row r="2478" spans="1:6" x14ac:dyDescent="0.25">
      <c r="A2478" s="62" t="s">
        <v>4398</v>
      </c>
      <c r="B2478" s="96">
        <v>390808</v>
      </c>
      <c r="C2478" s="96" t="str">
        <f t="shared" si="254"/>
        <v>CPOS390808</v>
      </c>
      <c r="D2478" s="95" t="s">
        <v>2530</v>
      </c>
      <c r="E2478" s="63" t="s">
        <v>110</v>
      </c>
      <c r="F2478" s="64">
        <v>55.89</v>
      </c>
    </row>
    <row r="2479" spans="1:6" x14ac:dyDescent="0.25">
      <c r="D2479" s="94" t="s">
        <v>2531</v>
      </c>
    </row>
    <row r="2480" spans="1:6" x14ac:dyDescent="0.25">
      <c r="A2480" s="62" t="s">
        <v>4398</v>
      </c>
      <c r="B2480" s="96">
        <v>390901</v>
      </c>
      <c r="C2480" s="96" t="str">
        <f t="shared" ref="C2480:C2490" si="255">A2480&amp;B2480</f>
        <v>CPOS390901</v>
      </c>
      <c r="D2480" s="95" t="s">
        <v>2532</v>
      </c>
      <c r="E2480" s="63" t="s">
        <v>58</v>
      </c>
      <c r="F2480" s="64">
        <v>6.5200000000000005</v>
      </c>
    </row>
    <row r="2481" spans="1:6" x14ac:dyDescent="0.25">
      <c r="A2481" s="62" t="s">
        <v>4398</v>
      </c>
      <c r="B2481" s="96">
        <v>390902</v>
      </c>
      <c r="C2481" s="96" t="str">
        <f t="shared" si="255"/>
        <v>CPOS390902</v>
      </c>
      <c r="D2481" s="95" t="s">
        <v>2533</v>
      </c>
      <c r="E2481" s="63" t="s">
        <v>58</v>
      </c>
      <c r="F2481" s="64">
        <v>6.22</v>
      </c>
    </row>
    <row r="2482" spans="1:6" x14ac:dyDescent="0.25">
      <c r="A2482" s="62" t="s">
        <v>4398</v>
      </c>
      <c r="B2482" s="96">
        <v>390903</v>
      </c>
      <c r="C2482" s="96" t="str">
        <f t="shared" si="255"/>
        <v>CPOS390903</v>
      </c>
      <c r="D2482" s="95" t="s">
        <v>2534</v>
      </c>
      <c r="E2482" s="63" t="s">
        <v>58</v>
      </c>
      <c r="F2482" s="64">
        <v>5.48</v>
      </c>
    </row>
    <row r="2483" spans="1:6" x14ac:dyDescent="0.25">
      <c r="A2483" s="62" t="s">
        <v>4398</v>
      </c>
      <c r="B2483" s="96">
        <v>390904</v>
      </c>
      <c r="C2483" s="96" t="str">
        <f t="shared" si="255"/>
        <v>CPOS390904</v>
      </c>
      <c r="D2483" s="95" t="s">
        <v>2535</v>
      </c>
      <c r="E2483" s="63" t="s">
        <v>58</v>
      </c>
      <c r="F2483" s="64">
        <v>7</v>
      </c>
    </row>
    <row r="2484" spans="1:6" x14ac:dyDescent="0.25">
      <c r="A2484" s="62" t="s">
        <v>4398</v>
      </c>
      <c r="B2484" s="96">
        <v>390906</v>
      </c>
      <c r="C2484" s="96" t="str">
        <f t="shared" si="255"/>
        <v>CPOS390906</v>
      </c>
      <c r="D2484" s="95" t="s">
        <v>2536</v>
      </c>
      <c r="E2484" s="63" t="s">
        <v>58</v>
      </c>
      <c r="F2484" s="64">
        <v>7.97</v>
      </c>
    </row>
    <row r="2485" spans="1:6" x14ac:dyDescent="0.25">
      <c r="A2485" s="62" t="s">
        <v>4398</v>
      </c>
      <c r="B2485" s="96">
        <v>390908</v>
      </c>
      <c r="C2485" s="96" t="str">
        <f t="shared" si="255"/>
        <v>CPOS390908</v>
      </c>
      <c r="D2485" s="95" t="s">
        <v>2537</v>
      </c>
      <c r="E2485" s="63" t="s">
        <v>58</v>
      </c>
      <c r="F2485" s="64">
        <v>10.950000000000001</v>
      </c>
    </row>
    <row r="2486" spans="1:6" x14ac:dyDescent="0.25">
      <c r="A2486" s="62" t="s">
        <v>4398</v>
      </c>
      <c r="B2486" s="96">
        <v>390910</v>
      </c>
      <c r="C2486" s="96" t="str">
        <f t="shared" si="255"/>
        <v>CPOS390910</v>
      </c>
      <c r="D2486" s="95" t="s">
        <v>2538</v>
      </c>
      <c r="E2486" s="63" t="s">
        <v>58</v>
      </c>
      <c r="F2486" s="64">
        <v>8.4600000000000009</v>
      </c>
    </row>
    <row r="2487" spans="1:6" x14ac:dyDescent="0.25">
      <c r="A2487" s="62" t="s">
        <v>4398</v>
      </c>
      <c r="B2487" s="96">
        <v>390912</v>
      </c>
      <c r="C2487" s="96" t="str">
        <f t="shared" si="255"/>
        <v>CPOS390912</v>
      </c>
      <c r="D2487" s="95" t="s">
        <v>2539</v>
      </c>
      <c r="E2487" s="63" t="s">
        <v>58</v>
      </c>
      <c r="F2487" s="64">
        <v>9.56</v>
      </c>
    </row>
    <row r="2488" spans="1:6" x14ac:dyDescent="0.25">
      <c r="A2488" s="62" t="s">
        <v>4398</v>
      </c>
      <c r="B2488" s="96">
        <v>390914</v>
      </c>
      <c r="C2488" s="96" t="str">
        <f t="shared" si="255"/>
        <v>CPOS390914</v>
      </c>
      <c r="D2488" s="95" t="s">
        <v>2540</v>
      </c>
      <c r="E2488" s="63" t="s">
        <v>58</v>
      </c>
      <c r="F2488" s="64">
        <v>10.540000000000001</v>
      </c>
    </row>
    <row r="2489" spans="1:6" x14ac:dyDescent="0.25">
      <c r="A2489" s="62" t="s">
        <v>4398</v>
      </c>
      <c r="B2489" s="96">
        <v>390916</v>
      </c>
      <c r="C2489" s="96" t="str">
        <f t="shared" si="255"/>
        <v>CPOS390916</v>
      </c>
      <c r="D2489" s="95" t="s">
        <v>2541</v>
      </c>
      <c r="E2489" s="63" t="s">
        <v>58</v>
      </c>
      <c r="F2489" s="64">
        <v>14.08</v>
      </c>
    </row>
    <row r="2490" spans="1:6" ht="30" x14ac:dyDescent="0.25">
      <c r="A2490" s="62" t="s">
        <v>4398</v>
      </c>
      <c r="B2490" s="96">
        <v>390919</v>
      </c>
      <c r="C2490" s="96" t="str">
        <f t="shared" si="255"/>
        <v>CPOS390919</v>
      </c>
      <c r="D2490" s="95" t="s">
        <v>2542</v>
      </c>
      <c r="E2490" s="63" t="s">
        <v>58</v>
      </c>
      <c r="F2490" s="64">
        <v>10.68</v>
      </c>
    </row>
    <row r="2491" spans="1:6" x14ac:dyDescent="0.25">
      <c r="D2491" s="94" t="s">
        <v>2543</v>
      </c>
    </row>
    <row r="2492" spans="1:6" x14ac:dyDescent="0.25">
      <c r="A2492" s="62" t="s">
        <v>4398</v>
      </c>
      <c r="B2492" s="96">
        <v>391001</v>
      </c>
      <c r="C2492" s="96" t="str">
        <f t="shared" ref="C2492:C2504" si="256">A2492&amp;B2492</f>
        <v>CPOS391001</v>
      </c>
      <c r="D2492" s="95" t="s">
        <v>2544</v>
      </c>
      <c r="E2492" s="63" t="s">
        <v>58</v>
      </c>
      <c r="F2492" s="64">
        <v>29.580000000000002</v>
      </c>
    </row>
    <row r="2493" spans="1:6" x14ac:dyDescent="0.25">
      <c r="A2493" s="62" t="s">
        <v>4398</v>
      </c>
      <c r="B2493" s="96">
        <v>391005</v>
      </c>
      <c r="C2493" s="96" t="str">
        <f t="shared" si="256"/>
        <v>CPOS391005</v>
      </c>
      <c r="D2493" s="95" t="s">
        <v>2545</v>
      </c>
      <c r="E2493" s="63" t="s">
        <v>58</v>
      </c>
      <c r="F2493" s="64">
        <v>2.52</v>
      </c>
    </row>
    <row r="2494" spans="1:6" x14ac:dyDescent="0.25">
      <c r="A2494" s="62" t="s">
        <v>4398</v>
      </c>
      <c r="B2494" s="96">
        <v>391006</v>
      </c>
      <c r="C2494" s="96" t="str">
        <f t="shared" si="256"/>
        <v>CPOS391006</v>
      </c>
      <c r="D2494" s="95" t="s">
        <v>2546</v>
      </c>
      <c r="E2494" s="63" t="s">
        <v>58</v>
      </c>
      <c r="F2494" s="64">
        <v>6.66</v>
      </c>
    </row>
    <row r="2495" spans="1:6" x14ac:dyDescent="0.25">
      <c r="A2495" s="62" t="s">
        <v>4398</v>
      </c>
      <c r="B2495" s="96">
        <v>391008</v>
      </c>
      <c r="C2495" s="96" t="str">
        <f t="shared" si="256"/>
        <v>CPOS391008</v>
      </c>
      <c r="D2495" s="95" t="s">
        <v>2547</v>
      </c>
      <c r="E2495" s="63" t="s">
        <v>58</v>
      </c>
      <c r="F2495" s="64">
        <v>7.3100000000000005</v>
      </c>
    </row>
    <row r="2496" spans="1:6" x14ac:dyDescent="0.25">
      <c r="A2496" s="62" t="s">
        <v>4398</v>
      </c>
      <c r="B2496" s="96">
        <v>391012</v>
      </c>
      <c r="C2496" s="96" t="str">
        <f t="shared" si="256"/>
        <v>CPOS391012</v>
      </c>
      <c r="D2496" s="95" t="s">
        <v>2548</v>
      </c>
      <c r="E2496" s="63" t="s">
        <v>58</v>
      </c>
      <c r="F2496" s="64">
        <v>7.59</v>
      </c>
    </row>
    <row r="2497" spans="1:6" x14ac:dyDescent="0.25">
      <c r="A2497" s="62" t="s">
        <v>4398</v>
      </c>
      <c r="B2497" s="96">
        <v>391013</v>
      </c>
      <c r="C2497" s="96" t="str">
        <f t="shared" si="256"/>
        <v>CPOS391013</v>
      </c>
      <c r="D2497" s="95" t="s">
        <v>2549</v>
      </c>
      <c r="E2497" s="63" t="s">
        <v>58</v>
      </c>
      <c r="F2497" s="64">
        <v>7.58</v>
      </c>
    </row>
    <row r="2498" spans="1:6" x14ac:dyDescent="0.25">
      <c r="A2498" s="62" t="s">
        <v>4398</v>
      </c>
      <c r="B2498" s="96">
        <v>391016</v>
      </c>
      <c r="C2498" s="96" t="str">
        <f t="shared" si="256"/>
        <v>CPOS391016</v>
      </c>
      <c r="D2498" s="95" t="s">
        <v>2550</v>
      </c>
      <c r="E2498" s="63" t="s">
        <v>58</v>
      </c>
      <c r="F2498" s="64">
        <v>9.33</v>
      </c>
    </row>
    <row r="2499" spans="1:6" x14ac:dyDescent="0.25">
      <c r="A2499" s="62" t="s">
        <v>4398</v>
      </c>
      <c r="B2499" s="96">
        <v>391020</v>
      </c>
      <c r="C2499" s="96" t="str">
        <f t="shared" si="256"/>
        <v>CPOS391020</v>
      </c>
      <c r="D2499" s="95" t="s">
        <v>2551</v>
      </c>
      <c r="E2499" s="63" t="s">
        <v>58</v>
      </c>
      <c r="F2499" s="64">
        <v>9.4700000000000006</v>
      </c>
    </row>
    <row r="2500" spans="1:6" x14ac:dyDescent="0.25">
      <c r="A2500" s="62" t="s">
        <v>4398</v>
      </c>
      <c r="B2500" s="96">
        <v>391024</v>
      </c>
      <c r="C2500" s="96" t="str">
        <f t="shared" si="256"/>
        <v>CPOS391024</v>
      </c>
      <c r="D2500" s="95" t="s">
        <v>2552</v>
      </c>
      <c r="E2500" s="63" t="s">
        <v>58</v>
      </c>
      <c r="F2500" s="64">
        <v>11.65</v>
      </c>
    </row>
    <row r="2501" spans="1:6" x14ac:dyDescent="0.25">
      <c r="A2501" s="62" t="s">
        <v>4398</v>
      </c>
      <c r="B2501" s="96">
        <v>391025</v>
      </c>
      <c r="C2501" s="96" t="str">
        <f t="shared" si="256"/>
        <v>CPOS391025</v>
      </c>
      <c r="D2501" s="95" t="s">
        <v>2553</v>
      </c>
      <c r="E2501" s="63" t="s">
        <v>58</v>
      </c>
      <c r="F2501" s="64">
        <v>16.41</v>
      </c>
    </row>
    <row r="2502" spans="1:6" x14ac:dyDescent="0.25">
      <c r="A2502" s="62" t="s">
        <v>4398</v>
      </c>
      <c r="B2502" s="96">
        <v>391026</v>
      </c>
      <c r="C2502" s="96" t="str">
        <f t="shared" si="256"/>
        <v>CPOS391026</v>
      </c>
      <c r="D2502" s="95" t="s">
        <v>2554</v>
      </c>
      <c r="E2502" s="63" t="s">
        <v>58</v>
      </c>
      <c r="F2502" s="64">
        <v>16.579999999999998</v>
      </c>
    </row>
    <row r="2503" spans="1:6" x14ac:dyDescent="0.25">
      <c r="A2503" s="62" t="s">
        <v>4398</v>
      </c>
      <c r="B2503" s="96">
        <v>391028</v>
      </c>
      <c r="C2503" s="96" t="str">
        <f t="shared" si="256"/>
        <v>CPOS391028</v>
      </c>
      <c r="D2503" s="95" t="s">
        <v>2555</v>
      </c>
      <c r="E2503" s="63" t="s">
        <v>58</v>
      </c>
      <c r="F2503" s="64">
        <v>19.690000000000001</v>
      </c>
    </row>
    <row r="2504" spans="1:6" x14ac:dyDescent="0.25">
      <c r="A2504" s="62" t="s">
        <v>4398</v>
      </c>
      <c r="B2504" s="96">
        <v>391030</v>
      </c>
      <c r="C2504" s="96" t="str">
        <f t="shared" si="256"/>
        <v>CPOS391030</v>
      </c>
      <c r="D2504" s="95" t="s">
        <v>2556</v>
      </c>
      <c r="E2504" s="63" t="s">
        <v>58</v>
      </c>
      <c r="F2504" s="64">
        <v>21.52</v>
      </c>
    </row>
    <row r="2505" spans="1:6" x14ac:dyDescent="0.25">
      <c r="D2505" s="94" t="s">
        <v>2557</v>
      </c>
    </row>
    <row r="2506" spans="1:6" ht="30" x14ac:dyDescent="0.25">
      <c r="A2506" s="62" t="s">
        <v>4398</v>
      </c>
      <c r="B2506" s="96">
        <v>391102</v>
      </c>
      <c r="C2506" s="96" t="str">
        <f t="shared" ref="C2506:C2522" si="257">A2506&amp;B2506</f>
        <v>CPOS391102</v>
      </c>
      <c r="D2506" s="95" t="s">
        <v>2558</v>
      </c>
      <c r="E2506" s="63" t="s">
        <v>110</v>
      </c>
      <c r="F2506" s="64">
        <v>7.22</v>
      </c>
    </row>
    <row r="2507" spans="1:6" ht="30" x14ac:dyDescent="0.25">
      <c r="A2507" s="62" t="s">
        <v>4398</v>
      </c>
      <c r="B2507" s="96">
        <v>391104</v>
      </c>
      <c r="C2507" s="96" t="str">
        <f t="shared" si="257"/>
        <v>CPOS391104</v>
      </c>
      <c r="D2507" s="95" t="s">
        <v>2559</v>
      </c>
      <c r="E2507" s="63" t="s">
        <v>110</v>
      </c>
      <c r="F2507" s="64">
        <v>9.4600000000000009</v>
      </c>
    </row>
    <row r="2508" spans="1:6" ht="30" x14ac:dyDescent="0.25">
      <c r="A2508" s="62" t="s">
        <v>4398</v>
      </c>
      <c r="B2508" s="96">
        <v>391108</v>
      </c>
      <c r="C2508" s="96" t="str">
        <f t="shared" si="257"/>
        <v>CPOS391108</v>
      </c>
      <c r="D2508" s="95" t="s">
        <v>2560</v>
      </c>
      <c r="E2508" s="63" t="s">
        <v>110</v>
      </c>
      <c r="F2508" s="64">
        <v>15.89</v>
      </c>
    </row>
    <row r="2509" spans="1:6" x14ac:dyDescent="0.25">
      <c r="A2509" s="62" t="s">
        <v>4398</v>
      </c>
      <c r="B2509" s="96">
        <v>391109</v>
      </c>
      <c r="C2509" s="96" t="str">
        <f t="shared" si="257"/>
        <v>CPOS391109</v>
      </c>
      <c r="D2509" s="95" t="s">
        <v>2561</v>
      </c>
      <c r="E2509" s="63" t="s">
        <v>110</v>
      </c>
      <c r="F2509" s="64">
        <v>2.4</v>
      </c>
    </row>
    <row r="2510" spans="1:6" x14ac:dyDescent="0.25">
      <c r="A2510" s="62" t="s">
        <v>4398</v>
      </c>
      <c r="B2510" s="96">
        <v>391111</v>
      </c>
      <c r="C2510" s="96" t="str">
        <f t="shared" si="257"/>
        <v>CPOS391111</v>
      </c>
      <c r="D2510" s="95" t="s">
        <v>2562</v>
      </c>
      <c r="E2510" s="63" t="s">
        <v>110</v>
      </c>
      <c r="F2510" s="64">
        <v>9.14</v>
      </c>
    </row>
    <row r="2511" spans="1:6" ht="30" x14ac:dyDescent="0.25">
      <c r="A2511" s="62" t="s">
        <v>4398</v>
      </c>
      <c r="B2511" s="96">
        <v>391112</v>
      </c>
      <c r="C2511" s="96" t="str">
        <f t="shared" si="257"/>
        <v>CPOS391112</v>
      </c>
      <c r="D2511" s="95" t="s">
        <v>2563</v>
      </c>
      <c r="E2511" s="63" t="s">
        <v>110</v>
      </c>
      <c r="F2511" s="64">
        <v>6.37</v>
      </c>
    </row>
    <row r="2512" spans="1:6" x14ac:dyDescent="0.25">
      <c r="A2512" s="62" t="s">
        <v>4398</v>
      </c>
      <c r="B2512" s="96">
        <v>391119</v>
      </c>
      <c r="C2512" s="96" t="str">
        <f t="shared" si="257"/>
        <v>CPOS391119</v>
      </c>
      <c r="D2512" s="95" t="s">
        <v>2564</v>
      </c>
      <c r="E2512" s="63" t="s">
        <v>110</v>
      </c>
      <c r="F2512" s="64">
        <v>4.2300000000000004</v>
      </c>
    </row>
    <row r="2513" spans="1:6" ht="30" x14ac:dyDescent="0.25">
      <c r="A2513" s="62" t="s">
        <v>4398</v>
      </c>
      <c r="B2513" s="96">
        <v>391120</v>
      </c>
      <c r="C2513" s="96" t="str">
        <f t="shared" si="257"/>
        <v>CPOS391120</v>
      </c>
      <c r="D2513" s="95" t="s">
        <v>2565</v>
      </c>
      <c r="E2513" s="63" t="s">
        <v>110</v>
      </c>
      <c r="F2513" s="64">
        <v>6.78</v>
      </c>
    </row>
    <row r="2514" spans="1:6" ht="30" x14ac:dyDescent="0.25">
      <c r="A2514" s="62" t="s">
        <v>4398</v>
      </c>
      <c r="B2514" s="96">
        <v>391121</v>
      </c>
      <c r="C2514" s="96" t="str">
        <f t="shared" si="257"/>
        <v>CPOS391121</v>
      </c>
      <c r="D2514" s="95" t="s">
        <v>2566</v>
      </c>
      <c r="E2514" s="63" t="s">
        <v>110</v>
      </c>
      <c r="F2514" s="64">
        <v>9.33</v>
      </c>
    </row>
    <row r="2515" spans="1:6" ht="30" x14ac:dyDescent="0.25">
      <c r="A2515" s="62" t="s">
        <v>4398</v>
      </c>
      <c r="B2515" s="96">
        <v>391123</v>
      </c>
      <c r="C2515" s="96" t="str">
        <f t="shared" si="257"/>
        <v>CPOS391123</v>
      </c>
      <c r="D2515" s="95" t="s">
        <v>2567</v>
      </c>
      <c r="E2515" s="63" t="s">
        <v>110</v>
      </c>
      <c r="F2515" s="64">
        <v>16.260000000000002</v>
      </c>
    </row>
    <row r="2516" spans="1:6" ht="30" x14ac:dyDescent="0.25">
      <c r="A2516" s="62" t="s">
        <v>4398</v>
      </c>
      <c r="B2516" s="96">
        <v>391124</v>
      </c>
      <c r="C2516" s="96" t="str">
        <f t="shared" si="257"/>
        <v>CPOS391124</v>
      </c>
      <c r="D2516" s="95" t="s">
        <v>2568</v>
      </c>
      <c r="E2516" s="63" t="s">
        <v>110</v>
      </c>
      <c r="F2516" s="64">
        <v>27.88</v>
      </c>
    </row>
    <row r="2517" spans="1:6" ht="30" x14ac:dyDescent="0.25">
      <c r="A2517" s="62" t="s">
        <v>4398</v>
      </c>
      <c r="B2517" s="96">
        <v>391127</v>
      </c>
      <c r="C2517" s="96" t="str">
        <f t="shared" si="257"/>
        <v>CPOS391127</v>
      </c>
      <c r="D2517" s="95" t="s">
        <v>2569</v>
      </c>
      <c r="E2517" s="63" t="s">
        <v>110</v>
      </c>
      <c r="F2517" s="64">
        <v>7.57</v>
      </c>
    </row>
    <row r="2518" spans="1:6" ht="30" x14ac:dyDescent="0.25">
      <c r="A2518" s="62" t="s">
        <v>4398</v>
      </c>
      <c r="B2518" s="96">
        <v>391128</v>
      </c>
      <c r="C2518" s="96" t="str">
        <f t="shared" si="257"/>
        <v>CPOS391128</v>
      </c>
      <c r="D2518" s="95" t="s">
        <v>2570</v>
      </c>
      <c r="E2518" s="63" t="s">
        <v>110</v>
      </c>
      <c r="F2518" s="64">
        <v>10.31</v>
      </c>
    </row>
    <row r="2519" spans="1:6" ht="30" x14ac:dyDescent="0.25">
      <c r="A2519" s="62" t="s">
        <v>4398</v>
      </c>
      <c r="B2519" s="96">
        <v>391130</v>
      </c>
      <c r="C2519" s="96" t="str">
        <f t="shared" si="257"/>
        <v>CPOS391130</v>
      </c>
      <c r="D2519" s="95" t="s">
        <v>2571</v>
      </c>
      <c r="E2519" s="63" t="s">
        <v>110</v>
      </c>
      <c r="F2519" s="64">
        <v>18.079999999999998</v>
      </c>
    </row>
    <row r="2520" spans="1:6" ht="30" x14ac:dyDescent="0.25">
      <c r="A2520" s="62" t="s">
        <v>4398</v>
      </c>
      <c r="B2520" s="96">
        <v>391140</v>
      </c>
      <c r="C2520" s="96" t="str">
        <f t="shared" si="257"/>
        <v>CPOS391140</v>
      </c>
      <c r="D2520" s="95" t="s">
        <v>2572</v>
      </c>
      <c r="E2520" s="63" t="s">
        <v>110</v>
      </c>
      <c r="F2520" s="64">
        <v>7.42</v>
      </c>
    </row>
    <row r="2521" spans="1:6" ht="30" x14ac:dyDescent="0.25">
      <c r="A2521" s="62" t="s">
        <v>4398</v>
      </c>
      <c r="B2521" s="96">
        <v>391141</v>
      </c>
      <c r="C2521" s="96" t="str">
        <f t="shared" si="257"/>
        <v>CPOS391141</v>
      </c>
      <c r="D2521" s="95" t="s">
        <v>2573</v>
      </c>
      <c r="E2521" s="63" t="s">
        <v>110</v>
      </c>
      <c r="F2521" s="64">
        <v>9.61</v>
      </c>
    </row>
    <row r="2522" spans="1:6" ht="30" x14ac:dyDescent="0.25">
      <c r="A2522" s="62" t="s">
        <v>4398</v>
      </c>
      <c r="B2522" s="96">
        <v>391143</v>
      </c>
      <c r="C2522" s="96" t="str">
        <f t="shared" si="257"/>
        <v>CPOS391143</v>
      </c>
      <c r="D2522" s="95" t="s">
        <v>2574</v>
      </c>
      <c r="E2522" s="63" t="s">
        <v>110</v>
      </c>
      <c r="F2522" s="64">
        <v>17.07</v>
      </c>
    </row>
    <row r="2523" spans="1:6" x14ac:dyDescent="0.25">
      <c r="D2523" s="94" t="s">
        <v>2575</v>
      </c>
    </row>
    <row r="2524" spans="1:6" x14ac:dyDescent="0.25">
      <c r="A2524" s="62" t="s">
        <v>4398</v>
      </c>
      <c r="B2524" s="96">
        <v>391201</v>
      </c>
      <c r="C2524" s="96" t="str">
        <f t="shared" ref="C2524:C2535" si="258">A2524&amp;B2524</f>
        <v>CPOS391201</v>
      </c>
      <c r="D2524" s="95" t="s">
        <v>2576</v>
      </c>
      <c r="E2524" s="63" t="s">
        <v>110</v>
      </c>
      <c r="F2524" s="64">
        <v>5.6000000000000005</v>
      </c>
    </row>
    <row r="2525" spans="1:6" x14ac:dyDescent="0.25">
      <c r="A2525" s="62" t="s">
        <v>4398</v>
      </c>
      <c r="B2525" s="96">
        <v>391205</v>
      </c>
      <c r="C2525" s="96" t="str">
        <f t="shared" si="258"/>
        <v>CPOS391205</v>
      </c>
      <c r="D2525" s="95" t="s">
        <v>2577</v>
      </c>
      <c r="E2525" s="63" t="s">
        <v>110</v>
      </c>
      <c r="F2525" s="64">
        <v>7.66</v>
      </c>
    </row>
    <row r="2526" spans="1:6" x14ac:dyDescent="0.25">
      <c r="A2526" s="62" t="s">
        <v>4398</v>
      </c>
      <c r="B2526" s="96">
        <v>391206</v>
      </c>
      <c r="C2526" s="96" t="str">
        <f t="shared" si="258"/>
        <v>CPOS391206</v>
      </c>
      <c r="D2526" s="95" t="s">
        <v>2578</v>
      </c>
      <c r="E2526" s="63" t="s">
        <v>110</v>
      </c>
      <c r="F2526" s="64">
        <v>11.14</v>
      </c>
    </row>
    <row r="2527" spans="1:6" x14ac:dyDescent="0.25">
      <c r="A2527" s="62" t="s">
        <v>4398</v>
      </c>
      <c r="B2527" s="96">
        <v>391207</v>
      </c>
      <c r="C2527" s="96" t="str">
        <f t="shared" si="258"/>
        <v>CPOS391207</v>
      </c>
      <c r="D2527" s="95" t="s">
        <v>2579</v>
      </c>
      <c r="E2527" s="63" t="s">
        <v>110</v>
      </c>
      <c r="F2527" s="64">
        <v>14.56</v>
      </c>
    </row>
    <row r="2528" spans="1:6" x14ac:dyDescent="0.25">
      <c r="A2528" s="62" t="s">
        <v>4398</v>
      </c>
      <c r="B2528" s="96">
        <v>391208</v>
      </c>
      <c r="C2528" s="96" t="str">
        <f t="shared" si="258"/>
        <v>CPOS391208</v>
      </c>
      <c r="D2528" s="95" t="s">
        <v>2580</v>
      </c>
      <c r="E2528" s="63" t="s">
        <v>110</v>
      </c>
      <c r="F2528" s="64">
        <v>16.66</v>
      </c>
    </row>
    <row r="2529" spans="1:6" x14ac:dyDescent="0.25">
      <c r="A2529" s="62" t="s">
        <v>4398</v>
      </c>
      <c r="B2529" s="96">
        <v>391212</v>
      </c>
      <c r="C2529" s="96" t="str">
        <f t="shared" si="258"/>
        <v>CPOS391212</v>
      </c>
      <c r="D2529" s="95" t="s">
        <v>2581</v>
      </c>
      <c r="E2529" s="63" t="s">
        <v>110</v>
      </c>
      <c r="F2529" s="64">
        <v>3.87</v>
      </c>
    </row>
    <row r="2530" spans="1:6" x14ac:dyDescent="0.25">
      <c r="A2530" s="62" t="s">
        <v>4398</v>
      </c>
      <c r="B2530" s="96">
        <v>391213</v>
      </c>
      <c r="C2530" s="96" t="str">
        <f t="shared" si="258"/>
        <v>CPOS391213</v>
      </c>
      <c r="D2530" s="95" t="s">
        <v>2582</v>
      </c>
      <c r="E2530" s="63" t="s">
        <v>110</v>
      </c>
      <c r="F2530" s="64">
        <v>5.29</v>
      </c>
    </row>
    <row r="2531" spans="1:6" x14ac:dyDescent="0.25">
      <c r="A2531" s="62" t="s">
        <v>4398</v>
      </c>
      <c r="B2531" s="96">
        <v>391223</v>
      </c>
      <c r="C2531" s="96" t="str">
        <f t="shared" si="258"/>
        <v>CPOS391223</v>
      </c>
      <c r="D2531" s="95" t="s">
        <v>2583</v>
      </c>
      <c r="E2531" s="63" t="s">
        <v>110</v>
      </c>
      <c r="F2531" s="64">
        <v>18.46</v>
      </c>
    </row>
    <row r="2532" spans="1:6" x14ac:dyDescent="0.25">
      <c r="A2532" s="62" t="s">
        <v>4398</v>
      </c>
      <c r="B2532" s="96">
        <v>391224</v>
      </c>
      <c r="C2532" s="96" t="str">
        <f t="shared" si="258"/>
        <v>CPOS391224</v>
      </c>
      <c r="D2532" s="95" t="s">
        <v>2584</v>
      </c>
      <c r="E2532" s="63" t="s">
        <v>110</v>
      </c>
      <c r="F2532" s="64">
        <v>19.510000000000002</v>
      </c>
    </row>
    <row r="2533" spans="1:6" ht="30" x14ac:dyDescent="0.25">
      <c r="A2533" s="62" t="s">
        <v>4398</v>
      </c>
      <c r="B2533" s="96">
        <v>391251</v>
      </c>
      <c r="C2533" s="96" t="str">
        <f t="shared" si="258"/>
        <v>CPOS391251</v>
      </c>
      <c r="D2533" s="95" t="s">
        <v>2585</v>
      </c>
      <c r="E2533" s="63" t="s">
        <v>110</v>
      </c>
      <c r="F2533" s="64">
        <v>5.22</v>
      </c>
    </row>
    <row r="2534" spans="1:6" ht="30" x14ac:dyDescent="0.25">
      <c r="A2534" s="62" t="s">
        <v>4398</v>
      </c>
      <c r="B2534" s="96">
        <v>391252</v>
      </c>
      <c r="C2534" s="96" t="str">
        <f t="shared" si="258"/>
        <v>CPOS391252</v>
      </c>
      <c r="D2534" s="95" t="s">
        <v>2586</v>
      </c>
      <c r="E2534" s="63" t="s">
        <v>110</v>
      </c>
      <c r="F2534" s="64">
        <v>5.9</v>
      </c>
    </row>
    <row r="2535" spans="1:6" ht="30" x14ac:dyDescent="0.25">
      <c r="A2535" s="62" t="s">
        <v>4398</v>
      </c>
      <c r="B2535" s="96">
        <v>391253</v>
      </c>
      <c r="C2535" s="96" t="str">
        <f t="shared" si="258"/>
        <v>CPOS391253</v>
      </c>
      <c r="D2535" s="95" t="s">
        <v>2587</v>
      </c>
      <c r="E2535" s="63" t="s">
        <v>110</v>
      </c>
      <c r="F2535" s="64">
        <v>6.0600000000000005</v>
      </c>
    </row>
    <row r="2536" spans="1:6" x14ac:dyDescent="0.25">
      <c r="D2536" s="94" t="s">
        <v>2588</v>
      </c>
    </row>
    <row r="2537" spans="1:6" x14ac:dyDescent="0.25">
      <c r="A2537" s="62" t="s">
        <v>4398</v>
      </c>
      <c r="B2537" s="96">
        <v>391401</v>
      </c>
      <c r="C2537" s="96" t="str">
        <f t="shared" ref="C2537:C2538" si="259">A2537&amp;B2537</f>
        <v>CPOS391401</v>
      </c>
      <c r="D2537" s="95" t="s">
        <v>2589</v>
      </c>
      <c r="E2537" s="63" t="s">
        <v>110</v>
      </c>
      <c r="F2537" s="64">
        <v>7.55</v>
      </c>
    </row>
    <row r="2538" spans="1:6" x14ac:dyDescent="0.25">
      <c r="A2538" s="62" t="s">
        <v>4398</v>
      </c>
      <c r="B2538" s="96">
        <v>391405</v>
      </c>
      <c r="C2538" s="96" t="str">
        <f t="shared" si="259"/>
        <v>CPOS391405</v>
      </c>
      <c r="D2538" s="95" t="s">
        <v>2590</v>
      </c>
      <c r="E2538" s="63" t="s">
        <v>110</v>
      </c>
      <c r="F2538" s="64">
        <v>5.38</v>
      </c>
    </row>
    <row r="2539" spans="1:6" x14ac:dyDescent="0.25">
      <c r="D2539" s="94" t="s">
        <v>2591</v>
      </c>
    </row>
    <row r="2540" spans="1:6" x14ac:dyDescent="0.25">
      <c r="A2540" s="62" t="s">
        <v>4398</v>
      </c>
      <c r="B2540" s="96">
        <v>391504</v>
      </c>
      <c r="C2540" s="96" t="str">
        <f t="shared" ref="C2540:C2541" si="260">A2540&amp;B2540</f>
        <v>CPOS391504</v>
      </c>
      <c r="D2540" s="95" t="s">
        <v>2592</v>
      </c>
      <c r="E2540" s="63" t="s">
        <v>110</v>
      </c>
      <c r="F2540" s="64">
        <v>5.69</v>
      </c>
    </row>
    <row r="2541" spans="1:6" x14ac:dyDescent="0.25">
      <c r="A2541" s="62" t="s">
        <v>4398</v>
      </c>
      <c r="B2541" s="96">
        <v>391507</v>
      </c>
      <c r="C2541" s="96" t="str">
        <f t="shared" si="260"/>
        <v>CPOS391507</v>
      </c>
      <c r="D2541" s="95" t="s">
        <v>2593</v>
      </c>
      <c r="E2541" s="63" t="s">
        <v>110</v>
      </c>
      <c r="F2541" s="64">
        <v>7.43</v>
      </c>
    </row>
    <row r="2542" spans="1:6" x14ac:dyDescent="0.25">
      <c r="D2542" s="94" t="s">
        <v>2594</v>
      </c>
    </row>
    <row r="2543" spans="1:6" ht="30" x14ac:dyDescent="0.25">
      <c r="A2543" s="62" t="s">
        <v>4398</v>
      </c>
      <c r="B2543" s="96">
        <v>391601</v>
      </c>
      <c r="C2543" s="96" t="str">
        <f>A2543&amp;B2543</f>
        <v>CPOS391601</v>
      </c>
      <c r="D2543" s="95" t="s">
        <v>2595</v>
      </c>
      <c r="E2543" s="63" t="s">
        <v>110</v>
      </c>
      <c r="F2543" s="64">
        <v>12.780000000000001</v>
      </c>
    </row>
    <row r="2544" spans="1:6" x14ac:dyDescent="0.25">
      <c r="D2544" s="94" t="s">
        <v>2596</v>
      </c>
    </row>
    <row r="2545" spans="1:6" x14ac:dyDescent="0.25">
      <c r="A2545" s="62" t="s">
        <v>4398</v>
      </c>
      <c r="B2545" s="96">
        <v>391801</v>
      </c>
      <c r="C2545" s="96" t="str">
        <f t="shared" ref="C2545:C2551" si="261">A2545&amp;B2545</f>
        <v>CPOS391801</v>
      </c>
      <c r="D2545" s="95" t="s">
        <v>2597</v>
      </c>
      <c r="E2545" s="63" t="s">
        <v>110</v>
      </c>
      <c r="F2545" s="64">
        <v>4.97</v>
      </c>
    </row>
    <row r="2546" spans="1:6" x14ac:dyDescent="0.25">
      <c r="A2546" s="62" t="s">
        <v>4398</v>
      </c>
      <c r="B2546" s="96">
        <v>391807</v>
      </c>
      <c r="C2546" s="96" t="str">
        <f t="shared" si="261"/>
        <v>CPOS391807</v>
      </c>
      <c r="D2546" s="95" t="s">
        <v>2598</v>
      </c>
      <c r="E2546" s="63" t="s">
        <v>110</v>
      </c>
      <c r="F2546" s="64">
        <v>3.87</v>
      </c>
    </row>
    <row r="2547" spans="1:6" x14ac:dyDescent="0.25">
      <c r="A2547" s="62" t="s">
        <v>4398</v>
      </c>
      <c r="B2547" s="96">
        <v>391808</v>
      </c>
      <c r="C2547" s="96" t="str">
        <f t="shared" si="261"/>
        <v>CPOS391808</v>
      </c>
      <c r="D2547" s="95" t="s">
        <v>2599</v>
      </c>
      <c r="E2547" s="63" t="s">
        <v>110</v>
      </c>
      <c r="F2547" s="64">
        <v>5.12</v>
      </c>
    </row>
    <row r="2548" spans="1:6" x14ac:dyDescent="0.25">
      <c r="A2548" s="62" t="s">
        <v>4398</v>
      </c>
      <c r="B2548" s="96">
        <v>391809</v>
      </c>
      <c r="C2548" s="96" t="str">
        <f t="shared" si="261"/>
        <v>CPOS391809</v>
      </c>
      <c r="D2548" s="95" t="s">
        <v>2600</v>
      </c>
      <c r="E2548" s="63" t="s">
        <v>110</v>
      </c>
      <c r="F2548" s="64">
        <v>10.36</v>
      </c>
    </row>
    <row r="2549" spans="1:6" x14ac:dyDescent="0.25">
      <c r="A2549" s="62" t="s">
        <v>4398</v>
      </c>
      <c r="B2549" s="96">
        <v>391810</v>
      </c>
      <c r="C2549" s="96" t="str">
        <f t="shared" si="261"/>
        <v>CPOS391810</v>
      </c>
      <c r="D2549" s="95" t="s">
        <v>2601</v>
      </c>
      <c r="E2549" s="63" t="s">
        <v>110</v>
      </c>
      <c r="F2549" s="64">
        <v>4.0599999999999996</v>
      </c>
    </row>
    <row r="2550" spans="1:6" x14ac:dyDescent="0.25">
      <c r="A2550" s="62" t="s">
        <v>4398</v>
      </c>
      <c r="B2550" s="96">
        <v>391811</v>
      </c>
      <c r="C2550" s="96" t="str">
        <f t="shared" si="261"/>
        <v>CPOS391811</v>
      </c>
      <c r="D2550" s="95" t="s">
        <v>2602</v>
      </c>
      <c r="E2550" s="63" t="s">
        <v>110</v>
      </c>
      <c r="F2550" s="64">
        <v>4.8</v>
      </c>
    </row>
    <row r="2551" spans="1:6" x14ac:dyDescent="0.25">
      <c r="A2551" s="62" t="s">
        <v>4398</v>
      </c>
      <c r="B2551" s="96">
        <v>391812</v>
      </c>
      <c r="C2551" s="96" t="str">
        <f t="shared" si="261"/>
        <v>CPOS391812</v>
      </c>
      <c r="D2551" s="95" t="s">
        <v>2603</v>
      </c>
      <c r="E2551" s="63" t="s">
        <v>110</v>
      </c>
      <c r="F2551" s="64">
        <v>9.35</v>
      </c>
    </row>
    <row r="2552" spans="1:6" x14ac:dyDescent="0.25">
      <c r="D2552" s="94" t="s">
        <v>693</v>
      </c>
    </row>
    <row r="2553" spans="1:6" x14ac:dyDescent="0.25">
      <c r="A2553" s="62" t="s">
        <v>4398</v>
      </c>
      <c r="B2553" s="96">
        <v>392001</v>
      </c>
      <c r="C2553" s="96" t="str">
        <f t="shared" ref="C2553:C2555" si="262">A2553&amp;B2553</f>
        <v>CPOS392001</v>
      </c>
      <c r="D2553" s="95" t="s">
        <v>2604</v>
      </c>
      <c r="E2553" s="63" t="s">
        <v>110</v>
      </c>
      <c r="F2553" s="64">
        <v>3.96</v>
      </c>
    </row>
    <row r="2554" spans="1:6" x14ac:dyDescent="0.25">
      <c r="A2554" s="62" t="s">
        <v>4398</v>
      </c>
      <c r="B2554" s="96">
        <v>392002</v>
      </c>
      <c r="C2554" s="96" t="str">
        <f t="shared" si="262"/>
        <v>CPOS392002</v>
      </c>
      <c r="D2554" s="95" t="s">
        <v>2605</v>
      </c>
      <c r="E2554" s="63" t="s">
        <v>58</v>
      </c>
      <c r="F2554" s="64">
        <v>8.68</v>
      </c>
    </row>
    <row r="2555" spans="1:6" x14ac:dyDescent="0.25">
      <c r="A2555" s="62" t="s">
        <v>4398</v>
      </c>
      <c r="B2555" s="96">
        <v>392003</v>
      </c>
      <c r="C2555" s="96" t="str">
        <f t="shared" si="262"/>
        <v>CPOS392003</v>
      </c>
      <c r="D2555" s="95" t="s">
        <v>2606</v>
      </c>
      <c r="E2555" s="63" t="s">
        <v>110</v>
      </c>
      <c r="F2555" s="64">
        <v>7.92</v>
      </c>
    </row>
    <row r="2556" spans="1:6" x14ac:dyDescent="0.25">
      <c r="D2556" s="94" t="s">
        <v>2607</v>
      </c>
    </row>
    <row r="2557" spans="1:6" x14ac:dyDescent="0.25">
      <c r="A2557" s="62" t="s">
        <v>4398</v>
      </c>
      <c r="B2557" s="96">
        <v>392502</v>
      </c>
      <c r="C2557" s="96" t="str">
        <f t="shared" ref="C2557:C2558" si="263">A2557&amp;B2557</f>
        <v>CPOS392502</v>
      </c>
      <c r="D2557" s="95" t="s">
        <v>2608</v>
      </c>
      <c r="E2557" s="63" t="s">
        <v>110</v>
      </c>
      <c r="F2557" s="64">
        <v>35.04</v>
      </c>
    </row>
    <row r="2558" spans="1:6" x14ac:dyDescent="0.25">
      <c r="A2558" s="62" t="s">
        <v>4398</v>
      </c>
      <c r="B2558" s="96">
        <v>392503</v>
      </c>
      <c r="C2558" s="96" t="str">
        <f t="shared" si="263"/>
        <v>CPOS392503</v>
      </c>
      <c r="D2558" s="95" t="s">
        <v>2609</v>
      </c>
      <c r="E2558" s="63" t="s">
        <v>110</v>
      </c>
      <c r="F2558" s="64">
        <v>37.909999999999997</v>
      </c>
    </row>
    <row r="2559" spans="1:6" x14ac:dyDescent="0.25">
      <c r="D2559" s="94" t="s">
        <v>2610</v>
      </c>
    </row>
    <row r="2560" spans="1:6" ht="30" x14ac:dyDescent="0.25">
      <c r="A2560" s="62" t="s">
        <v>4398</v>
      </c>
      <c r="B2560" s="96">
        <v>392601</v>
      </c>
      <c r="C2560" s="96" t="str">
        <f t="shared" ref="C2560:C2574" si="264">A2560&amp;B2560</f>
        <v>CPOS392601</v>
      </c>
      <c r="D2560" s="95" t="s">
        <v>2611</v>
      </c>
      <c r="E2560" s="63" t="s">
        <v>110</v>
      </c>
      <c r="F2560" s="64">
        <v>2.13</v>
      </c>
    </row>
    <row r="2561" spans="1:6" ht="30" x14ac:dyDescent="0.25">
      <c r="A2561" s="62" t="s">
        <v>4398</v>
      </c>
      <c r="B2561" s="96">
        <v>392602</v>
      </c>
      <c r="C2561" s="96" t="str">
        <f t="shared" si="264"/>
        <v>CPOS392602</v>
      </c>
      <c r="D2561" s="95" t="s">
        <v>2612</v>
      </c>
      <c r="E2561" s="63" t="s">
        <v>110</v>
      </c>
      <c r="F2561" s="64">
        <v>3.04</v>
      </c>
    </row>
    <row r="2562" spans="1:6" ht="30" x14ac:dyDescent="0.25">
      <c r="A2562" s="62" t="s">
        <v>4398</v>
      </c>
      <c r="B2562" s="96">
        <v>392603</v>
      </c>
      <c r="C2562" s="96" t="str">
        <f t="shared" si="264"/>
        <v>CPOS392603</v>
      </c>
      <c r="D2562" s="95" t="s">
        <v>2613</v>
      </c>
      <c r="E2562" s="63" t="s">
        <v>110</v>
      </c>
      <c r="F2562" s="64">
        <v>3.92</v>
      </c>
    </row>
    <row r="2563" spans="1:6" ht="30" x14ac:dyDescent="0.25">
      <c r="A2563" s="62" t="s">
        <v>4398</v>
      </c>
      <c r="B2563" s="96">
        <v>392604</v>
      </c>
      <c r="C2563" s="96" t="str">
        <f t="shared" si="264"/>
        <v>CPOS392604</v>
      </c>
      <c r="D2563" s="95" t="s">
        <v>2614</v>
      </c>
      <c r="E2563" s="63" t="s">
        <v>110</v>
      </c>
      <c r="F2563" s="64">
        <v>5.15</v>
      </c>
    </row>
    <row r="2564" spans="1:6" ht="30" x14ac:dyDescent="0.25">
      <c r="A2564" s="62" t="s">
        <v>4398</v>
      </c>
      <c r="B2564" s="96">
        <v>392605</v>
      </c>
      <c r="C2564" s="96" t="str">
        <f t="shared" si="264"/>
        <v>CPOS392605</v>
      </c>
      <c r="D2564" s="95" t="s">
        <v>2615</v>
      </c>
      <c r="E2564" s="63" t="s">
        <v>110</v>
      </c>
      <c r="F2564" s="64">
        <v>7.07</v>
      </c>
    </row>
    <row r="2565" spans="1:6" ht="30" x14ac:dyDescent="0.25">
      <c r="A2565" s="62" t="s">
        <v>4398</v>
      </c>
      <c r="B2565" s="96">
        <v>392606</v>
      </c>
      <c r="C2565" s="96" t="str">
        <f t="shared" si="264"/>
        <v>CPOS392606</v>
      </c>
      <c r="D2565" s="95" t="s">
        <v>2616</v>
      </c>
      <c r="E2565" s="63" t="s">
        <v>110</v>
      </c>
      <c r="F2565" s="64">
        <v>9.98</v>
      </c>
    </row>
    <row r="2566" spans="1:6" ht="30" x14ac:dyDescent="0.25">
      <c r="A2566" s="62" t="s">
        <v>4398</v>
      </c>
      <c r="B2566" s="96">
        <v>392607</v>
      </c>
      <c r="C2566" s="96" t="str">
        <f t="shared" si="264"/>
        <v>CPOS392607</v>
      </c>
      <c r="D2566" s="95" t="s">
        <v>2617</v>
      </c>
      <c r="E2566" s="63" t="s">
        <v>110</v>
      </c>
      <c r="F2566" s="64">
        <v>13.92</v>
      </c>
    </row>
    <row r="2567" spans="1:6" ht="30" x14ac:dyDescent="0.25">
      <c r="A2567" s="62" t="s">
        <v>4398</v>
      </c>
      <c r="B2567" s="96">
        <v>392608</v>
      </c>
      <c r="C2567" s="96" t="str">
        <f t="shared" si="264"/>
        <v>CPOS392608</v>
      </c>
      <c r="D2567" s="95" t="s">
        <v>2618</v>
      </c>
      <c r="E2567" s="63" t="s">
        <v>110</v>
      </c>
      <c r="F2567" s="64">
        <v>17.989999999999998</v>
      </c>
    </row>
    <row r="2568" spans="1:6" ht="30" x14ac:dyDescent="0.25">
      <c r="A2568" s="62" t="s">
        <v>4398</v>
      </c>
      <c r="B2568" s="96">
        <v>392609</v>
      </c>
      <c r="C2568" s="96" t="str">
        <f t="shared" si="264"/>
        <v>CPOS392609</v>
      </c>
      <c r="D2568" s="95" t="s">
        <v>2619</v>
      </c>
      <c r="E2568" s="63" t="s">
        <v>110</v>
      </c>
      <c r="F2568" s="64">
        <v>25.84</v>
      </c>
    </row>
    <row r="2569" spans="1:6" ht="30" x14ac:dyDescent="0.25">
      <c r="A2569" s="62" t="s">
        <v>4398</v>
      </c>
      <c r="B2569" s="96">
        <v>392610</v>
      </c>
      <c r="C2569" s="96" t="str">
        <f t="shared" si="264"/>
        <v>CPOS392610</v>
      </c>
      <c r="D2569" s="95" t="s">
        <v>2620</v>
      </c>
      <c r="E2569" s="63" t="s">
        <v>110</v>
      </c>
      <c r="F2569" s="64">
        <v>35.04</v>
      </c>
    </row>
    <row r="2570" spans="1:6" ht="30" x14ac:dyDescent="0.25">
      <c r="A2570" s="62" t="s">
        <v>4398</v>
      </c>
      <c r="B2570" s="96">
        <v>392611</v>
      </c>
      <c r="C2570" s="96" t="str">
        <f t="shared" si="264"/>
        <v>CPOS392611</v>
      </c>
      <c r="D2570" s="95" t="s">
        <v>2621</v>
      </c>
      <c r="E2570" s="63" t="s">
        <v>110</v>
      </c>
      <c r="F2570" s="64">
        <v>45.550000000000004</v>
      </c>
    </row>
    <row r="2571" spans="1:6" ht="30" x14ac:dyDescent="0.25">
      <c r="A2571" s="62" t="s">
        <v>4398</v>
      </c>
      <c r="B2571" s="96">
        <v>392612</v>
      </c>
      <c r="C2571" s="96" t="str">
        <f t="shared" si="264"/>
        <v>CPOS392612</v>
      </c>
      <c r="D2571" s="95" t="s">
        <v>2622</v>
      </c>
      <c r="E2571" s="63" t="s">
        <v>110</v>
      </c>
      <c r="F2571" s="64">
        <v>57.26</v>
      </c>
    </row>
    <row r="2572" spans="1:6" ht="30" x14ac:dyDescent="0.25">
      <c r="A2572" s="62" t="s">
        <v>4398</v>
      </c>
      <c r="B2572" s="96">
        <v>392613</v>
      </c>
      <c r="C2572" s="96" t="str">
        <f t="shared" si="264"/>
        <v>CPOS392613</v>
      </c>
      <c r="D2572" s="95" t="s">
        <v>2623</v>
      </c>
      <c r="E2572" s="63" t="s">
        <v>110</v>
      </c>
      <c r="F2572" s="64">
        <v>70.540000000000006</v>
      </c>
    </row>
    <row r="2573" spans="1:6" ht="30" x14ac:dyDescent="0.25">
      <c r="A2573" s="62" t="s">
        <v>4398</v>
      </c>
      <c r="B2573" s="96">
        <v>392614</v>
      </c>
      <c r="C2573" s="96" t="str">
        <f t="shared" si="264"/>
        <v>CPOS392614</v>
      </c>
      <c r="D2573" s="95" t="s">
        <v>2624</v>
      </c>
      <c r="E2573" s="63" t="s">
        <v>110</v>
      </c>
      <c r="F2573" s="64">
        <v>84.06</v>
      </c>
    </row>
    <row r="2574" spans="1:6" ht="30" x14ac:dyDescent="0.25">
      <c r="A2574" s="62" t="s">
        <v>4398</v>
      </c>
      <c r="B2574" s="96">
        <v>392615</v>
      </c>
      <c r="C2574" s="96" t="str">
        <f t="shared" si="264"/>
        <v>CPOS392615</v>
      </c>
      <c r="D2574" s="95" t="s">
        <v>2625</v>
      </c>
      <c r="E2574" s="63" t="s">
        <v>110</v>
      </c>
      <c r="F2574" s="64">
        <v>106.13</v>
      </c>
    </row>
    <row r="2575" spans="1:6" x14ac:dyDescent="0.25">
      <c r="D2575" s="94" t="s">
        <v>2626</v>
      </c>
    </row>
    <row r="2576" spans="1:6" x14ac:dyDescent="0.25">
      <c r="A2576" s="62" t="s">
        <v>4398</v>
      </c>
      <c r="B2576" s="96">
        <v>392701</v>
      </c>
      <c r="C2576" s="96" t="str">
        <f t="shared" ref="C2576:C2580" si="265">A2576&amp;B2576</f>
        <v>CPOS392701</v>
      </c>
      <c r="D2576" s="95" t="s">
        <v>2627</v>
      </c>
      <c r="E2576" s="63" t="s">
        <v>110</v>
      </c>
      <c r="F2576" s="64">
        <v>3.12</v>
      </c>
    </row>
    <row r="2577" spans="1:6" x14ac:dyDescent="0.25">
      <c r="A2577" s="62" t="s">
        <v>4398</v>
      </c>
      <c r="B2577" s="96">
        <v>392702</v>
      </c>
      <c r="C2577" s="96" t="str">
        <f t="shared" si="265"/>
        <v>CPOS392702</v>
      </c>
      <c r="D2577" s="95" t="s">
        <v>2628</v>
      </c>
      <c r="E2577" s="63" t="s">
        <v>110</v>
      </c>
      <c r="F2577" s="64">
        <v>5.42</v>
      </c>
    </row>
    <row r="2578" spans="1:6" x14ac:dyDescent="0.25">
      <c r="A2578" s="62" t="s">
        <v>4398</v>
      </c>
      <c r="B2578" s="96">
        <v>392703</v>
      </c>
      <c r="C2578" s="96" t="str">
        <f t="shared" si="265"/>
        <v>CPOS392703</v>
      </c>
      <c r="D2578" s="95" t="s">
        <v>2629</v>
      </c>
      <c r="E2578" s="63" t="s">
        <v>110</v>
      </c>
      <c r="F2578" s="64">
        <v>6.61</v>
      </c>
    </row>
    <row r="2579" spans="1:6" x14ac:dyDescent="0.25">
      <c r="A2579" s="62" t="s">
        <v>4398</v>
      </c>
      <c r="B2579" s="96">
        <v>392711</v>
      </c>
      <c r="C2579" s="96" t="str">
        <f t="shared" si="265"/>
        <v>CPOS392711</v>
      </c>
      <c r="D2579" s="95" t="s">
        <v>2630</v>
      </c>
      <c r="E2579" s="63" t="s">
        <v>110</v>
      </c>
      <c r="F2579" s="64">
        <v>8.6199999999999992</v>
      </c>
    </row>
    <row r="2580" spans="1:6" x14ac:dyDescent="0.25">
      <c r="A2580" s="62" t="s">
        <v>4398</v>
      </c>
      <c r="B2580" s="96">
        <v>392712</v>
      </c>
      <c r="C2580" s="96" t="str">
        <f t="shared" si="265"/>
        <v>CPOS392712</v>
      </c>
      <c r="D2580" s="95" t="s">
        <v>2631</v>
      </c>
      <c r="E2580" s="63" t="s">
        <v>110</v>
      </c>
      <c r="F2580" s="64">
        <v>10.9</v>
      </c>
    </row>
    <row r="2581" spans="1:6" x14ac:dyDescent="0.25">
      <c r="D2581" s="94" t="s">
        <v>2632</v>
      </c>
    </row>
    <row r="2582" spans="1:6" ht="30" x14ac:dyDescent="0.25">
      <c r="A2582" s="62" t="s">
        <v>4398</v>
      </c>
      <c r="B2582" s="96">
        <v>392901</v>
      </c>
      <c r="C2582" s="96" t="str">
        <f t="shared" ref="C2582:C2586" si="266">A2582&amp;B2582</f>
        <v>CPOS392901</v>
      </c>
      <c r="D2582" s="95" t="s">
        <v>2633</v>
      </c>
      <c r="E2582" s="63" t="s">
        <v>110</v>
      </c>
      <c r="F2582" s="64">
        <v>1.61</v>
      </c>
    </row>
    <row r="2583" spans="1:6" ht="30" x14ac:dyDescent="0.25">
      <c r="A2583" s="62" t="s">
        <v>4398</v>
      </c>
      <c r="B2583" s="96">
        <v>392902</v>
      </c>
      <c r="C2583" s="96" t="str">
        <f t="shared" si="266"/>
        <v>CPOS392902</v>
      </c>
      <c r="D2583" s="95" t="s">
        <v>2634</v>
      </c>
      <c r="E2583" s="63" t="s">
        <v>110</v>
      </c>
      <c r="F2583" s="64">
        <v>2.2999999999999998</v>
      </c>
    </row>
    <row r="2584" spans="1:6" ht="30" x14ac:dyDescent="0.25">
      <c r="A2584" s="62" t="s">
        <v>4398</v>
      </c>
      <c r="B2584" s="96">
        <v>392903</v>
      </c>
      <c r="C2584" s="96" t="str">
        <f t="shared" si="266"/>
        <v>CPOS392903</v>
      </c>
      <c r="D2584" s="95" t="s">
        <v>2635</v>
      </c>
      <c r="E2584" s="63" t="s">
        <v>110</v>
      </c>
      <c r="F2584" s="64">
        <v>3.13</v>
      </c>
    </row>
    <row r="2585" spans="1:6" ht="30" x14ac:dyDescent="0.25">
      <c r="A2585" s="62" t="s">
        <v>4398</v>
      </c>
      <c r="B2585" s="96">
        <v>392904</v>
      </c>
      <c r="C2585" s="96" t="str">
        <f t="shared" si="266"/>
        <v>CPOS392904</v>
      </c>
      <c r="D2585" s="95" t="s">
        <v>2636</v>
      </c>
      <c r="E2585" s="63" t="s">
        <v>110</v>
      </c>
      <c r="F2585" s="64">
        <v>4.12</v>
      </c>
    </row>
    <row r="2586" spans="1:6" ht="30" x14ac:dyDescent="0.25">
      <c r="A2586" s="62" t="s">
        <v>4398</v>
      </c>
      <c r="B2586" s="96">
        <v>392905</v>
      </c>
      <c r="C2586" s="96" t="str">
        <f t="shared" si="266"/>
        <v>CPOS392905</v>
      </c>
      <c r="D2586" s="95" t="s">
        <v>2637</v>
      </c>
      <c r="E2586" s="63" t="s">
        <v>110</v>
      </c>
      <c r="F2586" s="64">
        <v>6.57</v>
      </c>
    </row>
    <row r="2587" spans="1:6" x14ac:dyDescent="0.25">
      <c r="D2587" s="94" t="s">
        <v>2638</v>
      </c>
    </row>
    <row r="2588" spans="1:6" x14ac:dyDescent="0.25">
      <c r="A2588" s="62" t="s">
        <v>4398</v>
      </c>
      <c r="B2588" s="96">
        <v>393001</v>
      </c>
      <c r="C2588" s="96" t="str">
        <f>A2588&amp;B2588</f>
        <v>CPOS393001</v>
      </c>
      <c r="D2588" s="95" t="s">
        <v>2639</v>
      </c>
      <c r="E2588" s="63" t="s">
        <v>110</v>
      </c>
      <c r="F2588" s="64">
        <v>8.6300000000000008</v>
      </c>
    </row>
    <row r="2589" spans="1:6" x14ac:dyDescent="0.25">
      <c r="D2589" s="94" t="s">
        <v>2640</v>
      </c>
    </row>
    <row r="2590" spans="1:6" x14ac:dyDescent="0.25">
      <c r="D2590" s="94" t="s">
        <v>2641</v>
      </c>
    </row>
    <row r="2591" spans="1:6" x14ac:dyDescent="0.25">
      <c r="A2591" s="62" t="s">
        <v>4398</v>
      </c>
      <c r="B2591" s="96">
        <v>400102</v>
      </c>
      <c r="C2591" s="96" t="str">
        <f t="shared" ref="C2591:C2594" si="267">A2591&amp;B2591</f>
        <v>CPOS400102</v>
      </c>
      <c r="D2591" s="95" t="s">
        <v>2642</v>
      </c>
      <c r="E2591" s="63" t="s">
        <v>58</v>
      </c>
      <c r="F2591" s="64">
        <v>8.9700000000000006</v>
      </c>
    </row>
    <row r="2592" spans="1:6" x14ac:dyDescent="0.25">
      <c r="A2592" s="62" t="s">
        <v>4398</v>
      </c>
      <c r="B2592" s="96">
        <v>400104</v>
      </c>
      <c r="C2592" s="96" t="str">
        <f t="shared" si="267"/>
        <v>CPOS400104</v>
      </c>
      <c r="D2592" s="95" t="s">
        <v>2643</v>
      </c>
      <c r="E2592" s="63" t="s">
        <v>58</v>
      </c>
      <c r="F2592" s="64">
        <v>10.86</v>
      </c>
    </row>
    <row r="2593" spans="1:6" x14ac:dyDescent="0.25">
      <c r="A2593" s="62" t="s">
        <v>4398</v>
      </c>
      <c r="B2593" s="96">
        <v>400108</v>
      </c>
      <c r="C2593" s="96" t="str">
        <f t="shared" si="267"/>
        <v>CPOS400108</v>
      </c>
      <c r="D2593" s="95" t="s">
        <v>2644</v>
      </c>
      <c r="E2593" s="63" t="s">
        <v>58</v>
      </c>
      <c r="F2593" s="64">
        <v>12.05</v>
      </c>
    </row>
    <row r="2594" spans="1:6" x14ac:dyDescent="0.25">
      <c r="A2594" s="62" t="s">
        <v>4398</v>
      </c>
      <c r="B2594" s="96">
        <v>400109</v>
      </c>
      <c r="C2594" s="96" t="str">
        <f t="shared" si="267"/>
        <v>CPOS400109</v>
      </c>
      <c r="D2594" s="95" t="s">
        <v>2645</v>
      </c>
      <c r="E2594" s="63" t="s">
        <v>58</v>
      </c>
      <c r="F2594" s="64">
        <v>8.92</v>
      </c>
    </row>
    <row r="2595" spans="1:6" x14ac:dyDescent="0.25">
      <c r="D2595" s="94" t="s">
        <v>2646</v>
      </c>
    </row>
    <row r="2596" spans="1:6" x14ac:dyDescent="0.25">
      <c r="A2596" s="62" t="s">
        <v>4398</v>
      </c>
      <c r="B2596" s="96">
        <v>400201</v>
      </c>
      <c r="C2596" s="96" t="str">
        <f t="shared" ref="C2596:C2611" si="268">A2596&amp;B2596</f>
        <v>CPOS400201</v>
      </c>
      <c r="D2596" s="95" t="s">
        <v>2647</v>
      </c>
      <c r="E2596" s="63" t="s">
        <v>58</v>
      </c>
      <c r="F2596" s="64">
        <v>31.900000000000002</v>
      </c>
    </row>
    <row r="2597" spans="1:6" x14ac:dyDescent="0.25">
      <c r="A2597" s="62" t="s">
        <v>4398</v>
      </c>
      <c r="B2597" s="96">
        <v>400202</v>
      </c>
      <c r="C2597" s="96" t="str">
        <f t="shared" si="268"/>
        <v>CPOS400202</v>
      </c>
      <c r="D2597" s="95" t="s">
        <v>2648</v>
      </c>
      <c r="E2597" s="63" t="s">
        <v>58</v>
      </c>
      <c r="F2597" s="64">
        <v>17.88</v>
      </c>
    </row>
    <row r="2598" spans="1:6" x14ac:dyDescent="0.25">
      <c r="A2598" s="62" t="s">
        <v>4398</v>
      </c>
      <c r="B2598" s="96">
        <v>400204</v>
      </c>
      <c r="C2598" s="96" t="str">
        <f t="shared" si="268"/>
        <v>CPOS400204</v>
      </c>
      <c r="D2598" s="95" t="s">
        <v>2649</v>
      </c>
      <c r="E2598" s="63" t="s">
        <v>58</v>
      </c>
      <c r="F2598" s="64">
        <v>22.91</v>
      </c>
    </row>
    <row r="2599" spans="1:6" x14ac:dyDescent="0.25">
      <c r="A2599" s="62" t="s">
        <v>4398</v>
      </c>
      <c r="B2599" s="96">
        <v>400206</v>
      </c>
      <c r="C2599" s="96" t="str">
        <f t="shared" si="268"/>
        <v>CPOS400206</v>
      </c>
      <c r="D2599" s="95" t="s">
        <v>2650</v>
      </c>
      <c r="E2599" s="63" t="s">
        <v>58</v>
      </c>
      <c r="F2599" s="64">
        <v>33.090000000000003</v>
      </c>
    </row>
    <row r="2600" spans="1:6" x14ac:dyDescent="0.25">
      <c r="A2600" s="62" t="s">
        <v>4398</v>
      </c>
      <c r="B2600" s="96">
        <v>400208</v>
      </c>
      <c r="C2600" s="96" t="str">
        <f t="shared" si="268"/>
        <v>CPOS400208</v>
      </c>
      <c r="D2600" s="95" t="s">
        <v>2651</v>
      </c>
      <c r="E2600" s="63" t="s">
        <v>58</v>
      </c>
      <c r="F2600" s="64">
        <v>64.2</v>
      </c>
    </row>
    <row r="2601" spans="1:6" x14ac:dyDescent="0.25">
      <c r="A2601" s="62" t="s">
        <v>4398</v>
      </c>
      <c r="B2601" s="96">
        <v>400210</v>
      </c>
      <c r="C2601" s="96" t="str">
        <f t="shared" si="268"/>
        <v>CPOS400210</v>
      </c>
      <c r="D2601" s="95" t="s">
        <v>2652</v>
      </c>
      <c r="E2601" s="63" t="s">
        <v>58</v>
      </c>
      <c r="F2601" s="64">
        <v>98.03</v>
      </c>
    </row>
    <row r="2602" spans="1:6" x14ac:dyDescent="0.25">
      <c r="A2602" s="62" t="s">
        <v>4398</v>
      </c>
      <c r="B2602" s="96">
        <v>400212</v>
      </c>
      <c r="C2602" s="96" t="str">
        <f t="shared" si="268"/>
        <v>CPOS400212</v>
      </c>
      <c r="D2602" s="95" t="s">
        <v>2653</v>
      </c>
      <c r="E2602" s="63" t="s">
        <v>58</v>
      </c>
      <c r="F2602" s="64">
        <v>137.88999999999999</v>
      </c>
    </row>
    <row r="2603" spans="1:6" x14ac:dyDescent="0.25">
      <c r="A2603" s="62" t="s">
        <v>4398</v>
      </c>
      <c r="B2603" s="96">
        <v>400220</v>
      </c>
      <c r="C2603" s="96" t="str">
        <f t="shared" si="268"/>
        <v>CPOS400220</v>
      </c>
      <c r="D2603" s="95" t="s">
        <v>2654</v>
      </c>
      <c r="E2603" s="63" t="s">
        <v>58</v>
      </c>
      <c r="F2603" s="64">
        <v>49.06</v>
      </c>
    </row>
    <row r="2604" spans="1:6" x14ac:dyDescent="0.25">
      <c r="A2604" s="62" t="s">
        <v>4398</v>
      </c>
      <c r="B2604" s="96">
        <v>400221</v>
      </c>
      <c r="C2604" s="96" t="str">
        <f t="shared" si="268"/>
        <v>CPOS400221</v>
      </c>
      <c r="D2604" s="95" t="s">
        <v>2655</v>
      </c>
      <c r="E2604" s="63" t="s">
        <v>58</v>
      </c>
      <c r="F2604" s="64">
        <v>163.79</v>
      </c>
    </row>
    <row r="2605" spans="1:6" ht="30" x14ac:dyDescent="0.25">
      <c r="A2605" s="62" t="s">
        <v>4398</v>
      </c>
      <c r="B2605" s="96">
        <v>400244</v>
      </c>
      <c r="C2605" s="96" t="str">
        <f t="shared" si="268"/>
        <v>CPOS400244</v>
      </c>
      <c r="D2605" s="95" t="s">
        <v>2656</v>
      </c>
      <c r="E2605" s="63" t="s">
        <v>58</v>
      </c>
      <c r="F2605" s="64">
        <v>122.64</v>
      </c>
    </row>
    <row r="2606" spans="1:6" ht="30" x14ac:dyDescent="0.25">
      <c r="A2606" s="62" t="s">
        <v>4398</v>
      </c>
      <c r="B2606" s="96">
        <v>400245</v>
      </c>
      <c r="C2606" s="96" t="str">
        <f t="shared" si="268"/>
        <v>CPOS400245</v>
      </c>
      <c r="D2606" s="95" t="s">
        <v>2657</v>
      </c>
      <c r="E2606" s="63" t="s">
        <v>58</v>
      </c>
      <c r="F2606" s="64">
        <v>150.61000000000001</v>
      </c>
    </row>
    <row r="2607" spans="1:6" ht="30" x14ac:dyDescent="0.25">
      <c r="A2607" s="62" t="s">
        <v>4398</v>
      </c>
      <c r="B2607" s="96">
        <v>400246</v>
      </c>
      <c r="C2607" s="96" t="str">
        <f t="shared" si="268"/>
        <v>CPOS400246</v>
      </c>
      <c r="D2607" s="95" t="s">
        <v>2658</v>
      </c>
      <c r="E2607" s="63" t="s">
        <v>58</v>
      </c>
      <c r="F2607" s="64">
        <v>205.75</v>
      </c>
    </row>
    <row r="2608" spans="1:6" ht="30" x14ac:dyDescent="0.25">
      <c r="A2608" s="62" t="s">
        <v>4398</v>
      </c>
      <c r="B2608" s="96">
        <v>400247</v>
      </c>
      <c r="C2608" s="96" t="str">
        <f t="shared" si="268"/>
        <v>CPOS400247</v>
      </c>
      <c r="D2608" s="95" t="s">
        <v>2659</v>
      </c>
      <c r="E2608" s="63" t="s">
        <v>58</v>
      </c>
      <c r="F2608" s="64">
        <v>441.76</v>
      </c>
    </row>
    <row r="2609" spans="1:6" x14ac:dyDescent="0.25">
      <c r="A2609" s="62" t="s">
        <v>4398</v>
      </c>
      <c r="B2609" s="96">
        <v>400260</v>
      </c>
      <c r="C2609" s="96" t="str">
        <f t="shared" si="268"/>
        <v>CPOS400260</v>
      </c>
      <c r="D2609" s="95" t="s">
        <v>2660</v>
      </c>
      <c r="E2609" s="63" t="s">
        <v>58</v>
      </c>
      <c r="F2609" s="64">
        <v>21.38</v>
      </c>
    </row>
    <row r="2610" spans="1:6" x14ac:dyDescent="0.25">
      <c r="A2610" s="62" t="s">
        <v>4398</v>
      </c>
      <c r="B2610" s="96">
        <v>400261</v>
      </c>
      <c r="C2610" s="96" t="str">
        <f t="shared" si="268"/>
        <v>CPOS400261</v>
      </c>
      <c r="D2610" s="95" t="s">
        <v>2661</v>
      </c>
      <c r="E2610" s="63" t="s">
        <v>58</v>
      </c>
      <c r="F2610" s="64">
        <v>56.46</v>
      </c>
    </row>
    <row r="2611" spans="1:6" x14ac:dyDescent="0.25">
      <c r="A2611" s="62" t="s">
        <v>4398</v>
      </c>
      <c r="B2611" s="96">
        <v>400262</v>
      </c>
      <c r="C2611" s="96" t="str">
        <f t="shared" si="268"/>
        <v>CPOS400262</v>
      </c>
      <c r="D2611" s="95" t="s">
        <v>2662</v>
      </c>
      <c r="E2611" s="63" t="s">
        <v>58</v>
      </c>
      <c r="F2611" s="64">
        <v>123.49000000000001</v>
      </c>
    </row>
    <row r="2612" spans="1:6" x14ac:dyDescent="0.25">
      <c r="D2612" s="94" t="s">
        <v>2663</v>
      </c>
    </row>
    <row r="2613" spans="1:6" x14ac:dyDescent="0.25">
      <c r="A2613" s="62" t="s">
        <v>4398</v>
      </c>
      <c r="B2613" s="96">
        <v>400408</v>
      </c>
      <c r="C2613" s="96" t="str">
        <f t="shared" ref="C2613:C2627" si="269">A2613&amp;B2613</f>
        <v>CPOS400408</v>
      </c>
      <c r="D2613" s="95" t="s">
        <v>2664</v>
      </c>
      <c r="E2613" s="63" t="s">
        <v>117</v>
      </c>
      <c r="F2613" s="64">
        <v>18.02</v>
      </c>
    </row>
    <row r="2614" spans="1:6" x14ac:dyDescent="0.25">
      <c r="A2614" s="62" t="s">
        <v>4398</v>
      </c>
      <c r="B2614" s="96">
        <v>400409</v>
      </c>
      <c r="C2614" s="96" t="str">
        <f t="shared" si="269"/>
        <v>CPOS400409</v>
      </c>
      <c r="D2614" s="95" t="s">
        <v>2665</v>
      </c>
      <c r="E2614" s="63" t="s">
        <v>58</v>
      </c>
      <c r="F2614" s="64">
        <v>21.41</v>
      </c>
    </row>
    <row r="2615" spans="1:6" x14ac:dyDescent="0.25">
      <c r="A2615" s="62" t="s">
        <v>4398</v>
      </c>
      <c r="B2615" s="96">
        <v>400411</v>
      </c>
      <c r="C2615" s="96" t="str">
        <f t="shared" si="269"/>
        <v>CPOS400411</v>
      </c>
      <c r="D2615" s="95" t="s">
        <v>2666</v>
      </c>
      <c r="E2615" s="63" t="s">
        <v>117</v>
      </c>
      <c r="F2615" s="64">
        <v>146.41999999999999</v>
      </c>
    </row>
    <row r="2616" spans="1:6" x14ac:dyDescent="0.25">
      <c r="A2616" s="62" t="s">
        <v>4398</v>
      </c>
      <c r="B2616" s="96">
        <v>400414</v>
      </c>
      <c r="C2616" s="96" t="str">
        <f t="shared" si="269"/>
        <v>CPOS400414</v>
      </c>
      <c r="D2616" s="95" t="s">
        <v>2667</v>
      </c>
      <c r="E2616" s="63" t="s">
        <v>117</v>
      </c>
      <c r="F2616" s="64">
        <v>137.72999999999999</v>
      </c>
    </row>
    <row r="2617" spans="1:6" x14ac:dyDescent="0.25">
      <c r="A2617" s="62" t="s">
        <v>4398</v>
      </c>
      <c r="B2617" s="96">
        <v>400423</v>
      </c>
      <c r="C2617" s="96" t="str">
        <f t="shared" si="269"/>
        <v>CPOS400423</v>
      </c>
      <c r="D2617" s="95" t="s">
        <v>2668</v>
      </c>
      <c r="E2617" s="63" t="s">
        <v>117</v>
      </c>
      <c r="F2617" s="64">
        <v>18.34</v>
      </c>
    </row>
    <row r="2618" spans="1:6" x14ac:dyDescent="0.25">
      <c r="A2618" s="62" t="s">
        <v>4398</v>
      </c>
      <c r="B2618" s="96">
        <v>400432</v>
      </c>
      <c r="C2618" s="96" t="str">
        <f t="shared" si="269"/>
        <v>CPOS400432</v>
      </c>
      <c r="D2618" s="95" t="s">
        <v>2669</v>
      </c>
      <c r="E2618" s="63" t="s">
        <v>117</v>
      </c>
      <c r="F2618" s="64">
        <v>537.87</v>
      </c>
    </row>
    <row r="2619" spans="1:6" x14ac:dyDescent="0.25">
      <c r="A2619" s="62" t="s">
        <v>4398</v>
      </c>
      <c r="B2619" s="96">
        <v>400433</v>
      </c>
      <c r="C2619" s="96" t="str">
        <f t="shared" si="269"/>
        <v>CPOS400433</v>
      </c>
      <c r="D2619" s="95" t="s">
        <v>2670</v>
      </c>
      <c r="E2619" s="63" t="s">
        <v>117</v>
      </c>
      <c r="F2619" s="64">
        <v>275.07</v>
      </c>
    </row>
    <row r="2620" spans="1:6" x14ac:dyDescent="0.25">
      <c r="A2620" s="62" t="s">
        <v>4398</v>
      </c>
      <c r="B2620" s="96">
        <v>400434</v>
      </c>
      <c r="C2620" s="96" t="str">
        <f t="shared" si="269"/>
        <v>CPOS400434</v>
      </c>
      <c r="D2620" s="95" t="s">
        <v>2671</v>
      </c>
      <c r="E2620" s="63" t="s">
        <v>117</v>
      </c>
      <c r="F2620" s="64">
        <v>162.85</v>
      </c>
    </row>
    <row r="2621" spans="1:6" x14ac:dyDescent="0.25">
      <c r="A2621" s="62" t="s">
        <v>4398</v>
      </c>
      <c r="B2621" s="96">
        <v>400435</v>
      </c>
      <c r="C2621" s="96" t="str">
        <f t="shared" si="269"/>
        <v>CPOS400435</v>
      </c>
      <c r="D2621" s="95" t="s">
        <v>2672</v>
      </c>
      <c r="E2621" s="63" t="s">
        <v>58</v>
      </c>
      <c r="F2621" s="64">
        <v>37.94</v>
      </c>
    </row>
    <row r="2622" spans="1:6" ht="30" x14ac:dyDescent="0.25">
      <c r="A2622" s="62" t="s">
        <v>4398</v>
      </c>
      <c r="B2622" s="96">
        <v>400439</v>
      </c>
      <c r="C2622" s="96" t="str">
        <f t="shared" si="269"/>
        <v>CPOS400439</v>
      </c>
      <c r="D2622" s="95" t="s">
        <v>2673</v>
      </c>
      <c r="E2622" s="63" t="s">
        <v>58</v>
      </c>
      <c r="F2622" s="64">
        <v>14.1</v>
      </c>
    </row>
    <row r="2623" spans="1:6" x14ac:dyDescent="0.25">
      <c r="A2623" s="62" t="s">
        <v>4398</v>
      </c>
      <c r="B2623" s="96">
        <v>400445</v>
      </c>
      <c r="C2623" s="96" t="str">
        <f t="shared" si="269"/>
        <v>CPOS400445</v>
      </c>
      <c r="D2623" s="95" t="s">
        <v>2674</v>
      </c>
      <c r="E2623" s="63" t="s">
        <v>117</v>
      </c>
      <c r="F2623" s="64">
        <v>15.1</v>
      </c>
    </row>
    <row r="2624" spans="1:6" x14ac:dyDescent="0.25">
      <c r="A2624" s="62" t="s">
        <v>4398</v>
      </c>
      <c r="B2624" s="96">
        <v>400446</v>
      </c>
      <c r="C2624" s="96" t="str">
        <f t="shared" si="269"/>
        <v>CPOS400446</v>
      </c>
      <c r="D2624" s="95" t="s">
        <v>2675</v>
      </c>
      <c r="E2624" s="63" t="s">
        <v>117</v>
      </c>
      <c r="F2624" s="64">
        <v>17.82</v>
      </c>
    </row>
    <row r="2625" spans="1:6" x14ac:dyDescent="0.25">
      <c r="A2625" s="62" t="s">
        <v>4398</v>
      </c>
      <c r="B2625" s="96">
        <v>400447</v>
      </c>
      <c r="C2625" s="96" t="str">
        <f t="shared" si="269"/>
        <v>CPOS400447</v>
      </c>
      <c r="D2625" s="95" t="s">
        <v>2676</v>
      </c>
      <c r="E2625" s="63" t="s">
        <v>117</v>
      </c>
      <c r="F2625" s="64">
        <v>21.56</v>
      </c>
    </row>
    <row r="2626" spans="1:6" x14ac:dyDescent="0.25">
      <c r="A2626" s="62" t="s">
        <v>4398</v>
      </c>
      <c r="B2626" s="96">
        <v>400448</v>
      </c>
      <c r="C2626" s="96" t="str">
        <f t="shared" si="269"/>
        <v>CPOS400448</v>
      </c>
      <c r="D2626" s="95" t="s">
        <v>2677</v>
      </c>
      <c r="E2626" s="63" t="s">
        <v>117</v>
      </c>
      <c r="F2626" s="64">
        <v>19.45</v>
      </c>
    </row>
    <row r="2627" spans="1:6" x14ac:dyDescent="0.25">
      <c r="A2627" s="62" t="s">
        <v>4398</v>
      </c>
      <c r="B2627" s="96">
        <v>400449</v>
      </c>
      <c r="C2627" s="96" t="str">
        <f t="shared" si="269"/>
        <v>CPOS400449</v>
      </c>
      <c r="D2627" s="95" t="s">
        <v>2678</v>
      </c>
      <c r="E2627" s="63" t="s">
        <v>117</v>
      </c>
      <c r="F2627" s="64">
        <v>23.36</v>
      </c>
    </row>
    <row r="2628" spans="1:6" x14ac:dyDescent="0.25">
      <c r="D2628" s="94" t="s">
        <v>2679</v>
      </c>
    </row>
    <row r="2629" spans="1:6" x14ac:dyDescent="0.25">
      <c r="A2629" s="62" t="s">
        <v>4398</v>
      </c>
      <c r="B2629" s="96">
        <v>400502</v>
      </c>
      <c r="C2629" s="96" t="str">
        <f t="shared" ref="C2629:C2642" si="270">A2629&amp;B2629</f>
        <v>CPOS400502</v>
      </c>
      <c r="D2629" s="95" t="s">
        <v>2680</v>
      </c>
      <c r="E2629" s="63" t="s">
        <v>117</v>
      </c>
      <c r="F2629" s="64">
        <v>14.13</v>
      </c>
    </row>
    <row r="2630" spans="1:6" x14ac:dyDescent="0.25">
      <c r="A2630" s="62" t="s">
        <v>4398</v>
      </c>
      <c r="B2630" s="96">
        <v>400504</v>
      </c>
      <c r="C2630" s="96" t="str">
        <f t="shared" si="270"/>
        <v>CPOS400504</v>
      </c>
      <c r="D2630" s="95" t="s">
        <v>2681</v>
      </c>
      <c r="E2630" s="63" t="s">
        <v>117</v>
      </c>
      <c r="F2630" s="64">
        <v>19.18</v>
      </c>
    </row>
    <row r="2631" spans="1:6" x14ac:dyDescent="0.25">
      <c r="A2631" s="62" t="s">
        <v>4398</v>
      </c>
      <c r="B2631" s="96">
        <v>400506</v>
      </c>
      <c r="C2631" s="96" t="str">
        <f t="shared" si="270"/>
        <v>CPOS400506</v>
      </c>
      <c r="D2631" s="95" t="s">
        <v>2682</v>
      </c>
      <c r="E2631" s="63" t="s">
        <v>117</v>
      </c>
      <c r="F2631" s="64">
        <v>27.43</v>
      </c>
    </row>
    <row r="2632" spans="1:6" x14ac:dyDescent="0.25">
      <c r="A2632" s="62" t="s">
        <v>4398</v>
      </c>
      <c r="B2632" s="96">
        <v>400508</v>
      </c>
      <c r="C2632" s="96" t="str">
        <f t="shared" si="270"/>
        <v>CPOS400508</v>
      </c>
      <c r="D2632" s="95" t="s">
        <v>2683</v>
      </c>
      <c r="E2632" s="63" t="s">
        <v>117</v>
      </c>
      <c r="F2632" s="64">
        <v>14.08</v>
      </c>
    </row>
    <row r="2633" spans="1:6" x14ac:dyDescent="0.25">
      <c r="A2633" s="62" t="s">
        <v>4398</v>
      </c>
      <c r="B2633" s="96">
        <v>400510</v>
      </c>
      <c r="C2633" s="96" t="str">
        <f t="shared" si="270"/>
        <v>CPOS400510</v>
      </c>
      <c r="D2633" s="95" t="s">
        <v>2684</v>
      </c>
      <c r="E2633" s="63" t="s">
        <v>117</v>
      </c>
      <c r="F2633" s="64">
        <v>23.39</v>
      </c>
    </row>
    <row r="2634" spans="1:6" x14ac:dyDescent="0.25">
      <c r="A2634" s="62" t="s">
        <v>4398</v>
      </c>
      <c r="B2634" s="96">
        <v>400512</v>
      </c>
      <c r="C2634" s="96" t="str">
        <f t="shared" si="270"/>
        <v>CPOS400512</v>
      </c>
      <c r="D2634" s="95" t="s">
        <v>2685</v>
      </c>
      <c r="E2634" s="63" t="s">
        <v>117</v>
      </c>
      <c r="F2634" s="64">
        <v>18.68</v>
      </c>
    </row>
    <row r="2635" spans="1:6" x14ac:dyDescent="0.25">
      <c r="A2635" s="62" t="s">
        <v>4398</v>
      </c>
      <c r="B2635" s="96">
        <v>400514</v>
      </c>
      <c r="C2635" s="96" t="str">
        <f t="shared" si="270"/>
        <v>CPOS400514</v>
      </c>
      <c r="D2635" s="95" t="s">
        <v>2686</v>
      </c>
      <c r="E2635" s="63" t="s">
        <v>117</v>
      </c>
      <c r="F2635" s="64">
        <v>23.93</v>
      </c>
    </row>
    <row r="2636" spans="1:6" x14ac:dyDescent="0.25">
      <c r="A2636" s="62" t="s">
        <v>4398</v>
      </c>
      <c r="B2636" s="96">
        <v>400516</v>
      </c>
      <c r="C2636" s="96" t="str">
        <f t="shared" si="270"/>
        <v>CPOS400516</v>
      </c>
      <c r="D2636" s="95" t="s">
        <v>2687</v>
      </c>
      <c r="E2636" s="63" t="s">
        <v>117</v>
      </c>
      <c r="F2636" s="64">
        <v>29.240000000000002</v>
      </c>
    </row>
    <row r="2637" spans="1:6" x14ac:dyDescent="0.25">
      <c r="A2637" s="62" t="s">
        <v>4398</v>
      </c>
      <c r="B2637" s="96">
        <v>400517</v>
      </c>
      <c r="C2637" s="96" t="str">
        <f t="shared" si="270"/>
        <v>CPOS400517</v>
      </c>
      <c r="D2637" s="95" t="s">
        <v>2688</v>
      </c>
      <c r="E2637" s="63" t="s">
        <v>117</v>
      </c>
      <c r="F2637" s="64">
        <v>32.51</v>
      </c>
    </row>
    <row r="2638" spans="1:6" x14ac:dyDescent="0.25">
      <c r="A2638" s="62" t="s">
        <v>4398</v>
      </c>
      <c r="B2638" s="96">
        <v>400518</v>
      </c>
      <c r="C2638" s="96" t="str">
        <f t="shared" si="270"/>
        <v>CPOS400518</v>
      </c>
      <c r="D2638" s="95" t="s">
        <v>2689</v>
      </c>
      <c r="E2638" s="63" t="s">
        <v>117</v>
      </c>
      <c r="F2638" s="64">
        <v>24.91</v>
      </c>
    </row>
    <row r="2639" spans="1:6" x14ac:dyDescent="0.25">
      <c r="A2639" s="62" t="s">
        <v>4398</v>
      </c>
      <c r="B2639" s="96">
        <v>400532</v>
      </c>
      <c r="C2639" s="96" t="str">
        <f t="shared" si="270"/>
        <v>CPOS400532</v>
      </c>
      <c r="D2639" s="95" t="s">
        <v>2690</v>
      </c>
      <c r="E2639" s="63" t="s">
        <v>117</v>
      </c>
      <c r="F2639" s="64">
        <v>14.23</v>
      </c>
    </row>
    <row r="2640" spans="1:6" x14ac:dyDescent="0.25">
      <c r="A2640" s="62" t="s">
        <v>4398</v>
      </c>
      <c r="B2640" s="96">
        <v>400533</v>
      </c>
      <c r="C2640" s="96" t="str">
        <f t="shared" si="270"/>
        <v>CPOS400533</v>
      </c>
      <c r="D2640" s="95" t="s">
        <v>2691</v>
      </c>
      <c r="E2640" s="63" t="s">
        <v>117</v>
      </c>
      <c r="F2640" s="64">
        <v>49.39</v>
      </c>
    </row>
    <row r="2641" spans="1:6" x14ac:dyDescent="0.25">
      <c r="A2641" s="62" t="s">
        <v>4398</v>
      </c>
      <c r="B2641" s="96">
        <v>400534</v>
      </c>
      <c r="C2641" s="96" t="str">
        <f t="shared" si="270"/>
        <v>CPOS400534</v>
      </c>
      <c r="D2641" s="95" t="s">
        <v>2692</v>
      </c>
      <c r="E2641" s="63" t="s">
        <v>58</v>
      </c>
      <c r="F2641" s="64">
        <v>33.86</v>
      </c>
    </row>
    <row r="2642" spans="1:6" x14ac:dyDescent="0.25">
      <c r="A2642" s="62" t="s">
        <v>4398</v>
      </c>
      <c r="B2642" s="96">
        <v>400535</v>
      </c>
      <c r="C2642" s="96" t="str">
        <f t="shared" si="270"/>
        <v>CPOS400535</v>
      </c>
      <c r="D2642" s="95" t="s">
        <v>2693</v>
      </c>
      <c r="E2642" s="63" t="s">
        <v>58</v>
      </c>
      <c r="F2642" s="64">
        <v>67.16</v>
      </c>
    </row>
    <row r="2643" spans="1:6" x14ac:dyDescent="0.25">
      <c r="D2643" s="94" t="s">
        <v>2694</v>
      </c>
    </row>
    <row r="2644" spans="1:6" x14ac:dyDescent="0.25">
      <c r="A2644" s="62" t="s">
        <v>4398</v>
      </c>
      <c r="B2644" s="96">
        <v>400602</v>
      </c>
      <c r="C2644" s="96" t="str">
        <f t="shared" ref="C2644:C2654" si="271">A2644&amp;B2644</f>
        <v>CPOS400602</v>
      </c>
      <c r="D2644" s="95" t="s">
        <v>2695</v>
      </c>
      <c r="E2644" s="63" t="s">
        <v>117</v>
      </c>
      <c r="F2644" s="64">
        <v>27.14</v>
      </c>
    </row>
    <row r="2645" spans="1:6" x14ac:dyDescent="0.25">
      <c r="A2645" s="62" t="s">
        <v>4398</v>
      </c>
      <c r="B2645" s="96">
        <v>400604</v>
      </c>
      <c r="C2645" s="96" t="str">
        <f t="shared" si="271"/>
        <v>CPOS400604</v>
      </c>
      <c r="D2645" s="95" t="s">
        <v>2696</v>
      </c>
      <c r="E2645" s="63" t="s">
        <v>117</v>
      </c>
      <c r="F2645" s="64">
        <v>30.17</v>
      </c>
    </row>
    <row r="2646" spans="1:6" x14ac:dyDescent="0.25">
      <c r="A2646" s="62" t="s">
        <v>4398</v>
      </c>
      <c r="B2646" s="96">
        <v>400606</v>
      </c>
      <c r="C2646" s="96" t="str">
        <f t="shared" si="271"/>
        <v>CPOS400606</v>
      </c>
      <c r="D2646" s="95" t="s">
        <v>2697</v>
      </c>
      <c r="E2646" s="63" t="s">
        <v>117</v>
      </c>
      <c r="F2646" s="64">
        <v>36.36</v>
      </c>
    </row>
    <row r="2647" spans="1:6" x14ac:dyDescent="0.25">
      <c r="A2647" s="62" t="s">
        <v>4398</v>
      </c>
      <c r="B2647" s="96">
        <v>400608</v>
      </c>
      <c r="C2647" s="96" t="str">
        <f t="shared" si="271"/>
        <v>CPOS400608</v>
      </c>
      <c r="D2647" s="95" t="s">
        <v>2698</v>
      </c>
      <c r="E2647" s="63" t="s">
        <v>117</v>
      </c>
      <c r="F2647" s="64">
        <v>40.94</v>
      </c>
    </row>
    <row r="2648" spans="1:6" x14ac:dyDescent="0.25">
      <c r="A2648" s="62" t="s">
        <v>4398</v>
      </c>
      <c r="B2648" s="96">
        <v>400610</v>
      </c>
      <c r="C2648" s="96" t="str">
        <f t="shared" si="271"/>
        <v>CPOS400610</v>
      </c>
      <c r="D2648" s="95" t="s">
        <v>2699</v>
      </c>
      <c r="E2648" s="63" t="s">
        <v>117</v>
      </c>
      <c r="F2648" s="64">
        <v>55.050000000000004</v>
      </c>
    </row>
    <row r="2649" spans="1:6" x14ac:dyDescent="0.25">
      <c r="A2649" s="62" t="s">
        <v>4398</v>
      </c>
      <c r="B2649" s="96">
        <v>400612</v>
      </c>
      <c r="C2649" s="96" t="str">
        <f t="shared" si="271"/>
        <v>CPOS400612</v>
      </c>
      <c r="D2649" s="95" t="s">
        <v>2700</v>
      </c>
      <c r="E2649" s="63" t="s">
        <v>117</v>
      </c>
      <c r="F2649" s="64">
        <v>75.790000000000006</v>
      </c>
    </row>
    <row r="2650" spans="1:6" x14ac:dyDescent="0.25">
      <c r="A2650" s="62" t="s">
        <v>4398</v>
      </c>
      <c r="B2650" s="96">
        <v>400614</v>
      </c>
      <c r="C2650" s="96" t="str">
        <f t="shared" si="271"/>
        <v>CPOS400614</v>
      </c>
      <c r="D2650" s="95" t="s">
        <v>2701</v>
      </c>
      <c r="E2650" s="63" t="s">
        <v>117</v>
      </c>
      <c r="F2650" s="64">
        <v>121.06</v>
      </c>
    </row>
    <row r="2651" spans="1:6" x14ac:dyDescent="0.25">
      <c r="A2651" s="62" t="s">
        <v>4398</v>
      </c>
      <c r="B2651" s="96">
        <v>400616</v>
      </c>
      <c r="C2651" s="96" t="str">
        <f t="shared" si="271"/>
        <v>CPOS400616</v>
      </c>
      <c r="D2651" s="95" t="s">
        <v>2702</v>
      </c>
      <c r="E2651" s="63" t="s">
        <v>117</v>
      </c>
      <c r="F2651" s="64">
        <v>180.23</v>
      </c>
    </row>
    <row r="2652" spans="1:6" x14ac:dyDescent="0.25">
      <c r="A2652" s="62" t="s">
        <v>4398</v>
      </c>
      <c r="B2652" s="96">
        <v>400617</v>
      </c>
      <c r="C2652" s="96" t="str">
        <f t="shared" si="271"/>
        <v>CPOS400617</v>
      </c>
      <c r="D2652" s="95" t="s">
        <v>2703</v>
      </c>
      <c r="E2652" s="63" t="s">
        <v>117</v>
      </c>
      <c r="F2652" s="64">
        <v>215.75</v>
      </c>
    </row>
    <row r="2653" spans="1:6" x14ac:dyDescent="0.25">
      <c r="A2653" s="62" t="s">
        <v>4398</v>
      </c>
      <c r="B2653" s="96">
        <v>400650</v>
      </c>
      <c r="C2653" s="96" t="str">
        <f t="shared" si="271"/>
        <v>CPOS400650</v>
      </c>
      <c r="D2653" s="95" t="s">
        <v>2704</v>
      </c>
      <c r="E2653" s="63" t="s">
        <v>117</v>
      </c>
      <c r="F2653" s="64">
        <v>21.67</v>
      </c>
    </row>
    <row r="2654" spans="1:6" x14ac:dyDescent="0.25">
      <c r="A2654" s="62" t="s">
        <v>4398</v>
      </c>
      <c r="B2654" s="96">
        <v>400651</v>
      </c>
      <c r="C2654" s="96" t="str">
        <f t="shared" si="271"/>
        <v>CPOS400651</v>
      </c>
      <c r="D2654" s="95" t="s">
        <v>2705</v>
      </c>
      <c r="E2654" s="63" t="s">
        <v>117</v>
      </c>
      <c r="F2654" s="64">
        <v>24.12</v>
      </c>
    </row>
    <row r="2655" spans="1:6" x14ac:dyDescent="0.25">
      <c r="D2655" s="94" t="s">
        <v>2706</v>
      </c>
    </row>
    <row r="2656" spans="1:6" x14ac:dyDescent="0.25">
      <c r="A2656" s="62" t="s">
        <v>4398</v>
      </c>
      <c r="B2656" s="96">
        <v>400701</v>
      </c>
      <c r="C2656" s="96" t="str">
        <f t="shared" ref="C2656:C2658" si="272">A2656&amp;B2656</f>
        <v>CPOS400701</v>
      </c>
      <c r="D2656" s="95" t="s">
        <v>2707</v>
      </c>
      <c r="E2656" s="63" t="s">
        <v>58</v>
      </c>
      <c r="F2656" s="64">
        <v>8.8699999999999992</v>
      </c>
    </row>
    <row r="2657" spans="1:6" x14ac:dyDescent="0.25">
      <c r="A2657" s="62" t="s">
        <v>4398</v>
      </c>
      <c r="B2657" s="96">
        <v>400702</v>
      </c>
      <c r="C2657" s="96" t="str">
        <f t="shared" si="272"/>
        <v>CPOS400702</v>
      </c>
      <c r="D2657" s="95" t="s">
        <v>2708</v>
      </c>
      <c r="E2657" s="63" t="s">
        <v>58</v>
      </c>
      <c r="F2657" s="64">
        <v>10.5</v>
      </c>
    </row>
    <row r="2658" spans="1:6" x14ac:dyDescent="0.25">
      <c r="A2658" s="62" t="s">
        <v>4398</v>
      </c>
      <c r="B2658" s="96">
        <v>400704</v>
      </c>
      <c r="C2658" s="96" t="str">
        <f t="shared" si="272"/>
        <v>CPOS400704</v>
      </c>
      <c r="D2658" s="95" t="s">
        <v>2709</v>
      </c>
      <c r="E2658" s="63" t="s">
        <v>58</v>
      </c>
      <c r="F2658" s="64">
        <v>10.57</v>
      </c>
    </row>
    <row r="2659" spans="1:6" x14ac:dyDescent="0.25">
      <c r="D2659" s="94" t="s">
        <v>2710</v>
      </c>
    </row>
    <row r="2660" spans="1:6" x14ac:dyDescent="0.25">
      <c r="A2660" s="62" t="s">
        <v>4398</v>
      </c>
      <c r="B2660" s="96">
        <v>401002</v>
      </c>
      <c r="C2660" s="96" t="str">
        <f t="shared" ref="C2660:C2674" si="273">A2660&amp;B2660</f>
        <v>CPOS401002</v>
      </c>
      <c r="D2660" s="95" t="s">
        <v>2711</v>
      </c>
      <c r="E2660" s="63" t="s">
        <v>58</v>
      </c>
      <c r="F2660" s="64">
        <v>93.61</v>
      </c>
    </row>
    <row r="2661" spans="1:6" x14ac:dyDescent="0.25">
      <c r="A2661" s="62" t="s">
        <v>4398</v>
      </c>
      <c r="B2661" s="96">
        <v>401003</v>
      </c>
      <c r="C2661" s="96" t="str">
        <f t="shared" si="273"/>
        <v>CPOS401003</v>
      </c>
      <c r="D2661" s="95" t="s">
        <v>2712</v>
      </c>
      <c r="E2661" s="63" t="s">
        <v>58</v>
      </c>
      <c r="F2661" s="64">
        <v>129.36000000000001</v>
      </c>
    </row>
    <row r="2662" spans="1:6" x14ac:dyDescent="0.25">
      <c r="A2662" s="62" t="s">
        <v>4398</v>
      </c>
      <c r="B2662" s="96">
        <v>401004</v>
      </c>
      <c r="C2662" s="96" t="str">
        <f t="shared" si="273"/>
        <v>CPOS401004</v>
      </c>
      <c r="D2662" s="95" t="s">
        <v>2713</v>
      </c>
      <c r="E2662" s="63" t="s">
        <v>58</v>
      </c>
      <c r="F2662" s="64">
        <v>106.05</v>
      </c>
    </row>
    <row r="2663" spans="1:6" x14ac:dyDescent="0.25">
      <c r="A2663" s="62" t="s">
        <v>4398</v>
      </c>
      <c r="B2663" s="96">
        <v>401005</v>
      </c>
      <c r="C2663" s="96" t="str">
        <f t="shared" si="273"/>
        <v>CPOS401005</v>
      </c>
      <c r="D2663" s="95" t="s">
        <v>2714</v>
      </c>
      <c r="E2663" s="63" t="s">
        <v>58</v>
      </c>
      <c r="F2663" s="64">
        <v>1234.2</v>
      </c>
    </row>
    <row r="2664" spans="1:6" x14ac:dyDescent="0.25">
      <c r="A2664" s="62" t="s">
        <v>4398</v>
      </c>
      <c r="B2664" s="96">
        <v>401006</v>
      </c>
      <c r="C2664" s="96" t="str">
        <f t="shared" si="273"/>
        <v>CPOS401006</v>
      </c>
      <c r="D2664" s="95" t="s">
        <v>2715</v>
      </c>
      <c r="E2664" s="63" t="s">
        <v>58</v>
      </c>
      <c r="F2664" s="64">
        <v>134.30000000000001</v>
      </c>
    </row>
    <row r="2665" spans="1:6" x14ac:dyDescent="0.25">
      <c r="A2665" s="62" t="s">
        <v>4398</v>
      </c>
      <c r="B2665" s="96">
        <v>401008</v>
      </c>
      <c r="C2665" s="96" t="str">
        <f t="shared" si="273"/>
        <v>CPOS401008</v>
      </c>
      <c r="D2665" s="95" t="s">
        <v>2716</v>
      </c>
      <c r="E2665" s="63" t="s">
        <v>58</v>
      </c>
      <c r="F2665" s="64">
        <v>177.20000000000002</v>
      </c>
    </row>
    <row r="2666" spans="1:6" x14ac:dyDescent="0.25">
      <c r="A2666" s="62" t="s">
        <v>4398</v>
      </c>
      <c r="B2666" s="96">
        <v>401010</v>
      </c>
      <c r="C2666" s="96" t="str">
        <f t="shared" si="273"/>
        <v>CPOS401010</v>
      </c>
      <c r="D2666" s="95" t="s">
        <v>2717</v>
      </c>
      <c r="E2666" s="63" t="s">
        <v>58</v>
      </c>
      <c r="F2666" s="64">
        <v>252.05</v>
      </c>
    </row>
    <row r="2667" spans="1:6" x14ac:dyDescent="0.25">
      <c r="A2667" s="62" t="s">
        <v>4398</v>
      </c>
      <c r="B2667" s="96">
        <v>401011</v>
      </c>
      <c r="C2667" s="96" t="str">
        <f t="shared" si="273"/>
        <v>CPOS401011</v>
      </c>
      <c r="D2667" s="95" t="s">
        <v>2718</v>
      </c>
      <c r="E2667" s="63" t="s">
        <v>58</v>
      </c>
      <c r="F2667" s="64">
        <v>405.78000000000003</v>
      </c>
    </row>
    <row r="2668" spans="1:6" x14ac:dyDescent="0.25">
      <c r="A2668" s="62" t="s">
        <v>4398</v>
      </c>
      <c r="B2668" s="96">
        <v>401012</v>
      </c>
      <c r="C2668" s="96" t="str">
        <f t="shared" si="273"/>
        <v>CPOS401012</v>
      </c>
      <c r="D2668" s="95" t="s">
        <v>2719</v>
      </c>
      <c r="E2668" s="63" t="s">
        <v>58</v>
      </c>
      <c r="F2668" s="64">
        <v>329.49</v>
      </c>
    </row>
    <row r="2669" spans="1:6" x14ac:dyDescent="0.25">
      <c r="A2669" s="62" t="s">
        <v>4398</v>
      </c>
      <c r="B2669" s="96">
        <v>401013</v>
      </c>
      <c r="C2669" s="96" t="str">
        <f t="shared" si="273"/>
        <v>CPOS401013</v>
      </c>
      <c r="D2669" s="95" t="s">
        <v>2720</v>
      </c>
      <c r="E2669" s="63" t="s">
        <v>58</v>
      </c>
      <c r="F2669" s="64">
        <v>497.31</v>
      </c>
    </row>
    <row r="2670" spans="1:6" x14ac:dyDescent="0.25">
      <c r="A2670" s="62" t="s">
        <v>4398</v>
      </c>
      <c r="B2670" s="96">
        <v>401014</v>
      </c>
      <c r="C2670" s="96" t="str">
        <f t="shared" si="273"/>
        <v>CPOS401014</v>
      </c>
      <c r="D2670" s="95" t="s">
        <v>2721</v>
      </c>
      <c r="E2670" s="63" t="s">
        <v>58</v>
      </c>
      <c r="F2670" s="64">
        <v>1496.1200000000001</v>
      </c>
    </row>
    <row r="2671" spans="1:6" x14ac:dyDescent="0.25">
      <c r="A2671" s="62" t="s">
        <v>4398</v>
      </c>
      <c r="B2671" s="96">
        <v>401015</v>
      </c>
      <c r="C2671" s="96" t="str">
        <f t="shared" si="273"/>
        <v>CPOS401015</v>
      </c>
      <c r="D2671" s="95" t="s">
        <v>2722</v>
      </c>
      <c r="E2671" s="63" t="s">
        <v>58</v>
      </c>
      <c r="F2671" s="64">
        <v>3315.62</v>
      </c>
    </row>
    <row r="2672" spans="1:6" x14ac:dyDescent="0.25">
      <c r="A2672" s="62" t="s">
        <v>4398</v>
      </c>
      <c r="B2672" s="96">
        <v>401050</v>
      </c>
      <c r="C2672" s="96" t="str">
        <f t="shared" si="273"/>
        <v>CPOS401050</v>
      </c>
      <c r="D2672" s="95" t="s">
        <v>2723</v>
      </c>
      <c r="E2672" s="63" t="s">
        <v>58</v>
      </c>
      <c r="F2672" s="64">
        <v>51.49</v>
      </c>
    </row>
    <row r="2673" spans="1:6" x14ac:dyDescent="0.25">
      <c r="A2673" s="62" t="s">
        <v>4398</v>
      </c>
      <c r="B2673" s="96">
        <v>401051</v>
      </c>
      <c r="C2673" s="96" t="str">
        <f t="shared" si="273"/>
        <v>CPOS401051</v>
      </c>
      <c r="D2673" s="95" t="s">
        <v>2724</v>
      </c>
      <c r="E2673" s="63" t="s">
        <v>58</v>
      </c>
      <c r="F2673" s="64">
        <v>69.260000000000005</v>
      </c>
    </row>
    <row r="2674" spans="1:6" x14ac:dyDescent="0.25">
      <c r="A2674" s="62" t="s">
        <v>4398</v>
      </c>
      <c r="B2674" s="96">
        <v>401052</v>
      </c>
      <c r="C2674" s="96" t="str">
        <f t="shared" si="273"/>
        <v>CPOS401052</v>
      </c>
      <c r="D2674" s="95" t="s">
        <v>2725</v>
      </c>
      <c r="E2674" s="63" t="s">
        <v>58</v>
      </c>
      <c r="F2674" s="64">
        <v>112.97</v>
      </c>
    </row>
    <row r="2675" spans="1:6" x14ac:dyDescent="0.25">
      <c r="D2675" s="94" t="s">
        <v>2726</v>
      </c>
    </row>
    <row r="2676" spans="1:6" x14ac:dyDescent="0.25">
      <c r="A2676" s="62" t="s">
        <v>4398</v>
      </c>
      <c r="B2676" s="96">
        <v>401101</v>
      </c>
      <c r="C2676" s="96" t="str">
        <f t="shared" ref="C2676:C2688" si="274">A2676&amp;B2676</f>
        <v>CPOS401101</v>
      </c>
      <c r="D2676" s="95" t="s">
        <v>2727</v>
      </c>
      <c r="E2676" s="63" t="s">
        <v>58</v>
      </c>
      <c r="F2676" s="64">
        <v>55.75</v>
      </c>
    </row>
    <row r="2677" spans="1:6" ht="30" x14ac:dyDescent="0.25">
      <c r="A2677" s="62" t="s">
        <v>4398</v>
      </c>
      <c r="B2677" s="96">
        <v>401102</v>
      </c>
      <c r="C2677" s="96" t="str">
        <f t="shared" si="274"/>
        <v>CPOS401102</v>
      </c>
      <c r="D2677" s="95" t="s">
        <v>2728</v>
      </c>
      <c r="E2677" s="63" t="s">
        <v>58</v>
      </c>
      <c r="F2677" s="64">
        <v>112.81</v>
      </c>
    </row>
    <row r="2678" spans="1:6" ht="30" x14ac:dyDescent="0.25">
      <c r="A2678" s="62" t="s">
        <v>4398</v>
      </c>
      <c r="B2678" s="96">
        <v>401103</v>
      </c>
      <c r="C2678" s="96" t="str">
        <f t="shared" si="274"/>
        <v>CPOS401103</v>
      </c>
      <c r="D2678" s="95" t="s">
        <v>2729</v>
      </c>
      <c r="E2678" s="63" t="s">
        <v>58</v>
      </c>
      <c r="F2678" s="64">
        <v>228.38</v>
      </c>
    </row>
    <row r="2679" spans="1:6" ht="30" x14ac:dyDescent="0.25">
      <c r="A2679" s="62" t="s">
        <v>4398</v>
      </c>
      <c r="B2679" s="96">
        <v>401105</v>
      </c>
      <c r="C2679" s="96" t="str">
        <f t="shared" si="274"/>
        <v>CPOS401105</v>
      </c>
      <c r="D2679" s="95" t="s">
        <v>2730</v>
      </c>
      <c r="E2679" s="63" t="s">
        <v>58</v>
      </c>
      <c r="F2679" s="64">
        <v>144.06</v>
      </c>
    </row>
    <row r="2680" spans="1:6" x14ac:dyDescent="0.25">
      <c r="A2680" s="62" t="s">
        <v>4398</v>
      </c>
      <c r="B2680" s="96">
        <v>401106</v>
      </c>
      <c r="C2680" s="96" t="str">
        <f t="shared" si="274"/>
        <v>CPOS401106</v>
      </c>
      <c r="D2680" s="95" t="s">
        <v>2731</v>
      </c>
      <c r="E2680" s="63" t="s">
        <v>58</v>
      </c>
      <c r="F2680" s="64">
        <v>81.319999999999993</v>
      </c>
    </row>
    <row r="2681" spans="1:6" x14ac:dyDescent="0.25">
      <c r="A2681" s="62" t="s">
        <v>4398</v>
      </c>
      <c r="B2681" s="96">
        <v>401107</v>
      </c>
      <c r="C2681" s="96" t="str">
        <f t="shared" si="274"/>
        <v>CPOS401107</v>
      </c>
      <c r="D2681" s="95" t="s">
        <v>2732</v>
      </c>
      <c r="E2681" s="63" t="s">
        <v>58</v>
      </c>
      <c r="F2681" s="64">
        <v>1197.3800000000001</v>
      </c>
    </row>
    <row r="2682" spans="1:6" x14ac:dyDescent="0.25">
      <c r="A2682" s="62" t="s">
        <v>4398</v>
      </c>
      <c r="B2682" s="96">
        <v>401111</v>
      </c>
      <c r="C2682" s="96" t="str">
        <f t="shared" si="274"/>
        <v>CPOS401111</v>
      </c>
      <c r="D2682" s="95" t="s">
        <v>2733</v>
      </c>
      <c r="E2682" s="63" t="s">
        <v>117</v>
      </c>
      <c r="F2682" s="64">
        <v>1993.8300000000002</v>
      </c>
    </row>
    <row r="2683" spans="1:6" x14ac:dyDescent="0.25">
      <c r="A2683" s="62" t="s">
        <v>4398</v>
      </c>
      <c r="B2683" s="96">
        <v>401112</v>
      </c>
      <c r="C2683" s="96" t="str">
        <f t="shared" si="274"/>
        <v>CPOS401112</v>
      </c>
      <c r="D2683" s="95" t="s">
        <v>2734</v>
      </c>
      <c r="E2683" s="63" t="s">
        <v>58</v>
      </c>
      <c r="F2683" s="64">
        <v>85.38</v>
      </c>
    </row>
    <row r="2684" spans="1:6" x14ac:dyDescent="0.25">
      <c r="A2684" s="62" t="s">
        <v>4398</v>
      </c>
      <c r="B2684" s="96">
        <v>401114</v>
      </c>
      <c r="C2684" s="96" t="str">
        <f t="shared" si="274"/>
        <v>CPOS401114</v>
      </c>
      <c r="D2684" s="95" t="s">
        <v>2735</v>
      </c>
      <c r="E2684" s="63" t="s">
        <v>58</v>
      </c>
      <c r="F2684" s="64">
        <v>213.37</v>
      </c>
    </row>
    <row r="2685" spans="1:6" x14ac:dyDescent="0.25">
      <c r="A2685" s="62" t="s">
        <v>4398</v>
      </c>
      <c r="B2685" s="96">
        <v>401119</v>
      </c>
      <c r="C2685" s="96" t="str">
        <f t="shared" si="274"/>
        <v>CPOS401119</v>
      </c>
      <c r="D2685" s="95" t="s">
        <v>2736</v>
      </c>
      <c r="E2685" s="63" t="s">
        <v>58</v>
      </c>
      <c r="F2685" s="64">
        <v>142</v>
      </c>
    </row>
    <row r="2686" spans="1:6" x14ac:dyDescent="0.25">
      <c r="A2686" s="62" t="s">
        <v>4398</v>
      </c>
      <c r="B2686" s="96">
        <v>401120</v>
      </c>
      <c r="C2686" s="96" t="str">
        <f t="shared" si="274"/>
        <v>CPOS401120</v>
      </c>
      <c r="D2686" s="95" t="s">
        <v>2737</v>
      </c>
      <c r="E2686" s="63" t="s">
        <v>58</v>
      </c>
      <c r="F2686" s="64">
        <v>118.2</v>
      </c>
    </row>
    <row r="2687" spans="1:6" ht="30" x14ac:dyDescent="0.25">
      <c r="A2687" s="62" t="s">
        <v>4398</v>
      </c>
      <c r="B2687" s="96">
        <v>401123</v>
      </c>
      <c r="C2687" s="96" t="str">
        <f t="shared" si="274"/>
        <v>CPOS401123</v>
      </c>
      <c r="D2687" s="95" t="s">
        <v>2738</v>
      </c>
      <c r="E2687" s="63" t="s">
        <v>58</v>
      </c>
      <c r="F2687" s="64">
        <v>1255.46</v>
      </c>
    </row>
    <row r="2688" spans="1:6" x14ac:dyDescent="0.25">
      <c r="A2688" s="62" t="s">
        <v>4398</v>
      </c>
      <c r="B2688" s="96">
        <v>401124</v>
      </c>
      <c r="C2688" s="96" t="str">
        <f t="shared" si="274"/>
        <v>CPOS401124</v>
      </c>
      <c r="D2688" s="95" t="s">
        <v>2739</v>
      </c>
      <c r="E2688" s="63" t="s">
        <v>58</v>
      </c>
      <c r="F2688" s="64">
        <v>83.22</v>
      </c>
    </row>
    <row r="2689" spans="1:6" x14ac:dyDescent="0.25">
      <c r="D2689" s="94" t="s">
        <v>2740</v>
      </c>
    </row>
    <row r="2690" spans="1:6" x14ac:dyDescent="0.25">
      <c r="A2690" s="62" t="s">
        <v>4398</v>
      </c>
      <c r="B2690" s="96">
        <v>401202</v>
      </c>
      <c r="C2690" s="96" t="str">
        <f t="shared" ref="C2690:C2694" si="275">A2690&amp;B2690</f>
        <v>CPOS401202</v>
      </c>
      <c r="D2690" s="95" t="s">
        <v>2741</v>
      </c>
      <c r="E2690" s="63" t="s">
        <v>58</v>
      </c>
      <c r="F2690" s="64">
        <v>281.93</v>
      </c>
    </row>
    <row r="2691" spans="1:6" x14ac:dyDescent="0.25">
      <c r="A2691" s="62" t="s">
        <v>4398</v>
      </c>
      <c r="B2691" s="96">
        <v>401203</v>
      </c>
      <c r="C2691" s="96" t="str">
        <f t="shared" si="275"/>
        <v>CPOS401203</v>
      </c>
      <c r="D2691" s="95" t="s">
        <v>2742</v>
      </c>
      <c r="E2691" s="63" t="s">
        <v>58</v>
      </c>
      <c r="F2691" s="64">
        <v>141.72999999999999</v>
      </c>
    </row>
    <row r="2692" spans="1:6" x14ac:dyDescent="0.25">
      <c r="A2692" s="62" t="s">
        <v>4398</v>
      </c>
      <c r="B2692" s="96">
        <v>401219</v>
      </c>
      <c r="C2692" s="96" t="str">
        <f t="shared" si="275"/>
        <v>CPOS401219</v>
      </c>
      <c r="D2692" s="95" t="s">
        <v>2743</v>
      </c>
      <c r="E2692" s="63" t="s">
        <v>58</v>
      </c>
      <c r="F2692" s="64">
        <v>109.43</v>
      </c>
    </row>
    <row r="2693" spans="1:6" x14ac:dyDescent="0.25">
      <c r="A2693" s="62" t="s">
        <v>4398</v>
      </c>
      <c r="B2693" s="96">
        <v>401220</v>
      </c>
      <c r="C2693" s="96" t="str">
        <f t="shared" si="275"/>
        <v>CPOS401220</v>
      </c>
      <c r="D2693" s="95" t="s">
        <v>2744</v>
      </c>
      <c r="E2693" s="63" t="s">
        <v>58</v>
      </c>
      <c r="F2693" s="64">
        <v>77.959999999999994</v>
      </c>
    </row>
    <row r="2694" spans="1:6" x14ac:dyDescent="0.25">
      <c r="A2694" s="62" t="s">
        <v>4398</v>
      </c>
      <c r="B2694" s="96">
        <v>401221</v>
      </c>
      <c r="C2694" s="96" t="str">
        <f t="shared" si="275"/>
        <v>CPOS401221</v>
      </c>
      <c r="D2694" s="95" t="s">
        <v>2745</v>
      </c>
      <c r="E2694" s="63" t="s">
        <v>58</v>
      </c>
      <c r="F2694" s="64">
        <v>210.63</v>
      </c>
    </row>
    <row r="2695" spans="1:6" x14ac:dyDescent="0.25">
      <c r="D2695" s="94" t="s">
        <v>2746</v>
      </c>
    </row>
    <row r="2696" spans="1:6" x14ac:dyDescent="0.25">
      <c r="A2696" s="62" t="s">
        <v>4398</v>
      </c>
      <c r="B2696" s="96">
        <v>401301</v>
      </c>
      <c r="C2696" s="96" t="str">
        <f t="shared" ref="C2696:C2697" si="276">A2696&amp;B2696</f>
        <v>CPOS401301</v>
      </c>
      <c r="D2696" s="95" t="s">
        <v>2747</v>
      </c>
      <c r="E2696" s="63" t="s">
        <v>58</v>
      </c>
      <c r="F2696" s="64">
        <v>84.25</v>
      </c>
    </row>
    <row r="2697" spans="1:6" ht="30" x14ac:dyDescent="0.25">
      <c r="A2697" s="62" t="s">
        <v>4398</v>
      </c>
      <c r="B2697" s="96">
        <v>401304</v>
      </c>
      <c r="C2697" s="96" t="str">
        <f t="shared" si="276"/>
        <v>CPOS401304</v>
      </c>
      <c r="D2697" s="95" t="s">
        <v>2748</v>
      </c>
      <c r="E2697" s="63" t="s">
        <v>58</v>
      </c>
      <c r="F2697" s="64">
        <v>213.42000000000002</v>
      </c>
    </row>
    <row r="2698" spans="1:6" x14ac:dyDescent="0.25">
      <c r="D2698" s="94" t="s">
        <v>2749</v>
      </c>
    </row>
    <row r="2699" spans="1:6" x14ac:dyDescent="0.25">
      <c r="A2699" s="62" t="s">
        <v>4398</v>
      </c>
      <c r="B2699" s="96">
        <v>401401</v>
      </c>
      <c r="C2699" s="96" t="str">
        <f t="shared" ref="C2699:C2700" si="277">A2699&amp;B2699</f>
        <v>CPOS401401</v>
      </c>
      <c r="D2699" s="95" t="s">
        <v>2750</v>
      </c>
      <c r="E2699" s="63" t="s">
        <v>58</v>
      </c>
      <c r="F2699" s="64">
        <v>68.12</v>
      </c>
    </row>
    <row r="2700" spans="1:6" ht="30" x14ac:dyDescent="0.25">
      <c r="A2700" s="62" t="s">
        <v>4398</v>
      </c>
      <c r="B2700" s="96">
        <v>401403</v>
      </c>
      <c r="C2700" s="96" t="str">
        <f t="shared" si="277"/>
        <v>CPOS401403</v>
      </c>
      <c r="D2700" s="95" t="s">
        <v>2751</v>
      </c>
      <c r="E2700" s="63" t="s">
        <v>58</v>
      </c>
      <c r="F2700" s="64">
        <v>194.62</v>
      </c>
    </row>
    <row r="2701" spans="1:6" x14ac:dyDescent="0.25">
      <c r="D2701" s="94" t="s">
        <v>693</v>
      </c>
    </row>
    <row r="2702" spans="1:6" x14ac:dyDescent="0.25">
      <c r="A2702" s="62" t="s">
        <v>4398</v>
      </c>
      <c r="B2702" s="96">
        <v>402002</v>
      </c>
      <c r="C2702" s="96" t="str">
        <f t="shared" ref="C2702:C2719" si="278">A2702&amp;B2702</f>
        <v>CPOS402002</v>
      </c>
      <c r="D2702" s="95" t="s">
        <v>2752</v>
      </c>
      <c r="E2702" s="63" t="s">
        <v>58</v>
      </c>
      <c r="F2702" s="64">
        <v>120.01</v>
      </c>
    </row>
    <row r="2703" spans="1:6" x14ac:dyDescent="0.25">
      <c r="A2703" s="62" t="s">
        <v>4398</v>
      </c>
      <c r="B2703" s="96">
        <v>402005</v>
      </c>
      <c r="C2703" s="96" t="str">
        <f t="shared" si="278"/>
        <v>CPOS402005</v>
      </c>
      <c r="D2703" s="95" t="s">
        <v>2753</v>
      </c>
      <c r="E2703" s="63" t="s">
        <v>58</v>
      </c>
      <c r="F2703" s="64">
        <v>73.45</v>
      </c>
    </row>
    <row r="2704" spans="1:6" x14ac:dyDescent="0.25">
      <c r="A2704" s="62" t="s">
        <v>4398</v>
      </c>
      <c r="B2704" s="96">
        <v>402006</v>
      </c>
      <c r="C2704" s="96" t="str">
        <f t="shared" si="278"/>
        <v>CPOS402006</v>
      </c>
      <c r="D2704" s="95" t="s">
        <v>2754</v>
      </c>
      <c r="E2704" s="63" t="s">
        <v>58</v>
      </c>
      <c r="F2704" s="64">
        <v>52.79</v>
      </c>
    </row>
    <row r="2705" spans="1:6" x14ac:dyDescent="0.25">
      <c r="A2705" s="62" t="s">
        <v>4398</v>
      </c>
      <c r="B2705" s="96">
        <v>402007</v>
      </c>
      <c r="C2705" s="96" t="str">
        <f t="shared" si="278"/>
        <v>CPOS402007</v>
      </c>
      <c r="D2705" s="95" t="s">
        <v>2755</v>
      </c>
      <c r="E2705" s="63" t="s">
        <v>58</v>
      </c>
      <c r="F2705" s="64">
        <v>84.2</v>
      </c>
    </row>
    <row r="2706" spans="1:6" x14ac:dyDescent="0.25">
      <c r="A2706" s="62" t="s">
        <v>4398</v>
      </c>
      <c r="B2706" s="96">
        <v>402009</v>
      </c>
      <c r="C2706" s="96" t="str">
        <f t="shared" si="278"/>
        <v>CPOS402009</v>
      </c>
      <c r="D2706" s="95" t="s">
        <v>2756</v>
      </c>
      <c r="E2706" s="63" t="s">
        <v>58</v>
      </c>
      <c r="F2706" s="64">
        <v>49.27</v>
      </c>
    </row>
    <row r="2707" spans="1:6" x14ac:dyDescent="0.25">
      <c r="A2707" s="62" t="s">
        <v>4398</v>
      </c>
      <c r="B2707" s="96">
        <v>402010</v>
      </c>
      <c r="C2707" s="96" t="str">
        <f t="shared" si="278"/>
        <v>CPOS402010</v>
      </c>
      <c r="D2707" s="95" t="s">
        <v>2757</v>
      </c>
      <c r="E2707" s="63" t="s">
        <v>58</v>
      </c>
      <c r="F2707" s="64">
        <v>107.14</v>
      </c>
    </row>
    <row r="2708" spans="1:6" x14ac:dyDescent="0.25">
      <c r="A2708" s="62" t="s">
        <v>4398</v>
      </c>
      <c r="B2708" s="96">
        <v>402011</v>
      </c>
      <c r="C2708" s="96" t="str">
        <f t="shared" si="278"/>
        <v>CPOS402011</v>
      </c>
      <c r="D2708" s="95" t="s">
        <v>2758</v>
      </c>
      <c r="E2708" s="63" t="s">
        <v>58</v>
      </c>
      <c r="F2708" s="64">
        <v>190.21</v>
      </c>
    </row>
    <row r="2709" spans="1:6" x14ac:dyDescent="0.25">
      <c r="A2709" s="62" t="s">
        <v>4398</v>
      </c>
      <c r="B2709" s="96">
        <v>402012</v>
      </c>
      <c r="C2709" s="96" t="str">
        <f t="shared" si="278"/>
        <v>CPOS402012</v>
      </c>
      <c r="D2709" s="95" t="s">
        <v>2759</v>
      </c>
      <c r="E2709" s="63" t="s">
        <v>58</v>
      </c>
      <c r="F2709" s="64">
        <v>2.68</v>
      </c>
    </row>
    <row r="2710" spans="1:6" x14ac:dyDescent="0.25">
      <c r="A2710" s="62" t="s">
        <v>4398</v>
      </c>
      <c r="B2710" s="96">
        <v>402014</v>
      </c>
      <c r="C2710" s="96" t="str">
        <f t="shared" si="278"/>
        <v>CPOS402014</v>
      </c>
      <c r="D2710" s="95" t="s">
        <v>2760</v>
      </c>
      <c r="E2710" s="63" t="s">
        <v>58</v>
      </c>
      <c r="F2710" s="64">
        <v>5.09</v>
      </c>
    </row>
    <row r="2711" spans="1:6" x14ac:dyDescent="0.25">
      <c r="A2711" s="62" t="s">
        <v>4398</v>
      </c>
      <c r="B2711" s="96">
        <v>402020</v>
      </c>
      <c r="C2711" s="96" t="str">
        <f t="shared" si="278"/>
        <v>CPOS402020</v>
      </c>
      <c r="D2711" s="95" t="s">
        <v>2761</v>
      </c>
      <c r="E2711" s="63" t="s">
        <v>58</v>
      </c>
      <c r="F2711" s="64">
        <v>43.480000000000004</v>
      </c>
    </row>
    <row r="2712" spans="1:6" x14ac:dyDescent="0.25">
      <c r="A2712" s="62" t="s">
        <v>4398</v>
      </c>
      <c r="B2712" s="96">
        <v>402022</v>
      </c>
      <c r="C2712" s="96" t="str">
        <f t="shared" si="278"/>
        <v>CPOS402022</v>
      </c>
      <c r="D2712" s="95" t="s">
        <v>2762</v>
      </c>
      <c r="E2712" s="63" t="s">
        <v>58</v>
      </c>
      <c r="F2712" s="64">
        <v>41.68</v>
      </c>
    </row>
    <row r="2713" spans="1:6" x14ac:dyDescent="0.25">
      <c r="A2713" s="62" t="s">
        <v>4398</v>
      </c>
      <c r="B2713" s="96">
        <v>402023</v>
      </c>
      <c r="C2713" s="96" t="str">
        <f t="shared" si="278"/>
        <v>CPOS402023</v>
      </c>
      <c r="D2713" s="95" t="s">
        <v>2763</v>
      </c>
      <c r="E2713" s="63" t="s">
        <v>58</v>
      </c>
      <c r="F2713" s="64">
        <v>314.64</v>
      </c>
    </row>
    <row r="2714" spans="1:6" x14ac:dyDescent="0.25">
      <c r="A2714" s="62" t="s">
        <v>4398</v>
      </c>
      <c r="B2714" s="96">
        <v>402024</v>
      </c>
      <c r="C2714" s="96" t="str">
        <f t="shared" si="278"/>
        <v>CPOS402024</v>
      </c>
      <c r="D2714" s="95" t="s">
        <v>2764</v>
      </c>
      <c r="E2714" s="63" t="s">
        <v>58</v>
      </c>
      <c r="F2714" s="64">
        <v>9.77</v>
      </c>
    </row>
    <row r="2715" spans="1:6" x14ac:dyDescent="0.25">
      <c r="A2715" s="62" t="s">
        <v>4398</v>
      </c>
      <c r="B2715" s="96">
        <v>402025</v>
      </c>
      <c r="C2715" s="96" t="str">
        <f t="shared" si="278"/>
        <v>CPOS402025</v>
      </c>
      <c r="D2715" s="95" t="s">
        <v>2765</v>
      </c>
      <c r="E2715" s="63" t="s">
        <v>58</v>
      </c>
      <c r="F2715" s="64">
        <v>11.4</v>
      </c>
    </row>
    <row r="2716" spans="1:6" x14ac:dyDescent="0.25">
      <c r="A2716" s="62" t="s">
        <v>4398</v>
      </c>
      <c r="B2716" s="96">
        <v>402030</v>
      </c>
      <c r="C2716" s="96" t="str">
        <f t="shared" si="278"/>
        <v>CPOS402030</v>
      </c>
      <c r="D2716" s="95" t="s">
        <v>2766</v>
      </c>
      <c r="E2716" s="63" t="s">
        <v>58</v>
      </c>
      <c r="F2716" s="64">
        <v>332.1</v>
      </c>
    </row>
    <row r="2717" spans="1:6" x14ac:dyDescent="0.25">
      <c r="A2717" s="62" t="s">
        <v>4398</v>
      </c>
      <c r="B2717" s="96">
        <v>402031</v>
      </c>
      <c r="C2717" s="96" t="str">
        <f t="shared" si="278"/>
        <v>CPOS402031</v>
      </c>
      <c r="D2717" s="95" t="s">
        <v>2767</v>
      </c>
      <c r="E2717" s="63" t="s">
        <v>58</v>
      </c>
      <c r="F2717" s="64">
        <v>27.5</v>
      </c>
    </row>
    <row r="2718" spans="1:6" x14ac:dyDescent="0.25">
      <c r="A2718" s="62" t="s">
        <v>4398</v>
      </c>
      <c r="B2718" s="96">
        <v>402032</v>
      </c>
      <c r="C2718" s="96" t="str">
        <f t="shared" si="278"/>
        <v>CPOS402032</v>
      </c>
      <c r="D2718" s="95" t="s">
        <v>2768</v>
      </c>
      <c r="E2718" s="63" t="s">
        <v>58</v>
      </c>
      <c r="F2718" s="64">
        <v>22.85</v>
      </c>
    </row>
    <row r="2719" spans="1:6" x14ac:dyDescent="0.25">
      <c r="A2719" s="62" t="s">
        <v>4398</v>
      </c>
      <c r="B2719" s="96">
        <v>402033</v>
      </c>
      <c r="C2719" s="96" t="str">
        <f t="shared" si="278"/>
        <v>CPOS402033</v>
      </c>
      <c r="D2719" s="95" t="s">
        <v>2769</v>
      </c>
      <c r="E2719" s="63" t="s">
        <v>58</v>
      </c>
      <c r="F2719" s="64">
        <v>25.42</v>
      </c>
    </row>
    <row r="2720" spans="1:6" x14ac:dyDescent="0.25">
      <c r="D2720" s="94" t="s">
        <v>2770</v>
      </c>
    </row>
    <row r="2721" spans="1:6" x14ac:dyDescent="0.25">
      <c r="D2721" s="94" t="s">
        <v>2771</v>
      </c>
    </row>
    <row r="2722" spans="1:6" x14ac:dyDescent="0.25">
      <c r="A2722" s="62" t="s">
        <v>4398</v>
      </c>
      <c r="B2722" s="96">
        <v>410402</v>
      </c>
      <c r="C2722" s="96" t="str">
        <f t="shared" ref="C2722:C2726" si="279">A2722&amp;B2722</f>
        <v>CPOS410402</v>
      </c>
      <c r="D2722" s="95" t="s">
        <v>2772</v>
      </c>
      <c r="E2722" s="63" t="s">
        <v>58</v>
      </c>
      <c r="F2722" s="64">
        <v>4.2300000000000004</v>
      </c>
    </row>
    <row r="2723" spans="1:6" x14ac:dyDescent="0.25">
      <c r="A2723" s="62" t="s">
        <v>4398</v>
      </c>
      <c r="B2723" s="96">
        <v>410404</v>
      </c>
      <c r="C2723" s="96" t="str">
        <f t="shared" si="279"/>
        <v>CPOS410404</v>
      </c>
      <c r="D2723" s="95" t="s">
        <v>2773</v>
      </c>
      <c r="E2723" s="63" t="s">
        <v>58</v>
      </c>
      <c r="F2723" s="64">
        <v>14.700000000000001</v>
      </c>
    </row>
    <row r="2724" spans="1:6" ht="30" x14ac:dyDescent="0.25">
      <c r="A2724" s="62" t="s">
        <v>4398</v>
      </c>
      <c r="B2724" s="96">
        <v>410405</v>
      </c>
      <c r="C2724" s="96" t="str">
        <f t="shared" si="279"/>
        <v>CPOS410405</v>
      </c>
      <c r="D2724" s="95" t="s">
        <v>2774</v>
      </c>
      <c r="E2724" s="63" t="s">
        <v>110</v>
      </c>
      <c r="F2724" s="64">
        <v>95.9</v>
      </c>
    </row>
    <row r="2725" spans="1:6" x14ac:dyDescent="0.25">
      <c r="A2725" s="62" t="s">
        <v>4398</v>
      </c>
      <c r="B2725" s="96">
        <v>410406</v>
      </c>
      <c r="C2725" s="96" t="str">
        <f t="shared" si="279"/>
        <v>CPOS410406</v>
      </c>
      <c r="D2725" s="95" t="s">
        <v>2775</v>
      </c>
      <c r="E2725" s="63" t="s">
        <v>58</v>
      </c>
      <c r="F2725" s="64">
        <v>3.24</v>
      </c>
    </row>
    <row r="2726" spans="1:6" x14ac:dyDescent="0.25">
      <c r="A2726" s="62" t="s">
        <v>4398</v>
      </c>
      <c r="B2726" s="96">
        <v>410410</v>
      </c>
      <c r="C2726" s="96" t="str">
        <f t="shared" si="279"/>
        <v>CPOS410410</v>
      </c>
      <c r="D2726" s="95" t="s">
        <v>2776</v>
      </c>
      <c r="E2726" s="63" t="s">
        <v>58</v>
      </c>
      <c r="F2726" s="64">
        <v>3.2600000000000002</v>
      </c>
    </row>
    <row r="2727" spans="1:6" x14ac:dyDescent="0.25">
      <c r="D2727" s="94" t="s">
        <v>2777</v>
      </c>
    </row>
    <row r="2728" spans="1:6" x14ac:dyDescent="0.25">
      <c r="A2728" s="62" t="s">
        <v>4398</v>
      </c>
      <c r="B2728" s="96">
        <v>410501</v>
      </c>
      <c r="C2728" s="96" t="str">
        <f t="shared" ref="C2728:C2744" si="280">A2728&amp;B2728</f>
        <v>CPOS410501</v>
      </c>
      <c r="D2728" s="95" t="s">
        <v>2778</v>
      </c>
      <c r="E2728" s="63" t="s">
        <v>58</v>
      </c>
      <c r="F2728" s="64">
        <v>18.13</v>
      </c>
    </row>
    <row r="2729" spans="1:6" x14ac:dyDescent="0.25">
      <c r="A2729" s="62" t="s">
        <v>4398</v>
      </c>
      <c r="B2729" s="96">
        <v>410502</v>
      </c>
      <c r="C2729" s="96" t="str">
        <f t="shared" si="280"/>
        <v>CPOS410502</v>
      </c>
      <c r="D2729" s="95" t="s">
        <v>2779</v>
      </c>
      <c r="E2729" s="63" t="s">
        <v>58</v>
      </c>
      <c r="F2729" s="64">
        <v>28.87</v>
      </c>
    </row>
    <row r="2730" spans="1:6" x14ac:dyDescent="0.25">
      <c r="A2730" s="62" t="s">
        <v>4398</v>
      </c>
      <c r="B2730" s="96">
        <v>410503</v>
      </c>
      <c r="C2730" s="96" t="str">
        <f t="shared" si="280"/>
        <v>CPOS410503</v>
      </c>
      <c r="D2730" s="95" t="s">
        <v>2780</v>
      </c>
      <c r="E2730" s="63" t="s">
        <v>58</v>
      </c>
      <c r="F2730" s="64">
        <v>49.08</v>
      </c>
    </row>
    <row r="2731" spans="1:6" x14ac:dyDescent="0.25">
      <c r="A2731" s="62" t="s">
        <v>4398</v>
      </c>
      <c r="B2731" s="96">
        <v>410520</v>
      </c>
      <c r="C2731" s="96" t="str">
        <f t="shared" si="280"/>
        <v>CPOS410520</v>
      </c>
      <c r="D2731" s="95" t="s">
        <v>2781</v>
      </c>
      <c r="E2731" s="63" t="s">
        <v>58</v>
      </c>
      <c r="F2731" s="64">
        <v>17.16</v>
      </c>
    </row>
    <row r="2732" spans="1:6" x14ac:dyDescent="0.25">
      <c r="A2732" s="62" t="s">
        <v>4398</v>
      </c>
      <c r="B2732" s="96">
        <v>410522</v>
      </c>
      <c r="C2732" s="96" t="str">
        <f t="shared" si="280"/>
        <v>CPOS410522</v>
      </c>
      <c r="D2732" s="95" t="s">
        <v>2782</v>
      </c>
      <c r="E2732" s="63" t="s">
        <v>58</v>
      </c>
      <c r="F2732" s="64">
        <v>27.28</v>
      </c>
    </row>
    <row r="2733" spans="1:6" x14ac:dyDescent="0.25">
      <c r="A2733" s="62" t="s">
        <v>4398</v>
      </c>
      <c r="B2733" s="96">
        <v>410524</v>
      </c>
      <c r="C2733" s="96" t="str">
        <f t="shared" si="280"/>
        <v>CPOS410524</v>
      </c>
      <c r="D2733" s="95" t="s">
        <v>2783</v>
      </c>
      <c r="E2733" s="63" t="s">
        <v>58</v>
      </c>
      <c r="F2733" s="64">
        <v>31.16</v>
      </c>
    </row>
    <row r="2734" spans="1:6" x14ac:dyDescent="0.25">
      <c r="A2734" s="62" t="s">
        <v>4398</v>
      </c>
      <c r="B2734" s="96">
        <v>410526</v>
      </c>
      <c r="C2734" s="96" t="str">
        <f t="shared" si="280"/>
        <v>CPOS410526</v>
      </c>
      <c r="D2734" s="95" t="s">
        <v>2784</v>
      </c>
      <c r="E2734" s="63" t="s">
        <v>58</v>
      </c>
      <c r="F2734" s="64">
        <v>35.75</v>
      </c>
    </row>
    <row r="2735" spans="1:6" x14ac:dyDescent="0.25">
      <c r="A2735" s="62" t="s">
        <v>4398</v>
      </c>
      <c r="B2735" s="96">
        <v>410527</v>
      </c>
      <c r="C2735" s="96" t="str">
        <f t="shared" si="280"/>
        <v>CPOS410527</v>
      </c>
      <c r="D2735" s="95" t="s">
        <v>2785</v>
      </c>
      <c r="E2735" s="63" t="s">
        <v>58</v>
      </c>
      <c r="F2735" s="64">
        <v>290.86</v>
      </c>
    </row>
    <row r="2736" spans="1:6" x14ac:dyDescent="0.25">
      <c r="A2736" s="62" t="s">
        <v>4398</v>
      </c>
      <c r="B2736" s="96">
        <v>410543</v>
      </c>
      <c r="C2736" s="96" t="str">
        <f t="shared" si="280"/>
        <v>CPOS410543</v>
      </c>
      <c r="D2736" s="95" t="s">
        <v>2786</v>
      </c>
      <c r="E2736" s="63" t="s">
        <v>58</v>
      </c>
      <c r="F2736" s="64">
        <v>48.21</v>
      </c>
    </row>
    <row r="2737" spans="1:6" x14ac:dyDescent="0.25">
      <c r="A2737" s="62" t="s">
        <v>4398</v>
      </c>
      <c r="B2737" s="96">
        <v>410552</v>
      </c>
      <c r="C2737" s="96" t="str">
        <f t="shared" si="280"/>
        <v>CPOS410552</v>
      </c>
      <c r="D2737" s="95" t="s">
        <v>2787</v>
      </c>
      <c r="E2737" s="63" t="s">
        <v>58</v>
      </c>
      <c r="F2737" s="64">
        <v>52.7</v>
      </c>
    </row>
    <row r="2738" spans="1:6" x14ac:dyDescent="0.25">
      <c r="A2738" s="62" t="s">
        <v>4398</v>
      </c>
      <c r="B2738" s="96">
        <v>410553</v>
      </c>
      <c r="C2738" s="96" t="str">
        <f t="shared" si="280"/>
        <v>CPOS410553</v>
      </c>
      <c r="D2738" s="95" t="s">
        <v>2788</v>
      </c>
      <c r="E2738" s="63" t="s">
        <v>58</v>
      </c>
      <c r="F2738" s="64">
        <v>58.6</v>
      </c>
    </row>
    <row r="2739" spans="1:6" x14ac:dyDescent="0.25">
      <c r="A2739" s="62" t="s">
        <v>4398</v>
      </c>
      <c r="B2739" s="96">
        <v>410563</v>
      </c>
      <c r="C2739" s="96" t="str">
        <f t="shared" si="280"/>
        <v>CPOS410563</v>
      </c>
      <c r="D2739" s="95" t="s">
        <v>2789</v>
      </c>
      <c r="E2739" s="63" t="s">
        <v>58</v>
      </c>
      <c r="F2739" s="64">
        <v>441.90000000000003</v>
      </c>
    </row>
    <row r="2740" spans="1:6" x14ac:dyDescent="0.25">
      <c r="A2740" s="62" t="s">
        <v>4398</v>
      </c>
      <c r="B2740" s="96">
        <v>410571</v>
      </c>
      <c r="C2740" s="96" t="str">
        <f t="shared" si="280"/>
        <v>CPOS410571</v>
      </c>
      <c r="D2740" s="95" t="s">
        <v>2790</v>
      </c>
      <c r="E2740" s="63" t="s">
        <v>58</v>
      </c>
      <c r="F2740" s="64">
        <v>73.42</v>
      </c>
    </row>
    <row r="2741" spans="1:6" x14ac:dyDescent="0.25">
      <c r="A2741" s="62" t="s">
        <v>4398</v>
      </c>
      <c r="B2741" s="96">
        <v>410572</v>
      </c>
      <c r="C2741" s="96" t="str">
        <f t="shared" si="280"/>
        <v>CPOS410572</v>
      </c>
      <c r="D2741" s="95" t="s">
        <v>2791</v>
      </c>
      <c r="E2741" s="63" t="s">
        <v>58</v>
      </c>
      <c r="F2741" s="64">
        <v>91.29</v>
      </c>
    </row>
    <row r="2742" spans="1:6" x14ac:dyDescent="0.25">
      <c r="A2742" s="62" t="s">
        <v>4398</v>
      </c>
      <c r="B2742" s="96">
        <v>410580</v>
      </c>
      <c r="C2742" s="96" t="str">
        <f t="shared" si="280"/>
        <v>CPOS410580</v>
      </c>
      <c r="D2742" s="95" t="s">
        <v>2792</v>
      </c>
      <c r="E2742" s="63" t="s">
        <v>58</v>
      </c>
      <c r="F2742" s="64">
        <v>35.130000000000003</v>
      </c>
    </row>
    <row r="2743" spans="1:6" x14ac:dyDescent="0.25">
      <c r="A2743" s="62" t="s">
        <v>4398</v>
      </c>
      <c r="B2743" s="96">
        <v>410581</v>
      </c>
      <c r="C2743" s="96" t="str">
        <f t="shared" si="280"/>
        <v>CPOS410581</v>
      </c>
      <c r="D2743" s="95" t="s">
        <v>2793</v>
      </c>
      <c r="E2743" s="63" t="s">
        <v>58</v>
      </c>
      <c r="F2743" s="64">
        <v>36.31</v>
      </c>
    </row>
    <row r="2744" spans="1:6" x14ac:dyDescent="0.25">
      <c r="A2744" s="62" t="s">
        <v>4398</v>
      </c>
      <c r="B2744" s="96">
        <v>410582</v>
      </c>
      <c r="C2744" s="96" t="str">
        <f t="shared" si="280"/>
        <v>CPOS410582</v>
      </c>
      <c r="D2744" s="95" t="s">
        <v>2794</v>
      </c>
      <c r="E2744" s="63" t="s">
        <v>58</v>
      </c>
      <c r="F2744" s="64">
        <v>56.11</v>
      </c>
    </row>
    <row r="2745" spans="1:6" x14ac:dyDescent="0.25">
      <c r="D2745" s="94" t="s">
        <v>2795</v>
      </c>
    </row>
    <row r="2746" spans="1:6" x14ac:dyDescent="0.25">
      <c r="A2746" s="62" t="s">
        <v>4398</v>
      </c>
      <c r="B2746" s="96">
        <v>410610</v>
      </c>
      <c r="C2746" s="96" t="str">
        <f t="shared" ref="C2746:C2752" si="281">A2746&amp;B2746</f>
        <v>CPOS410610</v>
      </c>
      <c r="D2746" s="95" t="s">
        <v>2796</v>
      </c>
      <c r="E2746" s="63" t="s">
        <v>58</v>
      </c>
      <c r="F2746" s="64">
        <v>15.44</v>
      </c>
    </row>
    <row r="2747" spans="1:6" x14ac:dyDescent="0.25">
      <c r="A2747" s="62" t="s">
        <v>4398</v>
      </c>
      <c r="B2747" s="96">
        <v>410611</v>
      </c>
      <c r="C2747" s="96" t="str">
        <f t="shared" si="281"/>
        <v>CPOS410611</v>
      </c>
      <c r="D2747" s="95" t="s">
        <v>2797</v>
      </c>
      <c r="E2747" s="63" t="s">
        <v>58</v>
      </c>
      <c r="F2747" s="64">
        <v>17.82</v>
      </c>
    </row>
    <row r="2748" spans="1:6" x14ac:dyDescent="0.25">
      <c r="A2748" s="62" t="s">
        <v>4398</v>
      </c>
      <c r="B2748" s="96">
        <v>410612</v>
      </c>
      <c r="C2748" s="96" t="str">
        <f t="shared" si="281"/>
        <v>CPOS410612</v>
      </c>
      <c r="D2748" s="95" t="s">
        <v>2798</v>
      </c>
      <c r="E2748" s="63" t="s">
        <v>58</v>
      </c>
      <c r="F2748" s="64">
        <v>24.1</v>
      </c>
    </row>
    <row r="2749" spans="1:6" x14ac:dyDescent="0.25">
      <c r="A2749" s="62" t="s">
        <v>4398</v>
      </c>
      <c r="B2749" s="96">
        <v>410613</v>
      </c>
      <c r="C2749" s="96" t="str">
        <f t="shared" si="281"/>
        <v>CPOS410613</v>
      </c>
      <c r="D2749" s="95" t="s">
        <v>2799</v>
      </c>
      <c r="E2749" s="63" t="s">
        <v>58</v>
      </c>
      <c r="F2749" s="64">
        <v>5.61</v>
      </c>
    </row>
    <row r="2750" spans="1:6" x14ac:dyDescent="0.25">
      <c r="A2750" s="62" t="s">
        <v>4398</v>
      </c>
      <c r="B2750" s="96">
        <v>410640</v>
      </c>
      <c r="C2750" s="96" t="str">
        <f t="shared" si="281"/>
        <v>CPOS410640</v>
      </c>
      <c r="D2750" s="95" t="s">
        <v>2800</v>
      </c>
      <c r="E2750" s="63" t="s">
        <v>58</v>
      </c>
      <c r="F2750" s="64">
        <v>6.47</v>
      </c>
    </row>
    <row r="2751" spans="1:6" x14ac:dyDescent="0.25">
      <c r="A2751" s="62" t="s">
        <v>4398</v>
      </c>
      <c r="B2751" s="96">
        <v>410641</v>
      </c>
      <c r="C2751" s="96" t="str">
        <f t="shared" si="281"/>
        <v>CPOS410641</v>
      </c>
      <c r="D2751" s="95" t="s">
        <v>2801</v>
      </c>
      <c r="E2751" s="63" t="s">
        <v>58</v>
      </c>
      <c r="F2751" s="64">
        <v>6.57</v>
      </c>
    </row>
    <row r="2752" spans="1:6" x14ac:dyDescent="0.25">
      <c r="A2752" s="62" t="s">
        <v>4398</v>
      </c>
      <c r="B2752" s="96">
        <v>410642</v>
      </c>
      <c r="C2752" s="96" t="str">
        <f t="shared" si="281"/>
        <v>CPOS410642</v>
      </c>
      <c r="D2752" s="95" t="s">
        <v>2802</v>
      </c>
      <c r="E2752" s="63" t="s">
        <v>58</v>
      </c>
      <c r="F2752" s="64">
        <v>6.57</v>
      </c>
    </row>
    <row r="2753" spans="1:6" x14ac:dyDescent="0.25">
      <c r="D2753" s="94" t="s">
        <v>2803</v>
      </c>
    </row>
    <row r="2754" spans="1:6" x14ac:dyDescent="0.25">
      <c r="A2754" s="62" t="s">
        <v>4398</v>
      </c>
      <c r="B2754" s="96">
        <v>410702</v>
      </c>
      <c r="C2754" s="96" t="str">
        <f t="shared" ref="C2754:C2775" si="282">A2754&amp;B2754</f>
        <v>CPOS410702</v>
      </c>
      <c r="D2754" s="95" t="s">
        <v>2804</v>
      </c>
      <c r="E2754" s="63" t="s">
        <v>58</v>
      </c>
      <c r="F2754" s="64">
        <v>11.28</v>
      </c>
    </row>
    <row r="2755" spans="1:6" x14ac:dyDescent="0.25">
      <c r="A2755" s="62" t="s">
        <v>4398</v>
      </c>
      <c r="B2755" s="96">
        <v>410703</v>
      </c>
      <c r="C2755" s="96" t="str">
        <f t="shared" si="282"/>
        <v>CPOS410703</v>
      </c>
      <c r="D2755" s="95" t="s">
        <v>2805</v>
      </c>
      <c r="E2755" s="63" t="s">
        <v>58</v>
      </c>
      <c r="F2755" s="64">
        <v>6.32</v>
      </c>
    </row>
    <row r="2756" spans="1:6" x14ac:dyDescent="0.25">
      <c r="A2756" s="62" t="s">
        <v>4398</v>
      </c>
      <c r="B2756" s="96">
        <v>410704</v>
      </c>
      <c r="C2756" s="96" t="str">
        <f t="shared" si="282"/>
        <v>CPOS410704</v>
      </c>
      <c r="D2756" s="95" t="s">
        <v>2806</v>
      </c>
      <c r="E2756" s="63" t="s">
        <v>58</v>
      </c>
      <c r="F2756" s="64">
        <v>8.1300000000000008</v>
      </c>
    </row>
    <row r="2757" spans="1:6" x14ac:dyDescent="0.25">
      <c r="A2757" s="62" t="s">
        <v>4398</v>
      </c>
      <c r="B2757" s="96">
        <v>410705</v>
      </c>
      <c r="C2757" s="96" t="str">
        <f t="shared" si="282"/>
        <v>CPOS410705</v>
      </c>
      <c r="D2757" s="95" t="s">
        <v>2807</v>
      </c>
      <c r="E2757" s="63" t="s">
        <v>58</v>
      </c>
      <c r="F2757" s="64">
        <v>6.92</v>
      </c>
    </row>
    <row r="2758" spans="1:6" x14ac:dyDescent="0.25">
      <c r="A2758" s="62" t="s">
        <v>4398</v>
      </c>
      <c r="B2758" s="96">
        <v>410706</v>
      </c>
      <c r="C2758" s="96" t="str">
        <f t="shared" si="282"/>
        <v>CPOS410706</v>
      </c>
      <c r="D2758" s="95" t="s">
        <v>2808</v>
      </c>
      <c r="E2758" s="63" t="s">
        <v>58</v>
      </c>
      <c r="F2758" s="64">
        <v>8.6300000000000008</v>
      </c>
    </row>
    <row r="2759" spans="1:6" x14ac:dyDescent="0.25">
      <c r="A2759" s="62" t="s">
        <v>4398</v>
      </c>
      <c r="B2759" s="96">
        <v>410707</v>
      </c>
      <c r="C2759" s="96" t="str">
        <f t="shared" si="282"/>
        <v>CPOS410707</v>
      </c>
      <c r="D2759" s="95" t="s">
        <v>2809</v>
      </c>
      <c r="E2759" s="63" t="s">
        <v>58</v>
      </c>
      <c r="F2759" s="64">
        <v>6.54</v>
      </c>
    </row>
    <row r="2760" spans="1:6" x14ac:dyDescent="0.25">
      <c r="A2760" s="62" t="s">
        <v>4398</v>
      </c>
      <c r="B2760" s="96">
        <v>410709</v>
      </c>
      <c r="C2760" s="96" t="str">
        <f t="shared" si="282"/>
        <v>CPOS410709</v>
      </c>
      <c r="D2760" s="95" t="s">
        <v>2810</v>
      </c>
      <c r="E2760" s="63" t="s">
        <v>58</v>
      </c>
      <c r="F2760" s="64">
        <v>7.2700000000000005</v>
      </c>
    </row>
    <row r="2761" spans="1:6" x14ac:dyDescent="0.25">
      <c r="A2761" s="62" t="s">
        <v>4398</v>
      </c>
      <c r="B2761" s="96">
        <v>410712</v>
      </c>
      <c r="C2761" s="96" t="str">
        <f t="shared" si="282"/>
        <v>CPOS410712</v>
      </c>
      <c r="D2761" s="95" t="s">
        <v>2811</v>
      </c>
      <c r="E2761" s="63" t="s">
        <v>58</v>
      </c>
      <c r="F2761" s="64">
        <v>13.07</v>
      </c>
    </row>
    <row r="2762" spans="1:6" ht="30" x14ac:dyDescent="0.25">
      <c r="A2762" s="62" t="s">
        <v>4398</v>
      </c>
      <c r="B2762" s="96">
        <v>410720</v>
      </c>
      <c r="C2762" s="96" t="str">
        <f t="shared" si="282"/>
        <v>CPOS410720</v>
      </c>
      <c r="D2762" s="95" t="s">
        <v>2812</v>
      </c>
      <c r="E2762" s="63" t="s">
        <v>58</v>
      </c>
      <c r="F2762" s="64">
        <v>9.3000000000000007</v>
      </c>
    </row>
    <row r="2763" spans="1:6" x14ac:dyDescent="0.25">
      <c r="A2763" s="62" t="s">
        <v>4398</v>
      </c>
      <c r="B2763" s="96">
        <v>410732</v>
      </c>
      <c r="C2763" s="96" t="str">
        <f t="shared" si="282"/>
        <v>CPOS410732</v>
      </c>
      <c r="D2763" s="95" t="s">
        <v>2813</v>
      </c>
      <c r="E2763" s="63" t="s">
        <v>58</v>
      </c>
      <c r="F2763" s="64">
        <v>17.37</v>
      </c>
    </row>
    <row r="2764" spans="1:6" x14ac:dyDescent="0.25">
      <c r="A2764" s="62" t="s">
        <v>4398</v>
      </c>
      <c r="B2764" s="96">
        <v>410740</v>
      </c>
      <c r="C2764" s="96" t="str">
        <f t="shared" si="282"/>
        <v>CPOS410740</v>
      </c>
      <c r="D2764" s="95" t="s">
        <v>2814</v>
      </c>
      <c r="E2764" s="63" t="s">
        <v>58</v>
      </c>
      <c r="F2764" s="64">
        <v>9.75</v>
      </c>
    </row>
    <row r="2765" spans="1:6" x14ac:dyDescent="0.25">
      <c r="A2765" s="62" t="s">
        <v>4398</v>
      </c>
      <c r="B2765" s="96">
        <v>410741</v>
      </c>
      <c r="C2765" s="96" t="str">
        <f t="shared" si="282"/>
        <v>CPOS410741</v>
      </c>
      <c r="D2765" s="95" t="s">
        <v>2815</v>
      </c>
      <c r="E2765" s="63" t="s">
        <v>58</v>
      </c>
      <c r="F2765" s="64">
        <v>9.69</v>
      </c>
    </row>
    <row r="2766" spans="1:6" x14ac:dyDescent="0.25">
      <c r="A2766" s="62" t="s">
        <v>4398</v>
      </c>
      <c r="B2766" s="96">
        <v>410742</v>
      </c>
      <c r="C2766" s="96" t="str">
        <f t="shared" si="282"/>
        <v>CPOS410742</v>
      </c>
      <c r="D2766" s="95" t="s">
        <v>2816</v>
      </c>
      <c r="E2766" s="63" t="s">
        <v>58</v>
      </c>
      <c r="F2766" s="64">
        <v>10.9</v>
      </c>
    </row>
    <row r="2767" spans="1:6" x14ac:dyDescent="0.25">
      <c r="A2767" s="62" t="s">
        <v>4398</v>
      </c>
      <c r="B2767" s="96">
        <v>410743</v>
      </c>
      <c r="C2767" s="96" t="str">
        <f t="shared" si="282"/>
        <v>CPOS410743</v>
      </c>
      <c r="D2767" s="95" t="s">
        <v>2817</v>
      </c>
      <c r="E2767" s="63" t="s">
        <v>58</v>
      </c>
      <c r="F2767" s="64">
        <v>11.42</v>
      </c>
    </row>
    <row r="2768" spans="1:6" x14ac:dyDescent="0.25">
      <c r="A2768" s="62" t="s">
        <v>4398</v>
      </c>
      <c r="B2768" s="96">
        <v>410744</v>
      </c>
      <c r="C2768" s="96" t="str">
        <f t="shared" si="282"/>
        <v>CPOS410744</v>
      </c>
      <c r="D2768" s="95" t="s">
        <v>2818</v>
      </c>
      <c r="E2768" s="63" t="s">
        <v>58</v>
      </c>
      <c r="F2768" s="64">
        <v>12.98</v>
      </c>
    </row>
    <row r="2769" spans="1:6" x14ac:dyDescent="0.25">
      <c r="A2769" s="62" t="s">
        <v>4398</v>
      </c>
      <c r="B2769" s="96">
        <v>410745</v>
      </c>
      <c r="C2769" s="96" t="str">
        <f t="shared" si="282"/>
        <v>CPOS410745</v>
      </c>
      <c r="D2769" s="95" t="s">
        <v>2819</v>
      </c>
      <c r="E2769" s="63" t="s">
        <v>58</v>
      </c>
      <c r="F2769" s="64">
        <v>12.15</v>
      </c>
    </row>
    <row r="2770" spans="1:6" x14ac:dyDescent="0.25">
      <c r="A2770" s="62" t="s">
        <v>4398</v>
      </c>
      <c r="B2770" s="96">
        <v>410780</v>
      </c>
      <c r="C2770" s="96" t="str">
        <f t="shared" si="282"/>
        <v>CPOS410780</v>
      </c>
      <c r="D2770" s="95" t="s">
        <v>2820</v>
      </c>
      <c r="E2770" s="63" t="s">
        <v>58</v>
      </c>
      <c r="F2770" s="64">
        <v>10.23</v>
      </c>
    </row>
    <row r="2771" spans="1:6" x14ac:dyDescent="0.25">
      <c r="A2771" s="62" t="s">
        <v>4398</v>
      </c>
      <c r="B2771" s="96">
        <v>410781</v>
      </c>
      <c r="C2771" s="96" t="str">
        <f t="shared" si="282"/>
        <v>CPOS410781</v>
      </c>
      <c r="D2771" s="95" t="s">
        <v>2821</v>
      </c>
      <c r="E2771" s="63" t="s">
        <v>58</v>
      </c>
      <c r="F2771" s="64">
        <v>9.51</v>
      </c>
    </row>
    <row r="2772" spans="1:6" x14ac:dyDescent="0.25">
      <c r="A2772" s="62" t="s">
        <v>4398</v>
      </c>
      <c r="B2772" s="96">
        <v>410782</v>
      </c>
      <c r="C2772" s="96" t="str">
        <f t="shared" si="282"/>
        <v>CPOS410782</v>
      </c>
      <c r="D2772" s="95" t="s">
        <v>2822</v>
      </c>
      <c r="E2772" s="63" t="s">
        <v>58</v>
      </c>
      <c r="F2772" s="64">
        <v>9.27</v>
      </c>
    </row>
    <row r="2773" spans="1:6" x14ac:dyDescent="0.25">
      <c r="A2773" s="62" t="s">
        <v>4398</v>
      </c>
      <c r="B2773" s="96">
        <v>410783</v>
      </c>
      <c r="C2773" s="96" t="str">
        <f t="shared" si="282"/>
        <v>CPOS410783</v>
      </c>
      <c r="D2773" s="95" t="s">
        <v>2823</v>
      </c>
      <c r="E2773" s="63" t="s">
        <v>58</v>
      </c>
      <c r="F2773" s="64">
        <v>20.28</v>
      </c>
    </row>
    <row r="2774" spans="1:6" x14ac:dyDescent="0.25">
      <c r="A2774" s="62" t="s">
        <v>4398</v>
      </c>
      <c r="B2774" s="96">
        <v>410785</v>
      </c>
      <c r="C2774" s="96" t="str">
        <f t="shared" si="282"/>
        <v>CPOS410785</v>
      </c>
      <c r="D2774" s="95" t="s">
        <v>2824</v>
      </c>
      <c r="E2774" s="63" t="s">
        <v>58</v>
      </c>
      <c r="F2774" s="64">
        <v>10.540000000000001</v>
      </c>
    </row>
    <row r="2775" spans="1:6" x14ac:dyDescent="0.25">
      <c r="A2775" s="62" t="s">
        <v>4398</v>
      </c>
      <c r="B2775" s="96">
        <v>410786</v>
      </c>
      <c r="C2775" s="96" t="str">
        <f t="shared" si="282"/>
        <v>CPOS410786</v>
      </c>
      <c r="D2775" s="95" t="s">
        <v>2825</v>
      </c>
      <c r="E2775" s="63" t="s">
        <v>58</v>
      </c>
      <c r="F2775" s="64">
        <v>10.540000000000001</v>
      </c>
    </row>
    <row r="2776" spans="1:6" x14ac:dyDescent="0.25">
      <c r="D2776" s="94" t="s">
        <v>2826</v>
      </c>
    </row>
    <row r="2777" spans="1:6" x14ac:dyDescent="0.25">
      <c r="A2777" s="62" t="s">
        <v>4398</v>
      </c>
      <c r="B2777" s="96">
        <v>410801</v>
      </c>
      <c r="C2777" s="96" t="str">
        <f t="shared" ref="C2777:C2787" si="283">A2777&amp;B2777</f>
        <v>CPOS410801</v>
      </c>
      <c r="D2777" s="95" t="s">
        <v>2827</v>
      </c>
      <c r="E2777" s="63" t="s">
        <v>58</v>
      </c>
      <c r="F2777" s="64">
        <v>18.12</v>
      </c>
    </row>
    <row r="2778" spans="1:6" ht="30" x14ac:dyDescent="0.25">
      <c r="A2778" s="62" t="s">
        <v>4398</v>
      </c>
      <c r="B2778" s="96">
        <v>410821</v>
      </c>
      <c r="C2778" s="96" t="str">
        <f t="shared" si="283"/>
        <v>CPOS410821</v>
      </c>
      <c r="D2778" s="95" t="s">
        <v>2828</v>
      </c>
      <c r="E2778" s="63" t="s">
        <v>58</v>
      </c>
      <c r="F2778" s="64">
        <v>52.160000000000004</v>
      </c>
    </row>
    <row r="2779" spans="1:6" ht="30" x14ac:dyDescent="0.25">
      <c r="A2779" s="62" t="s">
        <v>4398</v>
      </c>
      <c r="B2779" s="96">
        <v>410823</v>
      </c>
      <c r="C2779" s="96" t="str">
        <f t="shared" si="283"/>
        <v>CPOS410823</v>
      </c>
      <c r="D2779" s="95" t="s">
        <v>2829</v>
      </c>
      <c r="E2779" s="63" t="s">
        <v>58</v>
      </c>
      <c r="F2779" s="64">
        <v>61.11</v>
      </c>
    </row>
    <row r="2780" spans="1:6" ht="30" x14ac:dyDescent="0.25">
      <c r="A2780" s="62" t="s">
        <v>4398</v>
      </c>
      <c r="B2780" s="96">
        <v>410825</v>
      </c>
      <c r="C2780" s="96" t="str">
        <f t="shared" si="283"/>
        <v>CPOS410825</v>
      </c>
      <c r="D2780" s="95" t="s">
        <v>2830</v>
      </c>
      <c r="E2780" s="63" t="s">
        <v>58</v>
      </c>
      <c r="F2780" s="64">
        <v>78.13</v>
      </c>
    </row>
    <row r="2781" spans="1:6" ht="30" x14ac:dyDescent="0.25">
      <c r="A2781" s="62" t="s">
        <v>4398</v>
      </c>
      <c r="B2781" s="96">
        <v>410827</v>
      </c>
      <c r="C2781" s="96" t="str">
        <f t="shared" si="283"/>
        <v>CPOS410827</v>
      </c>
      <c r="D2781" s="95" t="s">
        <v>2831</v>
      </c>
      <c r="E2781" s="63" t="s">
        <v>58</v>
      </c>
      <c r="F2781" s="64">
        <v>92.76</v>
      </c>
    </row>
    <row r="2782" spans="1:6" ht="30" x14ac:dyDescent="0.25">
      <c r="A2782" s="62" t="s">
        <v>4398</v>
      </c>
      <c r="B2782" s="96">
        <v>410828</v>
      </c>
      <c r="C2782" s="96" t="str">
        <f t="shared" si="283"/>
        <v>CPOS410828</v>
      </c>
      <c r="D2782" s="95" t="s">
        <v>2832</v>
      </c>
      <c r="E2782" s="63" t="s">
        <v>58</v>
      </c>
      <c r="F2782" s="64">
        <v>244.64000000000001</v>
      </c>
    </row>
    <row r="2783" spans="1:6" ht="30" x14ac:dyDescent="0.25">
      <c r="A2783" s="62" t="s">
        <v>4398</v>
      </c>
      <c r="B2783" s="96">
        <v>410842</v>
      </c>
      <c r="C2783" s="96" t="str">
        <f t="shared" si="283"/>
        <v>CPOS410842</v>
      </c>
      <c r="D2783" s="95" t="s">
        <v>2833</v>
      </c>
      <c r="E2783" s="63" t="s">
        <v>58</v>
      </c>
      <c r="F2783" s="64">
        <v>56.63</v>
      </c>
    </row>
    <row r="2784" spans="1:6" ht="30" x14ac:dyDescent="0.25">
      <c r="A2784" s="62" t="s">
        <v>4398</v>
      </c>
      <c r="B2784" s="96">
        <v>410844</v>
      </c>
      <c r="C2784" s="96" t="str">
        <f t="shared" si="283"/>
        <v>CPOS410844</v>
      </c>
      <c r="D2784" s="95" t="s">
        <v>2834</v>
      </c>
      <c r="E2784" s="63" t="s">
        <v>58</v>
      </c>
      <c r="F2784" s="64">
        <v>65.89</v>
      </c>
    </row>
    <row r="2785" spans="1:6" ht="30" x14ac:dyDescent="0.25">
      <c r="A2785" s="62" t="s">
        <v>4398</v>
      </c>
      <c r="B2785" s="96">
        <v>410845</v>
      </c>
      <c r="C2785" s="96" t="str">
        <f t="shared" si="283"/>
        <v>CPOS410845</v>
      </c>
      <c r="D2785" s="95" t="s">
        <v>2835</v>
      </c>
      <c r="E2785" s="63" t="s">
        <v>58</v>
      </c>
      <c r="F2785" s="64">
        <v>73.069999999999993</v>
      </c>
    </row>
    <row r="2786" spans="1:6" ht="30" x14ac:dyDescent="0.25">
      <c r="A2786" s="62" t="s">
        <v>4398</v>
      </c>
      <c r="B2786" s="96">
        <v>410846</v>
      </c>
      <c r="C2786" s="96" t="str">
        <f t="shared" si="283"/>
        <v>CPOS410846</v>
      </c>
      <c r="D2786" s="95" t="s">
        <v>2836</v>
      </c>
      <c r="E2786" s="63" t="s">
        <v>58</v>
      </c>
      <c r="F2786" s="64">
        <v>74.25</v>
      </c>
    </row>
    <row r="2787" spans="1:6" ht="30" x14ac:dyDescent="0.25">
      <c r="A2787" s="62" t="s">
        <v>4398</v>
      </c>
      <c r="B2787" s="96">
        <v>410848</v>
      </c>
      <c r="C2787" s="96" t="str">
        <f t="shared" si="283"/>
        <v>CPOS410848</v>
      </c>
      <c r="D2787" s="95" t="s">
        <v>2837</v>
      </c>
      <c r="E2787" s="63" t="s">
        <v>58</v>
      </c>
      <c r="F2787" s="64">
        <v>525.58000000000004</v>
      </c>
    </row>
    <row r="2788" spans="1:6" x14ac:dyDescent="0.25">
      <c r="D2788" s="94" t="s">
        <v>2838</v>
      </c>
    </row>
    <row r="2789" spans="1:6" ht="30" x14ac:dyDescent="0.25">
      <c r="A2789" s="62" t="s">
        <v>4398</v>
      </c>
      <c r="B2789" s="96">
        <v>410901</v>
      </c>
      <c r="C2789" s="96" t="str">
        <f t="shared" ref="C2789:C2809" si="284">A2789&amp;B2789</f>
        <v>CPOS410901</v>
      </c>
      <c r="D2789" s="95" t="s">
        <v>2839</v>
      </c>
      <c r="E2789" s="63" t="s">
        <v>58</v>
      </c>
      <c r="F2789" s="64">
        <v>56.01</v>
      </c>
    </row>
    <row r="2790" spans="1:6" ht="30" x14ac:dyDescent="0.25">
      <c r="A2790" s="62" t="s">
        <v>4398</v>
      </c>
      <c r="B2790" s="96">
        <v>410903</v>
      </c>
      <c r="C2790" s="96" t="str">
        <f t="shared" si="284"/>
        <v>CPOS410903</v>
      </c>
      <c r="D2790" s="95" t="s">
        <v>2840</v>
      </c>
      <c r="E2790" s="63" t="s">
        <v>58</v>
      </c>
      <c r="F2790" s="64">
        <v>28.560000000000002</v>
      </c>
    </row>
    <row r="2791" spans="1:6" ht="30" x14ac:dyDescent="0.25">
      <c r="A2791" s="62" t="s">
        <v>4398</v>
      </c>
      <c r="B2791" s="96">
        <v>410904</v>
      </c>
      <c r="C2791" s="96" t="str">
        <f t="shared" si="284"/>
        <v>CPOS410904</v>
      </c>
      <c r="D2791" s="95" t="s">
        <v>2841</v>
      </c>
      <c r="E2791" s="63" t="s">
        <v>58</v>
      </c>
      <c r="F2791" s="64">
        <v>37.07</v>
      </c>
    </row>
    <row r="2792" spans="1:6" ht="30" x14ac:dyDescent="0.25">
      <c r="A2792" s="62" t="s">
        <v>4398</v>
      </c>
      <c r="B2792" s="96">
        <v>410917</v>
      </c>
      <c r="C2792" s="96" t="str">
        <f t="shared" si="284"/>
        <v>CPOS410917</v>
      </c>
      <c r="D2792" s="95" t="s">
        <v>2842</v>
      </c>
      <c r="E2792" s="63" t="s">
        <v>58</v>
      </c>
      <c r="F2792" s="64">
        <v>111.75</v>
      </c>
    </row>
    <row r="2793" spans="1:6" ht="30" x14ac:dyDescent="0.25">
      <c r="A2793" s="62" t="s">
        <v>4398</v>
      </c>
      <c r="B2793" s="96">
        <v>410926</v>
      </c>
      <c r="C2793" s="96" t="str">
        <f t="shared" si="284"/>
        <v>CPOS410926</v>
      </c>
      <c r="D2793" s="95" t="s">
        <v>2843</v>
      </c>
      <c r="E2793" s="63" t="s">
        <v>58</v>
      </c>
      <c r="F2793" s="64">
        <v>29.44</v>
      </c>
    </row>
    <row r="2794" spans="1:6" ht="30" x14ac:dyDescent="0.25">
      <c r="A2794" s="62" t="s">
        <v>4398</v>
      </c>
      <c r="B2794" s="96">
        <v>410931</v>
      </c>
      <c r="C2794" s="96" t="str">
        <f t="shared" si="284"/>
        <v>CPOS410931</v>
      </c>
      <c r="D2794" s="95" t="s">
        <v>2844</v>
      </c>
      <c r="E2794" s="63" t="s">
        <v>58</v>
      </c>
      <c r="F2794" s="64">
        <v>16.73</v>
      </c>
    </row>
    <row r="2795" spans="1:6" ht="30" x14ac:dyDescent="0.25">
      <c r="A2795" s="62" t="s">
        <v>4398</v>
      </c>
      <c r="B2795" s="96">
        <v>410933</v>
      </c>
      <c r="C2795" s="96" t="str">
        <f t="shared" si="284"/>
        <v>CPOS410933</v>
      </c>
      <c r="D2795" s="95" t="s">
        <v>2845</v>
      </c>
      <c r="E2795" s="63" t="s">
        <v>58</v>
      </c>
      <c r="F2795" s="64">
        <v>15.9</v>
      </c>
    </row>
    <row r="2796" spans="1:6" ht="30" x14ac:dyDescent="0.25">
      <c r="A2796" s="62" t="s">
        <v>4398</v>
      </c>
      <c r="B2796" s="96">
        <v>410935</v>
      </c>
      <c r="C2796" s="96" t="str">
        <f t="shared" si="284"/>
        <v>CPOS410935</v>
      </c>
      <c r="D2796" s="95" t="s">
        <v>2846</v>
      </c>
      <c r="E2796" s="63" t="s">
        <v>58</v>
      </c>
      <c r="F2796" s="64">
        <v>19.07</v>
      </c>
    </row>
    <row r="2797" spans="1:6" ht="30" x14ac:dyDescent="0.25">
      <c r="A2797" s="62" t="s">
        <v>4398</v>
      </c>
      <c r="B2797" s="96">
        <v>410954</v>
      </c>
      <c r="C2797" s="96" t="str">
        <f t="shared" si="284"/>
        <v>CPOS410954</v>
      </c>
      <c r="D2797" s="95" t="s">
        <v>2847</v>
      </c>
      <c r="E2797" s="63" t="s">
        <v>58</v>
      </c>
      <c r="F2797" s="64">
        <v>16.27</v>
      </c>
    </row>
    <row r="2798" spans="1:6" ht="30" x14ac:dyDescent="0.25">
      <c r="A2798" s="62" t="s">
        <v>4398</v>
      </c>
      <c r="B2798" s="96">
        <v>410955</v>
      </c>
      <c r="C2798" s="96" t="str">
        <f t="shared" si="284"/>
        <v>CPOS410955</v>
      </c>
      <c r="D2798" s="95" t="s">
        <v>2848</v>
      </c>
      <c r="E2798" s="63" t="s">
        <v>58</v>
      </c>
      <c r="F2798" s="64">
        <v>18.39</v>
      </c>
    </row>
    <row r="2799" spans="1:6" ht="30" x14ac:dyDescent="0.25">
      <c r="A2799" s="62" t="s">
        <v>4398</v>
      </c>
      <c r="B2799" s="96">
        <v>410961</v>
      </c>
      <c r="C2799" s="96" t="str">
        <f t="shared" si="284"/>
        <v>CPOS410961</v>
      </c>
      <c r="D2799" s="95" t="s">
        <v>2849</v>
      </c>
      <c r="E2799" s="63" t="s">
        <v>58</v>
      </c>
      <c r="F2799" s="64">
        <v>42.44</v>
      </c>
    </row>
    <row r="2800" spans="1:6" ht="30" x14ac:dyDescent="0.25">
      <c r="A2800" s="62" t="s">
        <v>4398</v>
      </c>
      <c r="B2800" s="96">
        <v>410963</v>
      </c>
      <c r="C2800" s="96" t="str">
        <f t="shared" si="284"/>
        <v>CPOS410963</v>
      </c>
      <c r="D2800" s="95" t="s">
        <v>2850</v>
      </c>
      <c r="E2800" s="63" t="s">
        <v>58</v>
      </c>
      <c r="F2800" s="64">
        <v>22.29</v>
      </c>
    </row>
    <row r="2801" spans="1:6" ht="30" x14ac:dyDescent="0.25">
      <c r="A2801" s="62" t="s">
        <v>4398</v>
      </c>
      <c r="B2801" s="96">
        <v>410965</v>
      </c>
      <c r="C2801" s="96" t="str">
        <f t="shared" si="284"/>
        <v>CPOS410965</v>
      </c>
      <c r="D2801" s="95" t="s">
        <v>2851</v>
      </c>
      <c r="E2801" s="63" t="s">
        <v>58</v>
      </c>
      <c r="F2801" s="64">
        <v>50.21</v>
      </c>
    </row>
    <row r="2802" spans="1:6" ht="30" x14ac:dyDescent="0.25">
      <c r="A2802" s="62" t="s">
        <v>4398</v>
      </c>
      <c r="B2802" s="96">
        <v>410972</v>
      </c>
      <c r="C2802" s="96" t="str">
        <f t="shared" si="284"/>
        <v>CPOS410972</v>
      </c>
      <c r="D2802" s="95" t="s">
        <v>2852</v>
      </c>
      <c r="E2802" s="63" t="s">
        <v>58</v>
      </c>
      <c r="F2802" s="64">
        <v>26.61</v>
      </c>
    </row>
    <row r="2803" spans="1:6" ht="30" x14ac:dyDescent="0.25">
      <c r="A2803" s="62" t="s">
        <v>4398</v>
      </c>
      <c r="B2803" s="96">
        <v>410975</v>
      </c>
      <c r="C2803" s="96" t="str">
        <f t="shared" si="284"/>
        <v>CPOS410975</v>
      </c>
      <c r="D2803" s="95" t="s">
        <v>2853</v>
      </c>
      <c r="E2803" s="63" t="s">
        <v>58</v>
      </c>
      <c r="F2803" s="64">
        <v>26.96</v>
      </c>
    </row>
    <row r="2804" spans="1:6" ht="30" x14ac:dyDescent="0.25">
      <c r="A2804" s="62" t="s">
        <v>4398</v>
      </c>
      <c r="B2804" s="96">
        <v>410983</v>
      </c>
      <c r="C2804" s="96" t="str">
        <f t="shared" si="284"/>
        <v>CPOS410983</v>
      </c>
      <c r="D2804" s="95" t="s">
        <v>2854</v>
      </c>
      <c r="E2804" s="63" t="s">
        <v>58</v>
      </c>
      <c r="F2804" s="64">
        <v>65.989999999999995</v>
      </c>
    </row>
    <row r="2805" spans="1:6" ht="30" x14ac:dyDescent="0.25">
      <c r="A2805" s="62" t="s">
        <v>4398</v>
      </c>
      <c r="B2805" s="96">
        <v>410986</v>
      </c>
      <c r="C2805" s="96" t="str">
        <f t="shared" si="284"/>
        <v>CPOS410986</v>
      </c>
      <c r="D2805" s="95" t="s">
        <v>2855</v>
      </c>
      <c r="E2805" s="63" t="s">
        <v>58</v>
      </c>
      <c r="F2805" s="64">
        <v>17.05</v>
      </c>
    </row>
    <row r="2806" spans="1:6" ht="30" x14ac:dyDescent="0.25">
      <c r="A2806" s="62" t="s">
        <v>4398</v>
      </c>
      <c r="B2806" s="96">
        <v>410987</v>
      </c>
      <c r="C2806" s="96" t="str">
        <f t="shared" si="284"/>
        <v>CPOS410987</v>
      </c>
      <c r="D2806" s="95" t="s">
        <v>2856</v>
      </c>
      <c r="E2806" s="63" t="s">
        <v>58</v>
      </c>
      <c r="F2806" s="64">
        <v>20.87</v>
      </c>
    </row>
    <row r="2807" spans="1:6" ht="30" x14ac:dyDescent="0.25">
      <c r="A2807" s="62" t="s">
        <v>4398</v>
      </c>
      <c r="B2807" s="96">
        <v>410988</v>
      </c>
      <c r="C2807" s="96" t="str">
        <f t="shared" si="284"/>
        <v>CPOS410988</v>
      </c>
      <c r="D2807" s="95" t="s">
        <v>2857</v>
      </c>
      <c r="E2807" s="63" t="s">
        <v>58</v>
      </c>
      <c r="F2807" s="64">
        <v>29.13</v>
      </c>
    </row>
    <row r="2808" spans="1:6" ht="30" x14ac:dyDescent="0.25">
      <c r="A2808" s="62" t="s">
        <v>4398</v>
      </c>
      <c r="B2808" s="96">
        <v>410989</v>
      </c>
      <c r="C2808" s="96" t="str">
        <f t="shared" si="284"/>
        <v>CPOS410989</v>
      </c>
      <c r="D2808" s="95" t="s">
        <v>2858</v>
      </c>
      <c r="E2808" s="63" t="s">
        <v>58</v>
      </c>
      <c r="F2808" s="64">
        <v>31.62</v>
      </c>
    </row>
    <row r="2809" spans="1:6" ht="30" x14ac:dyDescent="0.25">
      <c r="A2809" s="62" t="s">
        <v>4398</v>
      </c>
      <c r="B2809" s="96">
        <v>410995</v>
      </c>
      <c r="C2809" s="96" t="str">
        <f t="shared" si="284"/>
        <v>CPOS410995</v>
      </c>
      <c r="D2809" s="95" t="s">
        <v>2859</v>
      </c>
      <c r="E2809" s="63" t="s">
        <v>58</v>
      </c>
      <c r="F2809" s="64">
        <v>64.44</v>
      </c>
    </row>
    <row r="2810" spans="1:6" x14ac:dyDescent="0.25">
      <c r="D2810" s="94" t="s">
        <v>2860</v>
      </c>
    </row>
    <row r="2811" spans="1:6" x14ac:dyDescent="0.25">
      <c r="A2811" s="62" t="s">
        <v>4398</v>
      </c>
      <c r="B2811" s="96">
        <v>411006</v>
      </c>
      <c r="C2811" s="96" t="str">
        <f t="shared" ref="C2811:C2829" si="285">A2811&amp;B2811</f>
        <v>CPOS411006</v>
      </c>
      <c r="D2811" s="95" t="s">
        <v>2861</v>
      </c>
      <c r="E2811" s="63" t="s">
        <v>58</v>
      </c>
      <c r="F2811" s="64">
        <v>66.36</v>
      </c>
    </row>
    <row r="2812" spans="1:6" x14ac:dyDescent="0.25">
      <c r="A2812" s="62" t="s">
        <v>4398</v>
      </c>
      <c r="B2812" s="96">
        <v>411007</v>
      </c>
      <c r="C2812" s="96" t="str">
        <f t="shared" si="285"/>
        <v>CPOS411007</v>
      </c>
      <c r="D2812" s="95" t="s">
        <v>2862</v>
      </c>
      <c r="E2812" s="63" t="s">
        <v>58</v>
      </c>
      <c r="F2812" s="64">
        <v>332.43</v>
      </c>
    </row>
    <row r="2813" spans="1:6" x14ac:dyDescent="0.25">
      <c r="A2813" s="62" t="s">
        <v>4398</v>
      </c>
      <c r="B2813" s="96">
        <v>411008</v>
      </c>
      <c r="C2813" s="96" t="str">
        <f t="shared" si="285"/>
        <v>CPOS411008</v>
      </c>
      <c r="D2813" s="95" t="s">
        <v>2863</v>
      </c>
      <c r="E2813" s="63" t="s">
        <v>58</v>
      </c>
      <c r="F2813" s="64">
        <v>216.14000000000001</v>
      </c>
    </row>
    <row r="2814" spans="1:6" x14ac:dyDescent="0.25">
      <c r="A2814" s="62" t="s">
        <v>4398</v>
      </c>
      <c r="B2814" s="96">
        <v>411024</v>
      </c>
      <c r="C2814" s="96" t="str">
        <f t="shared" si="285"/>
        <v>CPOS411024</v>
      </c>
      <c r="D2814" s="95" t="s">
        <v>2864</v>
      </c>
      <c r="E2814" s="63" t="s">
        <v>58</v>
      </c>
      <c r="F2814" s="64">
        <v>1071.8699999999999</v>
      </c>
    </row>
    <row r="2815" spans="1:6" ht="30" x14ac:dyDescent="0.25">
      <c r="A2815" s="62" t="s">
        <v>4398</v>
      </c>
      <c r="B2815" s="96">
        <v>411025</v>
      </c>
      <c r="C2815" s="96" t="str">
        <f t="shared" si="285"/>
        <v>CPOS411025</v>
      </c>
      <c r="D2815" s="95" t="s">
        <v>2865</v>
      </c>
      <c r="E2815" s="63" t="s">
        <v>58</v>
      </c>
      <c r="F2815" s="64">
        <v>1425.31</v>
      </c>
    </row>
    <row r="2816" spans="1:6" x14ac:dyDescent="0.25">
      <c r="A2816" s="62" t="s">
        <v>4398</v>
      </c>
      <c r="B2816" s="96">
        <v>411026</v>
      </c>
      <c r="C2816" s="96" t="str">
        <f t="shared" si="285"/>
        <v>CPOS411026</v>
      </c>
      <c r="D2816" s="95" t="s">
        <v>2866</v>
      </c>
      <c r="E2816" s="63" t="s">
        <v>58</v>
      </c>
      <c r="F2816" s="64">
        <v>1186.82</v>
      </c>
    </row>
    <row r="2817" spans="1:6" x14ac:dyDescent="0.25">
      <c r="A2817" s="62" t="s">
        <v>4398</v>
      </c>
      <c r="B2817" s="96">
        <v>411028</v>
      </c>
      <c r="C2817" s="96" t="str">
        <f t="shared" si="285"/>
        <v>CPOS411028</v>
      </c>
      <c r="D2817" s="95" t="s">
        <v>2867</v>
      </c>
      <c r="E2817" s="63" t="s">
        <v>58</v>
      </c>
      <c r="F2817" s="64">
        <v>1372.8500000000001</v>
      </c>
    </row>
    <row r="2818" spans="1:6" x14ac:dyDescent="0.25">
      <c r="A2818" s="62" t="s">
        <v>4398</v>
      </c>
      <c r="B2818" s="96">
        <v>411032</v>
      </c>
      <c r="C2818" s="96" t="str">
        <f t="shared" si="285"/>
        <v>CPOS411032</v>
      </c>
      <c r="D2818" s="95" t="s">
        <v>2868</v>
      </c>
      <c r="E2818" s="63" t="s">
        <v>58</v>
      </c>
      <c r="F2818" s="64">
        <v>2850.17</v>
      </c>
    </row>
    <row r="2819" spans="1:6" x14ac:dyDescent="0.25">
      <c r="A2819" s="62" t="s">
        <v>4398</v>
      </c>
      <c r="B2819" s="96">
        <v>411033</v>
      </c>
      <c r="C2819" s="96" t="str">
        <f t="shared" si="285"/>
        <v>CPOS411033</v>
      </c>
      <c r="D2819" s="95" t="s">
        <v>2869</v>
      </c>
      <c r="E2819" s="63" t="s">
        <v>58</v>
      </c>
      <c r="F2819" s="64">
        <v>1285</v>
      </c>
    </row>
    <row r="2820" spans="1:6" x14ac:dyDescent="0.25">
      <c r="A2820" s="62" t="s">
        <v>4398</v>
      </c>
      <c r="B2820" s="96">
        <v>411034</v>
      </c>
      <c r="C2820" s="96" t="str">
        <f t="shared" si="285"/>
        <v>CPOS411034</v>
      </c>
      <c r="D2820" s="95" t="s">
        <v>2870</v>
      </c>
      <c r="E2820" s="63" t="s">
        <v>58</v>
      </c>
      <c r="F2820" s="64">
        <v>1043.25</v>
      </c>
    </row>
    <row r="2821" spans="1:6" x14ac:dyDescent="0.25">
      <c r="A2821" s="62" t="s">
        <v>4398</v>
      </c>
      <c r="B2821" s="96">
        <v>411039</v>
      </c>
      <c r="C2821" s="96" t="str">
        <f t="shared" si="285"/>
        <v>CPOS411039</v>
      </c>
      <c r="D2821" s="95" t="s">
        <v>2871</v>
      </c>
      <c r="E2821" s="63" t="s">
        <v>58</v>
      </c>
      <c r="F2821" s="64">
        <v>1151.56</v>
      </c>
    </row>
    <row r="2822" spans="1:6" ht="30" x14ac:dyDescent="0.25">
      <c r="A2822" s="62" t="s">
        <v>4398</v>
      </c>
      <c r="B2822" s="96">
        <v>411040</v>
      </c>
      <c r="C2822" s="96" t="str">
        <f t="shared" si="285"/>
        <v>CPOS411040</v>
      </c>
      <c r="D2822" s="95" t="s">
        <v>2872</v>
      </c>
      <c r="E2822" s="63" t="s">
        <v>58</v>
      </c>
      <c r="F2822" s="64">
        <v>349.23</v>
      </c>
    </row>
    <row r="2823" spans="1:6" ht="30" x14ac:dyDescent="0.25">
      <c r="A2823" s="62" t="s">
        <v>4398</v>
      </c>
      <c r="B2823" s="96">
        <v>411041</v>
      </c>
      <c r="C2823" s="96" t="str">
        <f t="shared" si="285"/>
        <v>CPOS411041</v>
      </c>
      <c r="D2823" s="95" t="s">
        <v>2873</v>
      </c>
      <c r="E2823" s="63" t="s">
        <v>58</v>
      </c>
      <c r="F2823" s="64">
        <v>392.71000000000004</v>
      </c>
    </row>
    <row r="2824" spans="1:6" x14ac:dyDescent="0.25">
      <c r="A2824" s="62" t="s">
        <v>4398</v>
      </c>
      <c r="B2824" s="96">
        <v>411042</v>
      </c>
      <c r="C2824" s="96" t="str">
        <f t="shared" si="285"/>
        <v>CPOS411042</v>
      </c>
      <c r="D2824" s="95" t="s">
        <v>2874</v>
      </c>
      <c r="E2824" s="63" t="s">
        <v>58</v>
      </c>
      <c r="F2824" s="64">
        <v>1692.92</v>
      </c>
    </row>
    <row r="2825" spans="1:6" x14ac:dyDescent="0.25">
      <c r="A2825" s="62" t="s">
        <v>4398</v>
      </c>
      <c r="B2825" s="96">
        <v>411043</v>
      </c>
      <c r="C2825" s="96" t="str">
        <f t="shared" si="285"/>
        <v>CPOS411043</v>
      </c>
      <c r="D2825" s="95" t="s">
        <v>2875</v>
      </c>
      <c r="E2825" s="63" t="s">
        <v>58</v>
      </c>
      <c r="F2825" s="64">
        <v>741.09</v>
      </c>
    </row>
    <row r="2826" spans="1:6" x14ac:dyDescent="0.25">
      <c r="A2826" s="62" t="s">
        <v>4398</v>
      </c>
      <c r="B2826" s="96">
        <v>411044</v>
      </c>
      <c r="C2826" s="96" t="str">
        <f t="shared" si="285"/>
        <v>CPOS411044</v>
      </c>
      <c r="D2826" s="95" t="s">
        <v>2876</v>
      </c>
      <c r="E2826" s="63" t="s">
        <v>58</v>
      </c>
      <c r="F2826" s="64">
        <v>394.35</v>
      </c>
    </row>
    <row r="2827" spans="1:6" ht="30" x14ac:dyDescent="0.25">
      <c r="A2827" s="62" t="s">
        <v>4398</v>
      </c>
      <c r="B2827" s="96">
        <v>411047</v>
      </c>
      <c r="C2827" s="96" t="str">
        <f t="shared" si="285"/>
        <v>CPOS411047</v>
      </c>
      <c r="D2827" s="95" t="s">
        <v>2877</v>
      </c>
      <c r="E2827" s="63" t="s">
        <v>58</v>
      </c>
      <c r="F2827" s="64">
        <v>1658.58</v>
      </c>
    </row>
    <row r="2828" spans="1:6" x14ac:dyDescent="0.25">
      <c r="A2828" s="62" t="s">
        <v>4398</v>
      </c>
      <c r="B2828" s="96">
        <v>411049</v>
      </c>
      <c r="C2828" s="96" t="str">
        <f t="shared" si="285"/>
        <v>CPOS411049</v>
      </c>
      <c r="D2828" s="95" t="s">
        <v>2878</v>
      </c>
      <c r="E2828" s="63" t="s">
        <v>58</v>
      </c>
      <c r="F2828" s="64">
        <v>986.49</v>
      </c>
    </row>
    <row r="2829" spans="1:6" x14ac:dyDescent="0.25">
      <c r="A2829" s="62" t="s">
        <v>4398</v>
      </c>
      <c r="B2829" s="96">
        <v>411050</v>
      </c>
      <c r="C2829" s="96" t="str">
        <f t="shared" si="285"/>
        <v>CPOS411050</v>
      </c>
      <c r="D2829" s="95" t="s">
        <v>2879</v>
      </c>
      <c r="E2829" s="63" t="s">
        <v>58</v>
      </c>
      <c r="F2829" s="64">
        <v>561.21</v>
      </c>
    </row>
    <row r="2830" spans="1:6" x14ac:dyDescent="0.25">
      <c r="D2830" s="94" t="s">
        <v>2880</v>
      </c>
    </row>
    <row r="2831" spans="1:6" x14ac:dyDescent="0.25">
      <c r="A2831" s="62" t="s">
        <v>4398</v>
      </c>
      <c r="B2831" s="96">
        <v>411101</v>
      </c>
      <c r="C2831" s="96" t="str">
        <f t="shared" ref="C2831:C2845" si="286">A2831&amp;B2831</f>
        <v>CPOS411101</v>
      </c>
      <c r="D2831" s="95" t="s">
        <v>2881</v>
      </c>
      <c r="E2831" s="63" t="s">
        <v>58</v>
      </c>
      <c r="F2831" s="64">
        <v>205.24</v>
      </c>
    </row>
    <row r="2832" spans="1:6" x14ac:dyDescent="0.25">
      <c r="A2832" s="62" t="s">
        <v>4398</v>
      </c>
      <c r="B2832" s="96">
        <v>411102</v>
      </c>
      <c r="C2832" s="96" t="str">
        <f t="shared" si="286"/>
        <v>CPOS411102</v>
      </c>
      <c r="D2832" s="95" t="s">
        <v>2882</v>
      </c>
      <c r="E2832" s="63" t="s">
        <v>58</v>
      </c>
      <c r="F2832" s="64">
        <v>197.81</v>
      </c>
    </row>
    <row r="2833" spans="1:6" x14ac:dyDescent="0.25">
      <c r="A2833" s="62" t="s">
        <v>4398</v>
      </c>
      <c r="B2833" s="96">
        <v>411106</v>
      </c>
      <c r="C2833" s="96" t="str">
        <f t="shared" si="286"/>
        <v>CPOS411106</v>
      </c>
      <c r="D2833" s="95" t="s">
        <v>2883</v>
      </c>
      <c r="E2833" s="63" t="s">
        <v>58</v>
      </c>
      <c r="F2833" s="64">
        <v>406.96000000000004</v>
      </c>
    </row>
    <row r="2834" spans="1:6" x14ac:dyDescent="0.25">
      <c r="A2834" s="62" t="s">
        <v>4398</v>
      </c>
      <c r="B2834" s="96">
        <v>411109</v>
      </c>
      <c r="C2834" s="96" t="str">
        <f t="shared" si="286"/>
        <v>CPOS411109</v>
      </c>
      <c r="D2834" s="95" t="s">
        <v>2884</v>
      </c>
      <c r="E2834" s="63" t="s">
        <v>58</v>
      </c>
      <c r="F2834" s="64">
        <v>160.46</v>
      </c>
    </row>
    <row r="2835" spans="1:6" x14ac:dyDescent="0.25">
      <c r="A2835" s="62" t="s">
        <v>4398</v>
      </c>
      <c r="B2835" s="96">
        <v>411110</v>
      </c>
      <c r="C2835" s="96" t="str">
        <f t="shared" si="286"/>
        <v>CPOS411110</v>
      </c>
      <c r="D2835" s="95" t="s">
        <v>2885</v>
      </c>
      <c r="E2835" s="63" t="s">
        <v>58</v>
      </c>
      <c r="F2835" s="64">
        <v>274.20999999999998</v>
      </c>
    </row>
    <row r="2836" spans="1:6" ht="30" x14ac:dyDescent="0.25">
      <c r="A2836" s="62" t="s">
        <v>4398</v>
      </c>
      <c r="B2836" s="96">
        <v>411111</v>
      </c>
      <c r="C2836" s="96" t="str">
        <f t="shared" si="286"/>
        <v>CPOS411111</v>
      </c>
      <c r="D2836" s="95" t="s">
        <v>2886</v>
      </c>
      <c r="E2836" s="63" t="s">
        <v>58</v>
      </c>
      <c r="F2836" s="64">
        <v>243.9</v>
      </c>
    </row>
    <row r="2837" spans="1:6" ht="30" x14ac:dyDescent="0.25">
      <c r="A2837" s="62" t="s">
        <v>4398</v>
      </c>
      <c r="B2837" s="96">
        <v>411112</v>
      </c>
      <c r="C2837" s="96" t="str">
        <f t="shared" si="286"/>
        <v>CPOS411112</v>
      </c>
      <c r="D2837" s="95" t="s">
        <v>2887</v>
      </c>
      <c r="E2837" s="63" t="s">
        <v>58</v>
      </c>
      <c r="F2837" s="64">
        <v>183.43</v>
      </c>
    </row>
    <row r="2838" spans="1:6" ht="30" x14ac:dyDescent="0.25">
      <c r="A2838" s="62" t="s">
        <v>4398</v>
      </c>
      <c r="B2838" s="96">
        <v>411116</v>
      </c>
      <c r="C2838" s="96" t="str">
        <f t="shared" si="286"/>
        <v>CPOS411116</v>
      </c>
      <c r="D2838" s="95" t="s">
        <v>2888</v>
      </c>
      <c r="E2838" s="63" t="s">
        <v>58</v>
      </c>
      <c r="F2838" s="64">
        <v>377.43</v>
      </c>
    </row>
    <row r="2839" spans="1:6" x14ac:dyDescent="0.25">
      <c r="A2839" s="62" t="s">
        <v>4398</v>
      </c>
      <c r="B2839" s="96">
        <v>411144</v>
      </c>
      <c r="C2839" s="96" t="str">
        <f t="shared" si="286"/>
        <v>CPOS411144</v>
      </c>
      <c r="D2839" s="95" t="s">
        <v>2889</v>
      </c>
      <c r="E2839" s="63" t="s">
        <v>58</v>
      </c>
      <c r="F2839" s="64">
        <v>54.230000000000004</v>
      </c>
    </row>
    <row r="2840" spans="1:6" x14ac:dyDescent="0.25">
      <c r="A2840" s="62" t="s">
        <v>4398</v>
      </c>
      <c r="B2840" s="96">
        <v>411145</v>
      </c>
      <c r="C2840" s="96" t="str">
        <f t="shared" si="286"/>
        <v>CPOS411145</v>
      </c>
      <c r="D2840" s="95" t="s">
        <v>2890</v>
      </c>
      <c r="E2840" s="63" t="s">
        <v>58</v>
      </c>
      <c r="F2840" s="64">
        <v>66.34</v>
      </c>
    </row>
    <row r="2841" spans="1:6" x14ac:dyDescent="0.25">
      <c r="A2841" s="62" t="s">
        <v>4398</v>
      </c>
      <c r="B2841" s="96">
        <v>411146</v>
      </c>
      <c r="C2841" s="96" t="str">
        <f t="shared" si="286"/>
        <v>CPOS411146</v>
      </c>
      <c r="D2841" s="95" t="s">
        <v>2891</v>
      </c>
      <c r="E2841" s="63" t="s">
        <v>58</v>
      </c>
      <c r="F2841" s="64">
        <v>81.87</v>
      </c>
    </row>
    <row r="2842" spans="1:6" x14ac:dyDescent="0.25">
      <c r="A2842" s="62" t="s">
        <v>4398</v>
      </c>
      <c r="B2842" s="96">
        <v>411147</v>
      </c>
      <c r="C2842" s="96" t="str">
        <f t="shared" si="286"/>
        <v>CPOS411147</v>
      </c>
      <c r="D2842" s="95" t="s">
        <v>2892</v>
      </c>
      <c r="E2842" s="63" t="s">
        <v>58</v>
      </c>
      <c r="F2842" s="64">
        <v>97.25</v>
      </c>
    </row>
    <row r="2843" spans="1:6" ht="30" x14ac:dyDescent="0.25">
      <c r="A2843" s="62" t="s">
        <v>4398</v>
      </c>
      <c r="B2843" s="96">
        <v>411170</v>
      </c>
      <c r="C2843" s="96" t="str">
        <f t="shared" si="286"/>
        <v>CPOS411170</v>
      </c>
      <c r="D2843" s="95" t="s">
        <v>2893</v>
      </c>
      <c r="E2843" s="63" t="s">
        <v>58</v>
      </c>
      <c r="F2843" s="64">
        <v>1639.47</v>
      </c>
    </row>
    <row r="2844" spans="1:6" ht="30" x14ac:dyDescent="0.25">
      <c r="A2844" s="62" t="s">
        <v>4398</v>
      </c>
      <c r="B2844" s="96">
        <v>411171</v>
      </c>
      <c r="C2844" s="96" t="str">
        <f t="shared" si="286"/>
        <v>CPOS411171</v>
      </c>
      <c r="D2844" s="95" t="s">
        <v>2894</v>
      </c>
      <c r="E2844" s="63" t="s">
        <v>58</v>
      </c>
      <c r="F2844" s="64">
        <v>1561.71</v>
      </c>
    </row>
    <row r="2845" spans="1:6" ht="30" x14ac:dyDescent="0.25">
      <c r="A2845" s="62" t="s">
        <v>4398</v>
      </c>
      <c r="B2845" s="96">
        <v>411172</v>
      </c>
      <c r="C2845" s="96" t="str">
        <f t="shared" si="286"/>
        <v>CPOS411172</v>
      </c>
      <c r="D2845" s="95" t="s">
        <v>2895</v>
      </c>
      <c r="E2845" s="63" t="s">
        <v>58</v>
      </c>
      <c r="F2845" s="64">
        <v>1490.21</v>
      </c>
    </row>
    <row r="2846" spans="1:6" x14ac:dyDescent="0.25">
      <c r="D2846" s="94" t="s">
        <v>2896</v>
      </c>
    </row>
    <row r="2847" spans="1:6" ht="30" x14ac:dyDescent="0.25">
      <c r="A2847" s="62" t="s">
        <v>4398</v>
      </c>
      <c r="B2847" s="96">
        <v>411205</v>
      </c>
      <c r="C2847" s="96" t="str">
        <f t="shared" ref="C2847:C2854" si="287">A2847&amp;B2847</f>
        <v>CPOS411205</v>
      </c>
      <c r="D2847" s="95" t="s">
        <v>2897</v>
      </c>
      <c r="E2847" s="63" t="s">
        <v>58</v>
      </c>
      <c r="F2847" s="64">
        <v>560.69000000000005</v>
      </c>
    </row>
    <row r="2848" spans="1:6" ht="30" x14ac:dyDescent="0.25">
      <c r="A2848" s="62" t="s">
        <v>4398</v>
      </c>
      <c r="B2848" s="96">
        <v>411206</v>
      </c>
      <c r="C2848" s="96" t="str">
        <f t="shared" si="287"/>
        <v>CPOS411206</v>
      </c>
      <c r="D2848" s="95" t="s">
        <v>2898</v>
      </c>
      <c r="E2848" s="63" t="s">
        <v>58</v>
      </c>
      <c r="F2848" s="64">
        <v>681.64</v>
      </c>
    </row>
    <row r="2849" spans="1:6" ht="30" x14ac:dyDescent="0.25">
      <c r="A2849" s="62" t="s">
        <v>4398</v>
      </c>
      <c r="B2849" s="96">
        <v>411207</v>
      </c>
      <c r="C2849" s="96" t="str">
        <f t="shared" si="287"/>
        <v>CPOS411207</v>
      </c>
      <c r="D2849" s="95" t="s">
        <v>2899</v>
      </c>
      <c r="E2849" s="63" t="s">
        <v>58</v>
      </c>
      <c r="F2849" s="64">
        <v>247.29</v>
      </c>
    </row>
    <row r="2850" spans="1:6" x14ac:dyDescent="0.25">
      <c r="A2850" s="62" t="s">
        <v>4398</v>
      </c>
      <c r="B2850" s="96">
        <v>411208</v>
      </c>
      <c r="C2850" s="96" t="str">
        <f t="shared" si="287"/>
        <v>CPOS411208</v>
      </c>
      <c r="D2850" s="95" t="s">
        <v>2900</v>
      </c>
      <c r="E2850" s="63" t="s">
        <v>58</v>
      </c>
      <c r="F2850" s="64">
        <v>250.8</v>
      </c>
    </row>
    <row r="2851" spans="1:6" ht="30" x14ac:dyDescent="0.25">
      <c r="A2851" s="62" t="s">
        <v>4398</v>
      </c>
      <c r="B2851" s="96">
        <v>411209</v>
      </c>
      <c r="C2851" s="96" t="str">
        <f t="shared" si="287"/>
        <v>CPOS411209</v>
      </c>
      <c r="D2851" s="95" t="s">
        <v>2901</v>
      </c>
      <c r="E2851" s="63" t="s">
        <v>58</v>
      </c>
      <c r="F2851" s="64">
        <v>298.55</v>
      </c>
    </row>
    <row r="2852" spans="1:6" ht="30" x14ac:dyDescent="0.25">
      <c r="A2852" s="62" t="s">
        <v>4398</v>
      </c>
      <c r="B2852" s="96">
        <v>411213</v>
      </c>
      <c r="C2852" s="96" t="str">
        <f t="shared" si="287"/>
        <v>CPOS411213</v>
      </c>
      <c r="D2852" s="95" t="s">
        <v>2902</v>
      </c>
      <c r="E2852" s="63" t="s">
        <v>58</v>
      </c>
      <c r="F2852" s="64">
        <v>218.19</v>
      </c>
    </row>
    <row r="2853" spans="1:6" x14ac:dyDescent="0.25">
      <c r="A2853" s="62" t="s">
        <v>4398</v>
      </c>
      <c r="B2853" s="96">
        <v>411216</v>
      </c>
      <c r="C2853" s="96" t="str">
        <f t="shared" si="287"/>
        <v>CPOS411216</v>
      </c>
      <c r="D2853" s="95" t="s">
        <v>2903</v>
      </c>
      <c r="E2853" s="63" t="s">
        <v>58</v>
      </c>
      <c r="F2853" s="64">
        <v>236.9</v>
      </c>
    </row>
    <row r="2854" spans="1:6" ht="30" x14ac:dyDescent="0.25">
      <c r="A2854" s="62" t="s">
        <v>4398</v>
      </c>
      <c r="B2854" s="96">
        <v>411219</v>
      </c>
      <c r="C2854" s="96" t="str">
        <f t="shared" si="287"/>
        <v>CPOS411219</v>
      </c>
      <c r="D2854" s="95" t="s">
        <v>2904</v>
      </c>
      <c r="E2854" s="63" t="s">
        <v>58</v>
      </c>
      <c r="F2854" s="64">
        <v>258.57</v>
      </c>
    </row>
    <row r="2855" spans="1:6" x14ac:dyDescent="0.25">
      <c r="D2855" s="94" t="s">
        <v>2905</v>
      </c>
    </row>
    <row r="2856" spans="1:6" x14ac:dyDescent="0.25">
      <c r="A2856" s="62" t="s">
        <v>4398</v>
      </c>
      <c r="B2856" s="96">
        <v>411303</v>
      </c>
      <c r="C2856" s="96" t="str">
        <f t="shared" ref="C2856:C2865" si="288">A2856&amp;B2856</f>
        <v>CPOS411303</v>
      </c>
      <c r="D2856" s="95" t="s">
        <v>2906</v>
      </c>
      <c r="E2856" s="63" t="s">
        <v>58</v>
      </c>
      <c r="F2856" s="64">
        <v>129.19</v>
      </c>
    </row>
    <row r="2857" spans="1:6" ht="30" x14ac:dyDescent="0.25">
      <c r="A2857" s="62" t="s">
        <v>4398</v>
      </c>
      <c r="B2857" s="96">
        <v>411304</v>
      </c>
      <c r="C2857" s="96" t="str">
        <f t="shared" si="288"/>
        <v>CPOS411304</v>
      </c>
      <c r="D2857" s="95" t="s">
        <v>2907</v>
      </c>
      <c r="E2857" s="63" t="s">
        <v>58</v>
      </c>
      <c r="F2857" s="64">
        <v>124.76</v>
      </c>
    </row>
    <row r="2858" spans="1:6" ht="30" x14ac:dyDescent="0.25">
      <c r="A2858" s="62" t="s">
        <v>4398</v>
      </c>
      <c r="B2858" s="96">
        <v>411305</v>
      </c>
      <c r="C2858" s="96" t="str">
        <f t="shared" si="288"/>
        <v>CPOS411305</v>
      </c>
      <c r="D2858" s="95" t="s">
        <v>2908</v>
      </c>
      <c r="E2858" s="63" t="s">
        <v>58</v>
      </c>
      <c r="F2858" s="64">
        <v>110.65</v>
      </c>
    </row>
    <row r="2859" spans="1:6" ht="30" x14ac:dyDescent="0.25">
      <c r="A2859" s="62" t="s">
        <v>4398</v>
      </c>
      <c r="B2859" s="96">
        <v>411306</v>
      </c>
      <c r="C2859" s="96" t="str">
        <f t="shared" si="288"/>
        <v>CPOS411306</v>
      </c>
      <c r="D2859" s="95" t="s">
        <v>2909</v>
      </c>
      <c r="E2859" s="63" t="s">
        <v>58</v>
      </c>
      <c r="F2859" s="64">
        <v>209.96</v>
      </c>
    </row>
    <row r="2860" spans="1:6" x14ac:dyDescent="0.25">
      <c r="A2860" s="62" t="s">
        <v>4398</v>
      </c>
      <c r="B2860" s="96">
        <v>411308</v>
      </c>
      <c r="C2860" s="96" t="str">
        <f t="shared" si="288"/>
        <v>CPOS411308</v>
      </c>
      <c r="D2860" s="95" t="s">
        <v>2910</v>
      </c>
      <c r="E2860" s="63" t="s">
        <v>58</v>
      </c>
      <c r="F2860" s="64">
        <v>118.04</v>
      </c>
    </row>
    <row r="2861" spans="1:6" x14ac:dyDescent="0.25">
      <c r="A2861" s="62" t="s">
        <v>4398</v>
      </c>
      <c r="B2861" s="96">
        <v>411309</v>
      </c>
      <c r="C2861" s="96" t="str">
        <f t="shared" si="288"/>
        <v>CPOS411309</v>
      </c>
      <c r="D2861" s="95" t="s">
        <v>2911</v>
      </c>
      <c r="E2861" s="63" t="s">
        <v>58</v>
      </c>
      <c r="F2861" s="64">
        <v>106.49000000000001</v>
      </c>
    </row>
    <row r="2862" spans="1:6" ht="30" x14ac:dyDescent="0.25">
      <c r="A2862" s="62" t="s">
        <v>4398</v>
      </c>
      <c r="B2862" s="96">
        <v>411310</v>
      </c>
      <c r="C2862" s="96" t="str">
        <f t="shared" si="288"/>
        <v>CPOS411310</v>
      </c>
      <c r="D2862" s="95" t="s">
        <v>2912</v>
      </c>
      <c r="E2862" s="63" t="s">
        <v>58</v>
      </c>
      <c r="F2862" s="64">
        <v>171.8</v>
      </c>
    </row>
    <row r="2863" spans="1:6" ht="30" x14ac:dyDescent="0.25">
      <c r="A2863" s="62" t="s">
        <v>4398</v>
      </c>
      <c r="B2863" s="96">
        <v>411317</v>
      </c>
      <c r="C2863" s="96" t="str">
        <f t="shared" si="288"/>
        <v>CPOS411317</v>
      </c>
      <c r="D2863" s="95" t="s">
        <v>2913</v>
      </c>
      <c r="E2863" s="63" t="s">
        <v>58</v>
      </c>
      <c r="F2863" s="64">
        <v>136.91999999999999</v>
      </c>
    </row>
    <row r="2864" spans="1:6" x14ac:dyDescent="0.25">
      <c r="A2864" s="62" t="s">
        <v>4398</v>
      </c>
      <c r="B2864" s="96">
        <v>411318</v>
      </c>
      <c r="C2864" s="96" t="str">
        <f t="shared" si="288"/>
        <v>CPOS411318</v>
      </c>
      <c r="D2864" s="95" t="s">
        <v>2914</v>
      </c>
      <c r="E2864" s="63" t="s">
        <v>58</v>
      </c>
      <c r="F2864" s="64">
        <v>76.23</v>
      </c>
    </row>
    <row r="2865" spans="1:6" ht="30" x14ac:dyDescent="0.25">
      <c r="A2865" s="62" t="s">
        <v>4398</v>
      </c>
      <c r="B2865" s="96">
        <v>411320</v>
      </c>
      <c r="C2865" s="96" t="str">
        <f t="shared" si="288"/>
        <v>CPOS411320</v>
      </c>
      <c r="D2865" s="95" t="s">
        <v>2915</v>
      </c>
      <c r="E2865" s="63" t="s">
        <v>58</v>
      </c>
      <c r="F2865" s="64">
        <v>72.06</v>
      </c>
    </row>
    <row r="2866" spans="1:6" x14ac:dyDescent="0.25">
      <c r="D2866" s="94" t="s">
        <v>2916</v>
      </c>
    </row>
    <row r="2867" spans="1:6" ht="30" x14ac:dyDescent="0.25">
      <c r="A2867" s="62" t="s">
        <v>4398</v>
      </c>
      <c r="B2867" s="96">
        <v>411402</v>
      </c>
      <c r="C2867" s="96" t="str">
        <f t="shared" ref="C2867:C2912" si="289">A2867&amp;B2867</f>
        <v>CPOS411402</v>
      </c>
      <c r="D2867" s="95" t="s">
        <v>2917</v>
      </c>
      <c r="E2867" s="63" t="s">
        <v>58</v>
      </c>
      <c r="F2867" s="64">
        <v>137.4</v>
      </c>
    </row>
    <row r="2868" spans="1:6" ht="30" x14ac:dyDescent="0.25">
      <c r="A2868" s="62" t="s">
        <v>4398</v>
      </c>
      <c r="B2868" s="96">
        <v>411404</v>
      </c>
      <c r="C2868" s="96" t="str">
        <f t="shared" si="289"/>
        <v>CPOS411404</v>
      </c>
      <c r="D2868" s="95" t="s">
        <v>2918</v>
      </c>
      <c r="E2868" s="63" t="s">
        <v>58</v>
      </c>
      <c r="F2868" s="64">
        <v>69.56</v>
      </c>
    </row>
    <row r="2869" spans="1:6" ht="30" x14ac:dyDescent="0.25">
      <c r="A2869" s="62" t="s">
        <v>4398</v>
      </c>
      <c r="B2869" s="96">
        <v>411406</v>
      </c>
      <c r="C2869" s="96" t="str">
        <f t="shared" si="289"/>
        <v>CPOS411406</v>
      </c>
      <c r="D2869" s="95" t="s">
        <v>2919</v>
      </c>
      <c r="E2869" s="63" t="s">
        <v>58</v>
      </c>
      <c r="F2869" s="64">
        <v>34.79</v>
      </c>
    </row>
    <row r="2870" spans="1:6" ht="30" x14ac:dyDescent="0.25">
      <c r="A2870" s="62" t="s">
        <v>4398</v>
      </c>
      <c r="B2870" s="96">
        <v>411407</v>
      </c>
      <c r="C2870" s="96" t="str">
        <f t="shared" si="289"/>
        <v>CPOS411407</v>
      </c>
      <c r="D2870" s="95" t="s">
        <v>2920</v>
      </c>
      <c r="E2870" s="63" t="s">
        <v>58</v>
      </c>
      <c r="F2870" s="64">
        <v>43.19</v>
      </c>
    </row>
    <row r="2871" spans="1:6" ht="30" x14ac:dyDescent="0.25">
      <c r="A2871" s="62" t="s">
        <v>4398</v>
      </c>
      <c r="B2871" s="96">
        <v>411408</v>
      </c>
      <c r="C2871" s="96" t="str">
        <f t="shared" si="289"/>
        <v>CPOS411408</v>
      </c>
      <c r="D2871" s="95" t="s">
        <v>2921</v>
      </c>
      <c r="E2871" s="63" t="s">
        <v>58</v>
      </c>
      <c r="F2871" s="64">
        <v>49.51</v>
      </c>
    </row>
    <row r="2872" spans="1:6" ht="30" x14ac:dyDescent="0.25">
      <c r="A2872" s="62" t="s">
        <v>4398</v>
      </c>
      <c r="B2872" s="96">
        <v>411409</v>
      </c>
      <c r="C2872" s="96" t="str">
        <f t="shared" si="289"/>
        <v>CPOS411409</v>
      </c>
      <c r="D2872" s="95" t="s">
        <v>2922</v>
      </c>
      <c r="E2872" s="63" t="s">
        <v>58</v>
      </c>
      <c r="F2872" s="64">
        <v>190.71</v>
      </c>
    </row>
    <row r="2873" spans="1:6" ht="30" x14ac:dyDescent="0.25">
      <c r="A2873" s="62" t="s">
        <v>4398</v>
      </c>
      <c r="B2873" s="96">
        <v>411411</v>
      </c>
      <c r="C2873" s="96" t="str">
        <f t="shared" si="289"/>
        <v>CPOS411411</v>
      </c>
      <c r="D2873" s="95" t="s">
        <v>2923</v>
      </c>
      <c r="E2873" s="63" t="s">
        <v>58</v>
      </c>
      <c r="F2873" s="64">
        <v>51.04</v>
      </c>
    </row>
    <row r="2874" spans="1:6" ht="30" x14ac:dyDescent="0.25">
      <c r="A2874" s="62" t="s">
        <v>4398</v>
      </c>
      <c r="B2874" s="96">
        <v>411412</v>
      </c>
      <c r="C2874" s="96" t="str">
        <f t="shared" si="289"/>
        <v>CPOS411412</v>
      </c>
      <c r="D2874" s="95" t="s">
        <v>2924</v>
      </c>
      <c r="E2874" s="63" t="s">
        <v>58</v>
      </c>
      <c r="F2874" s="64">
        <v>54.47</v>
      </c>
    </row>
    <row r="2875" spans="1:6" ht="30" x14ac:dyDescent="0.25">
      <c r="A2875" s="62" t="s">
        <v>4398</v>
      </c>
      <c r="B2875" s="96">
        <v>411413</v>
      </c>
      <c r="C2875" s="96" t="str">
        <f t="shared" si="289"/>
        <v>CPOS411413</v>
      </c>
      <c r="D2875" s="95" t="s">
        <v>2925</v>
      </c>
      <c r="E2875" s="63" t="s">
        <v>58</v>
      </c>
      <c r="F2875" s="64">
        <v>43.79</v>
      </c>
    </row>
    <row r="2876" spans="1:6" ht="30" x14ac:dyDescent="0.25">
      <c r="A2876" s="62" t="s">
        <v>4398</v>
      </c>
      <c r="B2876" s="96">
        <v>411416</v>
      </c>
      <c r="C2876" s="96" t="str">
        <f t="shared" si="289"/>
        <v>CPOS411416</v>
      </c>
      <c r="D2876" s="95" t="s">
        <v>2926</v>
      </c>
      <c r="E2876" s="63" t="s">
        <v>58</v>
      </c>
      <c r="F2876" s="64">
        <v>143.96</v>
      </c>
    </row>
    <row r="2877" spans="1:6" ht="30" x14ac:dyDescent="0.25">
      <c r="A2877" s="62" t="s">
        <v>4398</v>
      </c>
      <c r="B2877" s="96">
        <v>411418</v>
      </c>
      <c r="C2877" s="96" t="str">
        <f t="shared" si="289"/>
        <v>CPOS411418</v>
      </c>
      <c r="D2877" s="95" t="s">
        <v>2927</v>
      </c>
      <c r="E2877" s="63" t="s">
        <v>58</v>
      </c>
      <c r="F2877" s="64">
        <v>319.77</v>
      </c>
    </row>
    <row r="2878" spans="1:6" ht="30" x14ac:dyDescent="0.25">
      <c r="A2878" s="62" t="s">
        <v>4398</v>
      </c>
      <c r="B2878" s="96">
        <v>411421</v>
      </c>
      <c r="C2878" s="96" t="str">
        <f t="shared" si="289"/>
        <v>CPOS411421</v>
      </c>
      <c r="D2878" s="95" t="s">
        <v>2928</v>
      </c>
      <c r="E2878" s="63" t="s">
        <v>58</v>
      </c>
      <c r="F2878" s="64">
        <v>66</v>
      </c>
    </row>
    <row r="2879" spans="1:6" ht="30" x14ac:dyDescent="0.25">
      <c r="A2879" s="62" t="s">
        <v>4398</v>
      </c>
      <c r="B2879" s="96">
        <v>411422</v>
      </c>
      <c r="C2879" s="96" t="str">
        <f t="shared" si="289"/>
        <v>CPOS411422</v>
      </c>
      <c r="D2879" s="95" t="s">
        <v>2929</v>
      </c>
      <c r="E2879" s="63" t="s">
        <v>58</v>
      </c>
      <c r="F2879" s="64">
        <v>79.22</v>
      </c>
    </row>
    <row r="2880" spans="1:6" ht="30" x14ac:dyDescent="0.25">
      <c r="A2880" s="62" t="s">
        <v>4398</v>
      </c>
      <c r="B2880" s="96">
        <v>411428</v>
      </c>
      <c r="C2880" s="96" t="str">
        <f t="shared" si="289"/>
        <v>CPOS411428</v>
      </c>
      <c r="D2880" s="95" t="s">
        <v>2930</v>
      </c>
      <c r="E2880" s="63" t="s">
        <v>58</v>
      </c>
      <c r="F2880" s="64">
        <v>105.21000000000001</v>
      </c>
    </row>
    <row r="2881" spans="1:6" ht="30" x14ac:dyDescent="0.25">
      <c r="A2881" s="62" t="s">
        <v>4398</v>
      </c>
      <c r="B2881" s="96">
        <v>411431</v>
      </c>
      <c r="C2881" s="96" t="str">
        <f t="shared" si="289"/>
        <v>CPOS411431</v>
      </c>
      <c r="D2881" s="95" t="s">
        <v>2931</v>
      </c>
      <c r="E2881" s="63" t="s">
        <v>58</v>
      </c>
      <c r="F2881" s="64">
        <v>76.430000000000007</v>
      </c>
    </row>
    <row r="2882" spans="1:6" ht="30" x14ac:dyDescent="0.25">
      <c r="A2882" s="62" t="s">
        <v>4398</v>
      </c>
      <c r="B2882" s="96">
        <v>411436</v>
      </c>
      <c r="C2882" s="96" t="str">
        <f t="shared" si="289"/>
        <v>CPOS411436</v>
      </c>
      <c r="D2882" s="95" t="s">
        <v>2932</v>
      </c>
      <c r="E2882" s="63" t="s">
        <v>58</v>
      </c>
      <c r="F2882" s="64">
        <v>72.48</v>
      </c>
    </row>
    <row r="2883" spans="1:6" ht="30" x14ac:dyDescent="0.25">
      <c r="A2883" s="62" t="s">
        <v>4398</v>
      </c>
      <c r="B2883" s="96">
        <v>411439</v>
      </c>
      <c r="C2883" s="96" t="str">
        <f t="shared" si="289"/>
        <v>CPOS411439</v>
      </c>
      <c r="D2883" s="95" t="s">
        <v>2933</v>
      </c>
      <c r="E2883" s="63" t="s">
        <v>58</v>
      </c>
      <c r="F2883" s="64">
        <v>92.69</v>
      </c>
    </row>
    <row r="2884" spans="1:6" ht="30" x14ac:dyDescent="0.25">
      <c r="A2884" s="62" t="s">
        <v>4398</v>
      </c>
      <c r="B2884" s="96">
        <v>411440</v>
      </c>
      <c r="C2884" s="96" t="str">
        <f t="shared" si="289"/>
        <v>CPOS411440</v>
      </c>
      <c r="D2884" s="95" t="s">
        <v>2934</v>
      </c>
      <c r="E2884" s="63" t="s">
        <v>58</v>
      </c>
      <c r="F2884" s="64">
        <v>174.25</v>
      </c>
    </row>
    <row r="2885" spans="1:6" ht="30" x14ac:dyDescent="0.25">
      <c r="A2885" s="62" t="s">
        <v>4398</v>
      </c>
      <c r="B2885" s="96">
        <v>411443</v>
      </c>
      <c r="C2885" s="96" t="str">
        <f t="shared" si="289"/>
        <v>CPOS411443</v>
      </c>
      <c r="D2885" s="95" t="s">
        <v>2935</v>
      </c>
      <c r="E2885" s="63" t="s">
        <v>58</v>
      </c>
      <c r="F2885" s="64">
        <v>132.41999999999999</v>
      </c>
    </row>
    <row r="2886" spans="1:6" ht="30" x14ac:dyDescent="0.25">
      <c r="A2886" s="62" t="s">
        <v>4398</v>
      </c>
      <c r="B2886" s="96">
        <v>411444</v>
      </c>
      <c r="C2886" s="96" t="str">
        <f t="shared" si="289"/>
        <v>CPOS411444</v>
      </c>
      <c r="D2886" s="95" t="s">
        <v>2936</v>
      </c>
      <c r="E2886" s="63" t="s">
        <v>58</v>
      </c>
      <c r="F2886" s="64">
        <v>79.25</v>
      </c>
    </row>
    <row r="2887" spans="1:6" ht="30" x14ac:dyDescent="0.25">
      <c r="A2887" s="62" t="s">
        <v>4398</v>
      </c>
      <c r="B2887" s="96">
        <v>411445</v>
      </c>
      <c r="C2887" s="96" t="str">
        <f t="shared" si="289"/>
        <v>CPOS411445</v>
      </c>
      <c r="D2887" s="95" t="s">
        <v>2937</v>
      </c>
      <c r="E2887" s="63" t="s">
        <v>58</v>
      </c>
      <c r="F2887" s="64">
        <v>79.37</v>
      </c>
    </row>
    <row r="2888" spans="1:6" ht="30" x14ac:dyDescent="0.25">
      <c r="A2888" s="62" t="s">
        <v>4398</v>
      </c>
      <c r="B2888" s="96">
        <v>411447</v>
      </c>
      <c r="C2888" s="96" t="str">
        <f t="shared" si="289"/>
        <v>CPOS411447</v>
      </c>
      <c r="D2888" s="95" t="s">
        <v>2938</v>
      </c>
      <c r="E2888" s="63" t="s">
        <v>58</v>
      </c>
      <c r="F2888" s="64">
        <v>51.21</v>
      </c>
    </row>
    <row r="2889" spans="1:6" ht="30" x14ac:dyDescent="0.25">
      <c r="A2889" s="62" t="s">
        <v>4398</v>
      </c>
      <c r="B2889" s="96">
        <v>411451</v>
      </c>
      <c r="C2889" s="96" t="str">
        <f t="shared" si="289"/>
        <v>CPOS411451</v>
      </c>
      <c r="D2889" s="95" t="s">
        <v>2939</v>
      </c>
      <c r="E2889" s="63" t="s">
        <v>58</v>
      </c>
      <c r="F2889" s="64">
        <v>124.04</v>
      </c>
    </row>
    <row r="2890" spans="1:6" ht="30" x14ac:dyDescent="0.25">
      <c r="A2890" s="62" t="s">
        <v>4398</v>
      </c>
      <c r="B2890" s="96">
        <v>411453</v>
      </c>
      <c r="C2890" s="96" t="str">
        <f t="shared" si="289"/>
        <v>CPOS411453</v>
      </c>
      <c r="D2890" s="95" t="s">
        <v>2940</v>
      </c>
      <c r="E2890" s="63" t="s">
        <v>58</v>
      </c>
      <c r="F2890" s="64">
        <v>136.71</v>
      </c>
    </row>
    <row r="2891" spans="1:6" ht="30" x14ac:dyDescent="0.25">
      <c r="A2891" s="62" t="s">
        <v>4398</v>
      </c>
      <c r="B2891" s="96">
        <v>411454</v>
      </c>
      <c r="C2891" s="96" t="str">
        <f t="shared" si="289"/>
        <v>CPOS411454</v>
      </c>
      <c r="D2891" s="95" t="s">
        <v>2941</v>
      </c>
      <c r="E2891" s="63" t="s">
        <v>58</v>
      </c>
      <c r="F2891" s="64">
        <v>93.48</v>
      </c>
    </row>
    <row r="2892" spans="1:6" ht="30" x14ac:dyDescent="0.25">
      <c r="A2892" s="62" t="s">
        <v>4398</v>
      </c>
      <c r="B2892" s="96">
        <v>411455</v>
      </c>
      <c r="C2892" s="96" t="str">
        <f t="shared" si="289"/>
        <v>CPOS411455</v>
      </c>
      <c r="D2892" s="95" t="s">
        <v>2942</v>
      </c>
      <c r="E2892" s="63" t="s">
        <v>58</v>
      </c>
      <c r="F2892" s="64">
        <v>222.78</v>
      </c>
    </row>
    <row r="2893" spans="1:6" ht="30" x14ac:dyDescent="0.25">
      <c r="A2893" s="62" t="s">
        <v>4398</v>
      </c>
      <c r="B2893" s="96">
        <v>411456</v>
      </c>
      <c r="C2893" s="96" t="str">
        <f t="shared" si="289"/>
        <v>CPOS411456</v>
      </c>
      <c r="D2893" s="95" t="s">
        <v>2943</v>
      </c>
      <c r="E2893" s="63" t="s">
        <v>58</v>
      </c>
      <c r="F2893" s="64">
        <v>119.36</v>
      </c>
    </row>
    <row r="2894" spans="1:6" ht="30" x14ac:dyDescent="0.25">
      <c r="A2894" s="62" t="s">
        <v>4398</v>
      </c>
      <c r="B2894" s="96">
        <v>411459</v>
      </c>
      <c r="C2894" s="96" t="str">
        <f t="shared" si="289"/>
        <v>CPOS411459</v>
      </c>
      <c r="D2894" s="95" t="s">
        <v>2944</v>
      </c>
      <c r="E2894" s="63" t="s">
        <v>58</v>
      </c>
      <c r="F2894" s="64">
        <v>49.83</v>
      </c>
    </row>
    <row r="2895" spans="1:6" ht="30" x14ac:dyDescent="0.25">
      <c r="A2895" s="62" t="s">
        <v>4398</v>
      </c>
      <c r="B2895" s="96">
        <v>411460</v>
      </c>
      <c r="C2895" s="96" t="str">
        <f t="shared" si="289"/>
        <v>CPOS411460</v>
      </c>
      <c r="D2895" s="95" t="s">
        <v>2945</v>
      </c>
      <c r="E2895" s="63" t="s">
        <v>58</v>
      </c>
      <c r="F2895" s="64">
        <v>68.83</v>
      </c>
    </row>
    <row r="2896" spans="1:6" ht="30" x14ac:dyDescent="0.25">
      <c r="A2896" s="62" t="s">
        <v>4398</v>
      </c>
      <c r="B2896" s="96">
        <v>411461</v>
      </c>
      <c r="C2896" s="96" t="str">
        <f t="shared" si="289"/>
        <v>CPOS411461</v>
      </c>
      <c r="D2896" s="95" t="s">
        <v>2946</v>
      </c>
      <c r="E2896" s="63" t="s">
        <v>58</v>
      </c>
      <c r="F2896" s="64">
        <v>82.77</v>
      </c>
    </row>
    <row r="2897" spans="1:6" ht="30" x14ac:dyDescent="0.25">
      <c r="A2897" s="62" t="s">
        <v>4398</v>
      </c>
      <c r="B2897" s="96">
        <v>411462</v>
      </c>
      <c r="C2897" s="96" t="str">
        <f t="shared" si="289"/>
        <v>CPOS411462</v>
      </c>
      <c r="D2897" s="95" t="s">
        <v>2947</v>
      </c>
      <c r="E2897" s="63" t="s">
        <v>58</v>
      </c>
      <c r="F2897" s="64">
        <v>131.80000000000001</v>
      </c>
    </row>
    <row r="2898" spans="1:6" ht="30" x14ac:dyDescent="0.25">
      <c r="A2898" s="62" t="s">
        <v>4398</v>
      </c>
      <c r="B2898" s="96">
        <v>411463</v>
      </c>
      <c r="C2898" s="96" t="str">
        <f t="shared" si="289"/>
        <v>CPOS411463</v>
      </c>
      <c r="D2898" s="95" t="s">
        <v>2948</v>
      </c>
      <c r="E2898" s="63" t="s">
        <v>58</v>
      </c>
      <c r="F2898" s="64">
        <v>70.28</v>
      </c>
    </row>
    <row r="2899" spans="1:6" ht="30" x14ac:dyDescent="0.25">
      <c r="A2899" s="62" t="s">
        <v>4398</v>
      </c>
      <c r="B2899" s="96">
        <v>411464</v>
      </c>
      <c r="C2899" s="96" t="str">
        <f t="shared" si="289"/>
        <v>CPOS411464</v>
      </c>
      <c r="D2899" s="95" t="s">
        <v>2949</v>
      </c>
      <c r="E2899" s="63" t="s">
        <v>58</v>
      </c>
      <c r="F2899" s="64">
        <v>88.320000000000007</v>
      </c>
    </row>
    <row r="2900" spans="1:6" ht="30" x14ac:dyDescent="0.25">
      <c r="A2900" s="62" t="s">
        <v>4398</v>
      </c>
      <c r="B2900" s="96">
        <v>411465</v>
      </c>
      <c r="C2900" s="96" t="str">
        <f t="shared" si="289"/>
        <v>CPOS411465</v>
      </c>
      <c r="D2900" s="95" t="s">
        <v>2950</v>
      </c>
      <c r="E2900" s="63" t="s">
        <v>58</v>
      </c>
      <c r="F2900" s="64">
        <v>69.400000000000006</v>
      </c>
    </row>
    <row r="2901" spans="1:6" ht="30" x14ac:dyDescent="0.25">
      <c r="A2901" s="62" t="s">
        <v>4398</v>
      </c>
      <c r="B2901" s="96">
        <v>411466</v>
      </c>
      <c r="C2901" s="96" t="str">
        <f t="shared" si="289"/>
        <v>CPOS411466</v>
      </c>
      <c r="D2901" s="95" t="s">
        <v>2951</v>
      </c>
      <c r="E2901" s="63" t="s">
        <v>58</v>
      </c>
      <c r="F2901" s="64">
        <v>127.54</v>
      </c>
    </row>
    <row r="2902" spans="1:6" ht="30" x14ac:dyDescent="0.25">
      <c r="A2902" s="62" t="s">
        <v>4398</v>
      </c>
      <c r="B2902" s="96">
        <v>411467</v>
      </c>
      <c r="C2902" s="96" t="str">
        <f t="shared" si="289"/>
        <v>CPOS411467</v>
      </c>
      <c r="D2902" s="95" t="s">
        <v>2952</v>
      </c>
      <c r="E2902" s="63" t="s">
        <v>58</v>
      </c>
      <c r="F2902" s="64">
        <v>91.81</v>
      </c>
    </row>
    <row r="2903" spans="1:6" ht="30" x14ac:dyDescent="0.25">
      <c r="A2903" s="62" t="s">
        <v>4398</v>
      </c>
      <c r="B2903" s="96">
        <v>411470</v>
      </c>
      <c r="C2903" s="96" t="str">
        <f t="shared" si="289"/>
        <v>CPOS411470</v>
      </c>
      <c r="D2903" s="95" t="s">
        <v>2953</v>
      </c>
      <c r="E2903" s="63" t="s">
        <v>58</v>
      </c>
      <c r="F2903" s="64">
        <v>236.65</v>
      </c>
    </row>
    <row r="2904" spans="1:6" ht="30" x14ac:dyDescent="0.25">
      <c r="A2904" s="62" t="s">
        <v>4398</v>
      </c>
      <c r="B2904" s="96">
        <v>411471</v>
      </c>
      <c r="C2904" s="96" t="str">
        <f t="shared" si="289"/>
        <v>CPOS411471</v>
      </c>
      <c r="D2904" s="95" t="s">
        <v>2954</v>
      </c>
      <c r="E2904" s="63" t="s">
        <v>58</v>
      </c>
      <c r="F2904" s="64">
        <v>171.52</v>
      </c>
    </row>
    <row r="2905" spans="1:6" ht="30" x14ac:dyDescent="0.25">
      <c r="A2905" s="62" t="s">
        <v>4398</v>
      </c>
      <c r="B2905" s="96">
        <v>411472</v>
      </c>
      <c r="C2905" s="96" t="str">
        <f t="shared" si="289"/>
        <v>CPOS411472</v>
      </c>
      <c r="D2905" s="95" t="s">
        <v>2955</v>
      </c>
      <c r="E2905" s="63" t="s">
        <v>58</v>
      </c>
      <c r="F2905" s="64">
        <v>177.47</v>
      </c>
    </row>
    <row r="2906" spans="1:6" ht="30" x14ac:dyDescent="0.25">
      <c r="A2906" s="62" t="s">
        <v>4398</v>
      </c>
      <c r="B2906" s="96">
        <v>411473</v>
      </c>
      <c r="C2906" s="96" t="str">
        <f t="shared" si="289"/>
        <v>CPOS411473</v>
      </c>
      <c r="D2906" s="95" t="s">
        <v>2956</v>
      </c>
      <c r="E2906" s="63" t="s">
        <v>58</v>
      </c>
      <c r="F2906" s="64">
        <v>177.47</v>
      </c>
    </row>
    <row r="2907" spans="1:6" ht="30" x14ac:dyDescent="0.25">
      <c r="A2907" s="62" t="s">
        <v>4398</v>
      </c>
      <c r="B2907" s="96">
        <v>411474</v>
      </c>
      <c r="C2907" s="96" t="str">
        <f t="shared" si="289"/>
        <v>CPOS411474</v>
      </c>
      <c r="D2907" s="95" t="s">
        <v>2957</v>
      </c>
      <c r="E2907" s="63" t="s">
        <v>58</v>
      </c>
      <c r="F2907" s="64">
        <v>60.88</v>
      </c>
    </row>
    <row r="2908" spans="1:6" ht="30" x14ac:dyDescent="0.25">
      <c r="A2908" s="62" t="s">
        <v>4398</v>
      </c>
      <c r="B2908" s="96">
        <v>411475</v>
      </c>
      <c r="C2908" s="96" t="str">
        <f t="shared" si="289"/>
        <v>CPOS411475</v>
      </c>
      <c r="D2908" s="95" t="s">
        <v>2958</v>
      </c>
      <c r="E2908" s="63" t="s">
        <v>58</v>
      </c>
      <c r="F2908" s="64">
        <v>253.85</v>
      </c>
    </row>
    <row r="2909" spans="1:6" ht="30" x14ac:dyDescent="0.25">
      <c r="A2909" s="62" t="s">
        <v>4398</v>
      </c>
      <c r="B2909" s="96">
        <v>411476</v>
      </c>
      <c r="C2909" s="96" t="str">
        <f t="shared" si="289"/>
        <v>CPOS411476</v>
      </c>
      <c r="D2909" s="95" t="s">
        <v>2959</v>
      </c>
      <c r="E2909" s="63" t="s">
        <v>58</v>
      </c>
      <c r="F2909" s="64">
        <v>144.75</v>
      </c>
    </row>
    <row r="2910" spans="1:6" ht="30" x14ac:dyDescent="0.25">
      <c r="A2910" s="62" t="s">
        <v>4398</v>
      </c>
      <c r="B2910" s="96">
        <v>411477</v>
      </c>
      <c r="C2910" s="96" t="str">
        <f t="shared" si="289"/>
        <v>CPOS411477</v>
      </c>
      <c r="D2910" s="95" t="s">
        <v>2960</v>
      </c>
      <c r="E2910" s="63" t="s">
        <v>58</v>
      </c>
      <c r="F2910" s="64">
        <v>160.29</v>
      </c>
    </row>
    <row r="2911" spans="1:6" ht="30" x14ac:dyDescent="0.25">
      <c r="A2911" s="62" t="s">
        <v>4398</v>
      </c>
      <c r="B2911" s="96">
        <v>411478</v>
      </c>
      <c r="C2911" s="96" t="str">
        <f t="shared" si="289"/>
        <v>CPOS411478</v>
      </c>
      <c r="D2911" s="95" t="s">
        <v>2961</v>
      </c>
      <c r="E2911" s="63" t="s">
        <v>58</v>
      </c>
      <c r="F2911" s="64">
        <v>185.61</v>
      </c>
    </row>
    <row r="2912" spans="1:6" ht="30" x14ac:dyDescent="0.25">
      <c r="A2912" s="62" t="s">
        <v>4398</v>
      </c>
      <c r="B2912" s="96">
        <v>411479</v>
      </c>
      <c r="C2912" s="96" t="str">
        <f t="shared" si="289"/>
        <v>CPOS411479</v>
      </c>
      <c r="D2912" s="95" t="s">
        <v>2962</v>
      </c>
      <c r="E2912" s="63" t="s">
        <v>58</v>
      </c>
      <c r="F2912" s="64">
        <v>160.88</v>
      </c>
    </row>
    <row r="2913" spans="1:6" x14ac:dyDescent="0.25">
      <c r="D2913" s="94" t="s">
        <v>2963</v>
      </c>
    </row>
    <row r="2914" spans="1:6" ht="30" x14ac:dyDescent="0.25">
      <c r="A2914" s="62" t="s">
        <v>4398</v>
      </c>
      <c r="B2914" s="96">
        <v>411513</v>
      </c>
      <c r="C2914" s="96" t="str">
        <f t="shared" ref="C2914:C2917" si="290">A2914&amp;B2914</f>
        <v>CPOS411513</v>
      </c>
      <c r="D2914" s="95" t="s">
        <v>2964</v>
      </c>
      <c r="E2914" s="63" t="s">
        <v>58</v>
      </c>
      <c r="F2914" s="64">
        <v>23.17</v>
      </c>
    </row>
    <row r="2915" spans="1:6" ht="30" x14ac:dyDescent="0.25">
      <c r="A2915" s="62" t="s">
        <v>4398</v>
      </c>
      <c r="B2915" s="96">
        <v>411517</v>
      </c>
      <c r="C2915" s="96" t="str">
        <f t="shared" si="290"/>
        <v>CPOS411517</v>
      </c>
      <c r="D2915" s="95" t="s">
        <v>2965</v>
      </c>
      <c r="E2915" s="63" t="s">
        <v>58</v>
      </c>
      <c r="F2915" s="64">
        <v>37.39</v>
      </c>
    </row>
    <row r="2916" spans="1:6" ht="30" x14ac:dyDescent="0.25">
      <c r="A2916" s="62" t="s">
        <v>4398</v>
      </c>
      <c r="B2916" s="96">
        <v>411523</v>
      </c>
      <c r="C2916" s="96" t="str">
        <f t="shared" si="290"/>
        <v>CPOS411523</v>
      </c>
      <c r="D2916" s="95" t="s">
        <v>2966</v>
      </c>
      <c r="E2916" s="63" t="s">
        <v>58</v>
      </c>
      <c r="F2916" s="64">
        <v>404.88</v>
      </c>
    </row>
    <row r="2917" spans="1:6" ht="30" x14ac:dyDescent="0.25">
      <c r="A2917" s="62" t="s">
        <v>4398</v>
      </c>
      <c r="B2917" s="96">
        <v>411524</v>
      </c>
      <c r="C2917" s="96" t="str">
        <f t="shared" si="290"/>
        <v>CPOS411524</v>
      </c>
      <c r="D2917" s="95" t="s">
        <v>2967</v>
      </c>
      <c r="E2917" s="63" t="s">
        <v>58</v>
      </c>
      <c r="F2917" s="64">
        <v>93.02</v>
      </c>
    </row>
    <row r="2918" spans="1:6" x14ac:dyDescent="0.25">
      <c r="D2918" s="94" t="s">
        <v>693</v>
      </c>
    </row>
    <row r="2919" spans="1:6" ht="30" x14ac:dyDescent="0.25">
      <c r="A2919" s="62" t="s">
        <v>4398</v>
      </c>
      <c r="B2919" s="96">
        <v>412002</v>
      </c>
      <c r="C2919" s="96" t="str">
        <f t="shared" ref="C2919:C2924" si="291">A2919&amp;B2919</f>
        <v>CPOS412002</v>
      </c>
      <c r="D2919" s="95" t="s">
        <v>2968</v>
      </c>
      <c r="E2919" s="63" t="s">
        <v>58</v>
      </c>
      <c r="F2919" s="64">
        <v>10.85</v>
      </c>
    </row>
    <row r="2920" spans="1:6" x14ac:dyDescent="0.25">
      <c r="A2920" s="62" t="s">
        <v>4398</v>
      </c>
      <c r="B2920" s="96">
        <v>412003</v>
      </c>
      <c r="C2920" s="96" t="str">
        <f t="shared" si="291"/>
        <v>CPOS412003</v>
      </c>
      <c r="D2920" s="95" t="s">
        <v>2969</v>
      </c>
      <c r="E2920" s="63" t="s">
        <v>58</v>
      </c>
      <c r="F2920" s="64">
        <v>69.319999999999993</v>
      </c>
    </row>
    <row r="2921" spans="1:6" ht="30" x14ac:dyDescent="0.25">
      <c r="A2921" s="62" t="s">
        <v>4398</v>
      </c>
      <c r="B2921" s="96">
        <v>412005</v>
      </c>
      <c r="C2921" s="96" t="str">
        <f t="shared" si="291"/>
        <v>CPOS412005</v>
      </c>
      <c r="D2921" s="95" t="s">
        <v>2970</v>
      </c>
      <c r="E2921" s="63" t="s">
        <v>117</v>
      </c>
      <c r="F2921" s="64">
        <v>39.479999999999997</v>
      </c>
    </row>
    <row r="2922" spans="1:6" ht="30" x14ac:dyDescent="0.25">
      <c r="A2922" s="62" t="s">
        <v>4398</v>
      </c>
      <c r="B2922" s="96">
        <v>412006</v>
      </c>
      <c r="C2922" s="96" t="str">
        <f t="shared" si="291"/>
        <v>CPOS412006</v>
      </c>
      <c r="D2922" s="95" t="s">
        <v>2971</v>
      </c>
      <c r="E2922" s="63" t="s">
        <v>110</v>
      </c>
      <c r="F2922" s="64">
        <v>94.38</v>
      </c>
    </row>
    <row r="2923" spans="1:6" ht="30" x14ac:dyDescent="0.25">
      <c r="A2923" s="62" t="s">
        <v>4398</v>
      </c>
      <c r="B2923" s="96">
        <v>412007</v>
      </c>
      <c r="C2923" s="96" t="str">
        <f t="shared" si="291"/>
        <v>CPOS412007</v>
      </c>
      <c r="D2923" s="95" t="s">
        <v>2972</v>
      </c>
      <c r="E2923" s="63" t="s">
        <v>110</v>
      </c>
      <c r="F2923" s="64">
        <v>73.31</v>
      </c>
    </row>
    <row r="2924" spans="1:6" ht="30" x14ac:dyDescent="0.25">
      <c r="A2924" s="62" t="s">
        <v>4398</v>
      </c>
      <c r="B2924" s="96">
        <v>412008</v>
      </c>
      <c r="C2924" s="96" t="str">
        <f t="shared" si="291"/>
        <v>CPOS412008</v>
      </c>
      <c r="D2924" s="95" t="s">
        <v>2973</v>
      </c>
      <c r="E2924" s="63" t="s">
        <v>58</v>
      </c>
      <c r="F2924" s="64">
        <v>6.97</v>
      </c>
    </row>
    <row r="2925" spans="1:6" x14ac:dyDescent="0.25">
      <c r="D2925" s="94" t="s">
        <v>2974</v>
      </c>
    </row>
    <row r="2926" spans="1:6" x14ac:dyDescent="0.25">
      <c r="A2926" s="62" t="s">
        <v>4398</v>
      </c>
      <c r="B2926" s="96">
        <v>413023</v>
      </c>
      <c r="C2926" s="96" t="str">
        <f t="shared" ref="C2926:C2927" si="292">A2926&amp;B2926</f>
        <v>CPOS413023</v>
      </c>
      <c r="D2926" s="95" t="s">
        <v>2975</v>
      </c>
      <c r="E2926" s="63" t="s">
        <v>117</v>
      </c>
      <c r="F2926" s="64">
        <v>129.37</v>
      </c>
    </row>
    <row r="2927" spans="1:6" x14ac:dyDescent="0.25">
      <c r="A2927" s="62" t="s">
        <v>4398</v>
      </c>
      <c r="B2927" s="96">
        <v>413025</v>
      </c>
      <c r="C2927" s="96" t="str">
        <f t="shared" si="292"/>
        <v>CPOS413025</v>
      </c>
      <c r="D2927" s="95" t="s">
        <v>2976</v>
      </c>
      <c r="E2927" s="63" t="s">
        <v>58</v>
      </c>
      <c r="F2927" s="64">
        <v>222.75</v>
      </c>
    </row>
    <row r="2928" spans="1:6" x14ac:dyDescent="0.25">
      <c r="D2928" s="94" t="s">
        <v>2977</v>
      </c>
    </row>
    <row r="2929" spans="1:6" x14ac:dyDescent="0.25">
      <c r="D2929" s="94" t="s">
        <v>2978</v>
      </c>
    </row>
    <row r="2930" spans="1:6" x14ac:dyDescent="0.25">
      <c r="A2930" s="62" t="s">
        <v>4398</v>
      </c>
      <c r="B2930" s="96">
        <v>420102</v>
      </c>
      <c r="C2930" s="96" t="str">
        <f t="shared" ref="C2930:C2937" si="293">A2930&amp;B2930</f>
        <v>CPOS420102</v>
      </c>
      <c r="D2930" s="95" t="s">
        <v>2979</v>
      </c>
      <c r="E2930" s="63" t="s">
        <v>58</v>
      </c>
      <c r="F2930" s="64">
        <v>47.56</v>
      </c>
    </row>
    <row r="2931" spans="1:6" x14ac:dyDescent="0.25">
      <c r="A2931" s="62" t="s">
        <v>4398</v>
      </c>
      <c r="B2931" s="96">
        <v>420104</v>
      </c>
      <c r="C2931" s="96" t="str">
        <f t="shared" si="293"/>
        <v>CPOS420104</v>
      </c>
      <c r="D2931" s="95" t="s">
        <v>2980</v>
      </c>
      <c r="E2931" s="63" t="s">
        <v>58</v>
      </c>
      <c r="F2931" s="64">
        <v>50.59</v>
      </c>
    </row>
    <row r="2932" spans="1:6" x14ac:dyDescent="0.25">
      <c r="A2932" s="62" t="s">
        <v>4398</v>
      </c>
      <c r="B2932" s="96">
        <v>420105</v>
      </c>
      <c r="C2932" s="96" t="str">
        <f t="shared" si="293"/>
        <v>CPOS420105</v>
      </c>
      <c r="D2932" s="95" t="s">
        <v>2981</v>
      </c>
      <c r="E2932" s="63" t="s">
        <v>58</v>
      </c>
      <c r="F2932" s="64">
        <v>13.9</v>
      </c>
    </row>
    <row r="2933" spans="1:6" x14ac:dyDescent="0.25">
      <c r="A2933" s="62" t="s">
        <v>4398</v>
      </c>
      <c r="B2933" s="96">
        <v>420106</v>
      </c>
      <c r="C2933" s="96" t="str">
        <f t="shared" si="293"/>
        <v>CPOS420106</v>
      </c>
      <c r="D2933" s="95" t="s">
        <v>2982</v>
      </c>
      <c r="E2933" s="63" t="s">
        <v>58</v>
      </c>
      <c r="F2933" s="64">
        <v>32.49</v>
      </c>
    </row>
    <row r="2934" spans="1:6" x14ac:dyDescent="0.25">
      <c r="A2934" s="62" t="s">
        <v>4398</v>
      </c>
      <c r="B2934" s="96">
        <v>420108</v>
      </c>
      <c r="C2934" s="96" t="str">
        <f t="shared" si="293"/>
        <v>CPOS420108</v>
      </c>
      <c r="D2934" s="95" t="s">
        <v>2983</v>
      </c>
      <c r="E2934" s="63" t="s">
        <v>58</v>
      </c>
      <c r="F2934" s="64">
        <v>26.82</v>
      </c>
    </row>
    <row r="2935" spans="1:6" x14ac:dyDescent="0.25">
      <c r="A2935" s="62" t="s">
        <v>4398</v>
      </c>
      <c r="B2935" s="96">
        <v>420109</v>
      </c>
      <c r="C2935" s="96" t="str">
        <f t="shared" si="293"/>
        <v>CPOS420109</v>
      </c>
      <c r="D2935" s="95" t="s">
        <v>2984</v>
      </c>
      <c r="E2935" s="63" t="s">
        <v>58</v>
      </c>
      <c r="F2935" s="64">
        <v>12.13</v>
      </c>
    </row>
    <row r="2936" spans="1:6" x14ac:dyDescent="0.25">
      <c r="A2936" s="62" t="s">
        <v>4398</v>
      </c>
      <c r="B2936" s="96">
        <v>420110</v>
      </c>
      <c r="C2936" s="96" t="str">
        <f t="shared" si="293"/>
        <v>CPOS420110</v>
      </c>
      <c r="D2936" s="95" t="s">
        <v>2985</v>
      </c>
      <c r="E2936" s="63" t="s">
        <v>58</v>
      </c>
      <c r="F2936" s="64">
        <v>11.42</v>
      </c>
    </row>
    <row r="2937" spans="1:6" x14ac:dyDescent="0.25">
      <c r="A2937" s="62" t="s">
        <v>4398</v>
      </c>
      <c r="B2937" s="96">
        <v>420111</v>
      </c>
      <c r="C2937" s="96" t="str">
        <f t="shared" si="293"/>
        <v>CPOS420111</v>
      </c>
      <c r="D2937" s="95" t="s">
        <v>2986</v>
      </c>
      <c r="E2937" s="63" t="s">
        <v>58</v>
      </c>
      <c r="F2937" s="64">
        <v>9.99</v>
      </c>
    </row>
    <row r="2938" spans="1:6" x14ac:dyDescent="0.25">
      <c r="D2938" s="94" t="s">
        <v>2987</v>
      </c>
    </row>
    <row r="2939" spans="1:6" x14ac:dyDescent="0.25">
      <c r="A2939" s="62" t="s">
        <v>4398</v>
      </c>
      <c r="B2939" s="96">
        <v>420201</v>
      </c>
      <c r="C2939" s="96" t="str">
        <f t="shared" ref="C2939:C2947" si="294">A2939&amp;B2939</f>
        <v>CPOS420201</v>
      </c>
      <c r="D2939" s="95" t="s">
        <v>2988</v>
      </c>
      <c r="E2939" s="63" t="s">
        <v>58</v>
      </c>
      <c r="F2939" s="64">
        <v>9.2899999999999991</v>
      </c>
    </row>
    <row r="2940" spans="1:6" x14ac:dyDescent="0.25">
      <c r="A2940" s="62" t="s">
        <v>4398</v>
      </c>
      <c r="B2940" s="96">
        <v>420202</v>
      </c>
      <c r="C2940" s="96" t="str">
        <f t="shared" si="294"/>
        <v>CPOS420202</v>
      </c>
      <c r="D2940" s="95" t="s">
        <v>2989</v>
      </c>
      <c r="E2940" s="63" t="s">
        <v>58</v>
      </c>
      <c r="F2940" s="64">
        <v>14.23</v>
      </c>
    </row>
    <row r="2941" spans="1:6" x14ac:dyDescent="0.25">
      <c r="A2941" s="62" t="s">
        <v>4398</v>
      </c>
      <c r="B2941" s="96">
        <v>420203</v>
      </c>
      <c r="C2941" s="96" t="str">
        <f t="shared" si="294"/>
        <v>CPOS420203</v>
      </c>
      <c r="D2941" s="95" t="s">
        <v>2990</v>
      </c>
      <c r="E2941" s="63" t="s">
        <v>58</v>
      </c>
      <c r="F2941" s="64">
        <v>10.49</v>
      </c>
    </row>
    <row r="2942" spans="1:6" x14ac:dyDescent="0.25">
      <c r="A2942" s="62" t="s">
        <v>4398</v>
      </c>
      <c r="B2942" s="96">
        <v>420204</v>
      </c>
      <c r="C2942" s="96" t="str">
        <f t="shared" si="294"/>
        <v>CPOS420204</v>
      </c>
      <c r="D2942" s="95" t="s">
        <v>2991</v>
      </c>
      <c r="E2942" s="63" t="s">
        <v>58</v>
      </c>
      <c r="F2942" s="64">
        <v>9.34</v>
      </c>
    </row>
    <row r="2943" spans="1:6" x14ac:dyDescent="0.25">
      <c r="A2943" s="62" t="s">
        <v>4398</v>
      </c>
      <c r="B2943" s="96">
        <v>420205</v>
      </c>
      <c r="C2943" s="96" t="str">
        <f t="shared" si="294"/>
        <v>CPOS420205</v>
      </c>
      <c r="D2943" s="95" t="s">
        <v>2992</v>
      </c>
      <c r="E2943" s="63" t="s">
        <v>58</v>
      </c>
      <c r="F2943" s="64">
        <v>10.09</v>
      </c>
    </row>
    <row r="2944" spans="1:6" x14ac:dyDescent="0.25">
      <c r="A2944" s="62" t="s">
        <v>4398</v>
      </c>
      <c r="B2944" s="96">
        <v>420206</v>
      </c>
      <c r="C2944" s="96" t="str">
        <f t="shared" si="294"/>
        <v>CPOS420206</v>
      </c>
      <c r="D2944" s="95" t="s">
        <v>2993</v>
      </c>
      <c r="E2944" s="63" t="s">
        <v>58</v>
      </c>
      <c r="F2944" s="64">
        <v>10.42</v>
      </c>
    </row>
    <row r="2945" spans="1:6" x14ac:dyDescent="0.25">
      <c r="A2945" s="62" t="s">
        <v>4398</v>
      </c>
      <c r="B2945" s="96">
        <v>420208</v>
      </c>
      <c r="C2945" s="96" t="str">
        <f t="shared" si="294"/>
        <v>CPOS420208</v>
      </c>
      <c r="D2945" s="95" t="s">
        <v>2994</v>
      </c>
      <c r="E2945" s="63" t="s">
        <v>58</v>
      </c>
      <c r="F2945" s="64">
        <v>13.51</v>
      </c>
    </row>
    <row r="2946" spans="1:6" x14ac:dyDescent="0.25">
      <c r="A2946" s="62" t="s">
        <v>4398</v>
      </c>
      <c r="B2946" s="96">
        <v>420210</v>
      </c>
      <c r="C2946" s="96" t="str">
        <f t="shared" si="294"/>
        <v>CPOS420210</v>
      </c>
      <c r="D2946" s="95" t="s">
        <v>2995</v>
      </c>
      <c r="E2946" s="63" t="s">
        <v>58</v>
      </c>
      <c r="F2946" s="64">
        <v>15.870000000000001</v>
      </c>
    </row>
    <row r="2947" spans="1:6" x14ac:dyDescent="0.25">
      <c r="A2947" s="62" t="s">
        <v>4398</v>
      </c>
      <c r="B2947" s="96">
        <v>420214</v>
      </c>
      <c r="C2947" s="96" t="str">
        <f t="shared" si="294"/>
        <v>CPOS420214</v>
      </c>
      <c r="D2947" s="95" t="s">
        <v>2996</v>
      </c>
      <c r="E2947" s="63" t="s">
        <v>58</v>
      </c>
      <c r="F2947" s="64">
        <v>10.700000000000001</v>
      </c>
    </row>
    <row r="2948" spans="1:6" x14ac:dyDescent="0.25">
      <c r="D2948" s="94" t="s">
        <v>2997</v>
      </c>
    </row>
    <row r="2949" spans="1:6" x14ac:dyDescent="0.25">
      <c r="A2949" s="62" t="s">
        <v>4398</v>
      </c>
      <c r="B2949" s="96">
        <v>420302</v>
      </c>
      <c r="C2949" s="96" t="str">
        <f t="shared" ref="C2949:C2952" si="295">A2949&amp;B2949</f>
        <v>CPOS420302</v>
      </c>
      <c r="D2949" s="95" t="s">
        <v>2998</v>
      </c>
      <c r="E2949" s="63" t="s">
        <v>58</v>
      </c>
      <c r="F2949" s="64">
        <v>12.3</v>
      </c>
    </row>
    <row r="2950" spans="1:6" x14ac:dyDescent="0.25">
      <c r="A2950" s="62" t="s">
        <v>4398</v>
      </c>
      <c r="B2950" s="96">
        <v>420304</v>
      </c>
      <c r="C2950" s="96" t="str">
        <f t="shared" si="295"/>
        <v>CPOS420304</v>
      </c>
      <c r="D2950" s="95" t="s">
        <v>2999</v>
      </c>
      <c r="E2950" s="63" t="s">
        <v>58</v>
      </c>
      <c r="F2950" s="64">
        <v>14.6</v>
      </c>
    </row>
    <row r="2951" spans="1:6" x14ac:dyDescent="0.25">
      <c r="A2951" s="62" t="s">
        <v>4398</v>
      </c>
      <c r="B2951" s="96">
        <v>420306</v>
      </c>
      <c r="C2951" s="96" t="str">
        <f t="shared" si="295"/>
        <v>CPOS420306</v>
      </c>
      <c r="D2951" s="95" t="s">
        <v>3000</v>
      </c>
      <c r="E2951" s="63" t="s">
        <v>58</v>
      </c>
      <c r="F2951" s="64">
        <v>13.48</v>
      </c>
    </row>
    <row r="2952" spans="1:6" x14ac:dyDescent="0.25">
      <c r="A2952" s="62" t="s">
        <v>4398</v>
      </c>
      <c r="B2952" s="96">
        <v>420308</v>
      </c>
      <c r="C2952" s="96" t="str">
        <f t="shared" si="295"/>
        <v>CPOS420308</v>
      </c>
      <c r="D2952" s="95" t="s">
        <v>3001</v>
      </c>
      <c r="E2952" s="63" t="s">
        <v>58</v>
      </c>
      <c r="F2952" s="64">
        <v>16.010000000000002</v>
      </c>
    </row>
    <row r="2953" spans="1:6" x14ac:dyDescent="0.25">
      <c r="D2953" s="94" t="s">
        <v>3002</v>
      </c>
    </row>
    <row r="2954" spans="1:6" x14ac:dyDescent="0.25">
      <c r="A2954" s="62" t="s">
        <v>4398</v>
      </c>
      <c r="B2954" s="96">
        <v>420402</v>
      </c>
      <c r="C2954" s="96" t="str">
        <f t="shared" ref="C2954:C2961" si="296">A2954&amp;B2954</f>
        <v>CPOS420402</v>
      </c>
      <c r="D2954" s="95" t="s">
        <v>3003</v>
      </c>
      <c r="E2954" s="63" t="s">
        <v>58</v>
      </c>
      <c r="F2954" s="64">
        <v>12.67</v>
      </c>
    </row>
    <row r="2955" spans="1:6" x14ac:dyDescent="0.25">
      <c r="A2955" s="62" t="s">
        <v>4398</v>
      </c>
      <c r="B2955" s="96">
        <v>420404</v>
      </c>
      <c r="C2955" s="96" t="str">
        <f t="shared" si="296"/>
        <v>CPOS420404</v>
      </c>
      <c r="D2955" s="95" t="s">
        <v>3004</v>
      </c>
      <c r="E2955" s="63" t="s">
        <v>58</v>
      </c>
      <c r="F2955" s="64">
        <v>11.59</v>
      </c>
    </row>
    <row r="2956" spans="1:6" x14ac:dyDescent="0.25">
      <c r="A2956" s="62" t="s">
        <v>4398</v>
      </c>
      <c r="B2956" s="96">
        <v>420406</v>
      </c>
      <c r="C2956" s="96" t="str">
        <f t="shared" si="296"/>
        <v>CPOS420406</v>
      </c>
      <c r="D2956" s="95" t="s">
        <v>3005</v>
      </c>
      <c r="E2956" s="63" t="s">
        <v>58</v>
      </c>
      <c r="F2956" s="64">
        <v>36.630000000000003</v>
      </c>
    </row>
    <row r="2957" spans="1:6" x14ac:dyDescent="0.25">
      <c r="A2957" s="62" t="s">
        <v>4398</v>
      </c>
      <c r="B2957" s="96">
        <v>420408</v>
      </c>
      <c r="C2957" s="96" t="str">
        <f t="shared" si="296"/>
        <v>CPOS420408</v>
      </c>
      <c r="D2957" s="95" t="s">
        <v>3006</v>
      </c>
      <c r="E2957" s="63" t="s">
        <v>58</v>
      </c>
      <c r="F2957" s="64">
        <v>90.13</v>
      </c>
    </row>
    <row r="2958" spans="1:6" x14ac:dyDescent="0.25">
      <c r="A2958" s="62" t="s">
        <v>4398</v>
      </c>
      <c r="B2958" s="96">
        <v>420410</v>
      </c>
      <c r="C2958" s="96" t="str">
        <f t="shared" si="296"/>
        <v>CPOS420410</v>
      </c>
      <c r="D2958" s="95" t="s">
        <v>3007</v>
      </c>
      <c r="E2958" s="63" t="s">
        <v>58</v>
      </c>
      <c r="F2958" s="64">
        <v>81.14</v>
      </c>
    </row>
    <row r="2959" spans="1:6" x14ac:dyDescent="0.25">
      <c r="A2959" s="62" t="s">
        <v>4398</v>
      </c>
      <c r="B2959" s="96">
        <v>420412</v>
      </c>
      <c r="C2959" s="96" t="str">
        <f t="shared" si="296"/>
        <v>CPOS420412</v>
      </c>
      <c r="D2959" s="95" t="s">
        <v>3008</v>
      </c>
      <c r="E2959" s="63" t="s">
        <v>110</v>
      </c>
      <c r="F2959" s="64">
        <v>38.369999999999997</v>
      </c>
    </row>
    <row r="2960" spans="1:6" x14ac:dyDescent="0.25">
      <c r="A2960" s="62" t="s">
        <v>4398</v>
      </c>
      <c r="B2960" s="96">
        <v>420414</v>
      </c>
      <c r="C2960" s="96" t="str">
        <f t="shared" si="296"/>
        <v>CPOS420414</v>
      </c>
      <c r="D2960" s="95" t="s">
        <v>3009</v>
      </c>
      <c r="E2960" s="63" t="s">
        <v>58</v>
      </c>
      <c r="F2960" s="64">
        <v>16.329999999999998</v>
      </c>
    </row>
    <row r="2961" spans="1:6" x14ac:dyDescent="0.25">
      <c r="A2961" s="62" t="s">
        <v>4398</v>
      </c>
      <c r="B2961" s="96">
        <v>420416</v>
      </c>
      <c r="C2961" s="96" t="str">
        <f t="shared" si="296"/>
        <v>CPOS420416</v>
      </c>
      <c r="D2961" s="95" t="s">
        <v>3010</v>
      </c>
      <c r="E2961" s="63" t="s">
        <v>58</v>
      </c>
      <c r="F2961" s="64">
        <v>23.01</v>
      </c>
    </row>
    <row r="2962" spans="1:6" x14ac:dyDescent="0.25">
      <c r="D2962" s="94" t="s">
        <v>3011</v>
      </c>
    </row>
    <row r="2963" spans="1:6" x14ac:dyDescent="0.25">
      <c r="A2963" s="62" t="s">
        <v>4398</v>
      </c>
      <c r="B2963" s="96">
        <v>420501</v>
      </c>
      <c r="C2963" s="96" t="str">
        <f t="shared" ref="C2963:C3016" si="297">A2963&amp;B2963</f>
        <v>CPOS420501</v>
      </c>
      <c r="D2963" s="95" t="s">
        <v>3012</v>
      </c>
      <c r="E2963" s="63" t="s">
        <v>58</v>
      </c>
      <c r="F2963" s="64">
        <v>27.89</v>
      </c>
    </row>
    <row r="2964" spans="1:6" x14ac:dyDescent="0.25">
      <c r="A2964" s="62" t="s">
        <v>4398</v>
      </c>
      <c r="B2964" s="96">
        <v>420502</v>
      </c>
      <c r="C2964" s="96" t="str">
        <f t="shared" si="297"/>
        <v>CPOS420502</v>
      </c>
      <c r="D2964" s="95" t="s">
        <v>3013</v>
      </c>
      <c r="E2964" s="63" t="s">
        <v>58</v>
      </c>
      <c r="F2964" s="64">
        <v>13.84</v>
      </c>
    </row>
    <row r="2965" spans="1:6" x14ac:dyDescent="0.25">
      <c r="A2965" s="62" t="s">
        <v>4398</v>
      </c>
      <c r="B2965" s="96">
        <v>420503</v>
      </c>
      <c r="C2965" s="96" t="str">
        <f t="shared" si="297"/>
        <v>CPOS420503</v>
      </c>
      <c r="D2965" s="95" t="s">
        <v>3014</v>
      </c>
      <c r="E2965" s="63" t="s">
        <v>58</v>
      </c>
      <c r="F2965" s="64">
        <v>47.38</v>
      </c>
    </row>
    <row r="2966" spans="1:6" x14ac:dyDescent="0.25">
      <c r="A2966" s="62" t="s">
        <v>4398</v>
      </c>
      <c r="B2966" s="96">
        <v>420505</v>
      </c>
      <c r="C2966" s="96" t="str">
        <f t="shared" si="297"/>
        <v>CPOS420505</v>
      </c>
      <c r="D2966" s="95" t="s">
        <v>3015</v>
      </c>
      <c r="E2966" s="63" t="s">
        <v>58</v>
      </c>
      <c r="F2966" s="64">
        <v>38.07</v>
      </c>
    </row>
    <row r="2967" spans="1:6" x14ac:dyDescent="0.25">
      <c r="A2967" s="62" t="s">
        <v>4398</v>
      </c>
      <c r="B2967" s="96">
        <v>420507</v>
      </c>
      <c r="C2967" s="96" t="str">
        <f t="shared" si="297"/>
        <v>CPOS420507</v>
      </c>
      <c r="D2967" s="95" t="s">
        <v>3016</v>
      </c>
      <c r="E2967" s="63" t="s">
        <v>58</v>
      </c>
      <c r="F2967" s="64">
        <v>72.56</v>
      </c>
    </row>
    <row r="2968" spans="1:6" x14ac:dyDescent="0.25">
      <c r="A2968" s="62" t="s">
        <v>4398</v>
      </c>
      <c r="B2968" s="96">
        <v>420510</v>
      </c>
      <c r="C2968" s="96" t="str">
        <f t="shared" si="297"/>
        <v>CPOS420510</v>
      </c>
      <c r="D2968" s="95" t="s">
        <v>3017</v>
      </c>
      <c r="E2968" s="63" t="s">
        <v>58</v>
      </c>
      <c r="F2968" s="64">
        <v>37.08</v>
      </c>
    </row>
    <row r="2969" spans="1:6" x14ac:dyDescent="0.25">
      <c r="A2969" s="62" t="s">
        <v>4398</v>
      </c>
      <c r="B2969" s="96">
        <v>420511</v>
      </c>
      <c r="C2969" s="96" t="str">
        <f t="shared" si="297"/>
        <v>CPOS420511</v>
      </c>
      <c r="D2969" s="95" t="s">
        <v>3018</v>
      </c>
      <c r="E2969" s="63" t="s">
        <v>58</v>
      </c>
      <c r="F2969" s="64">
        <v>12.81</v>
      </c>
    </row>
    <row r="2970" spans="1:6" x14ac:dyDescent="0.25">
      <c r="A2970" s="62" t="s">
        <v>4398</v>
      </c>
      <c r="B2970" s="96">
        <v>420512</v>
      </c>
      <c r="C2970" s="96" t="str">
        <f t="shared" si="297"/>
        <v>CPOS420512</v>
      </c>
      <c r="D2970" s="95" t="s">
        <v>3019</v>
      </c>
      <c r="E2970" s="63" t="s">
        <v>58</v>
      </c>
      <c r="F2970" s="64">
        <v>16.170000000000002</v>
      </c>
    </row>
    <row r="2971" spans="1:6" x14ac:dyDescent="0.25">
      <c r="A2971" s="62" t="s">
        <v>4398</v>
      </c>
      <c r="B2971" s="96">
        <v>420514</v>
      </c>
      <c r="C2971" s="96" t="str">
        <f t="shared" si="297"/>
        <v>CPOS420514</v>
      </c>
      <c r="D2971" s="95" t="s">
        <v>3020</v>
      </c>
      <c r="E2971" s="63" t="s">
        <v>58</v>
      </c>
      <c r="F2971" s="64">
        <v>5.99</v>
      </c>
    </row>
    <row r="2972" spans="1:6" x14ac:dyDescent="0.25">
      <c r="A2972" s="62" t="s">
        <v>4398</v>
      </c>
      <c r="B2972" s="96">
        <v>420516</v>
      </c>
      <c r="C2972" s="96" t="str">
        <f t="shared" si="297"/>
        <v>CPOS420516</v>
      </c>
      <c r="D2972" s="95" t="s">
        <v>3021</v>
      </c>
      <c r="E2972" s="63" t="s">
        <v>58</v>
      </c>
      <c r="F2972" s="64">
        <v>4.6100000000000003</v>
      </c>
    </row>
    <row r="2973" spans="1:6" x14ac:dyDescent="0.25">
      <c r="A2973" s="62" t="s">
        <v>4398</v>
      </c>
      <c r="B2973" s="96">
        <v>420517</v>
      </c>
      <c r="C2973" s="96" t="str">
        <f t="shared" si="297"/>
        <v>CPOS420517</v>
      </c>
      <c r="D2973" s="95" t="s">
        <v>3022</v>
      </c>
      <c r="E2973" s="63" t="s">
        <v>110</v>
      </c>
      <c r="F2973" s="64">
        <v>16.84</v>
      </c>
    </row>
    <row r="2974" spans="1:6" x14ac:dyDescent="0.25">
      <c r="A2974" s="62" t="s">
        <v>4398</v>
      </c>
      <c r="B2974" s="96">
        <v>420518</v>
      </c>
      <c r="C2974" s="96" t="str">
        <f t="shared" si="297"/>
        <v>CPOS420518</v>
      </c>
      <c r="D2974" s="95" t="s">
        <v>3023</v>
      </c>
      <c r="E2974" s="63" t="s">
        <v>58</v>
      </c>
      <c r="F2974" s="64">
        <v>15.55</v>
      </c>
    </row>
    <row r="2975" spans="1:6" x14ac:dyDescent="0.25">
      <c r="A2975" s="62" t="s">
        <v>4398</v>
      </c>
      <c r="B2975" s="96">
        <v>420519</v>
      </c>
      <c r="C2975" s="96" t="str">
        <f t="shared" si="297"/>
        <v>CPOS420519</v>
      </c>
      <c r="D2975" s="95" t="s">
        <v>3024</v>
      </c>
      <c r="E2975" s="63" t="s">
        <v>58</v>
      </c>
      <c r="F2975" s="64">
        <v>96.67</v>
      </c>
    </row>
    <row r="2976" spans="1:6" x14ac:dyDescent="0.25">
      <c r="A2976" s="62" t="s">
        <v>4398</v>
      </c>
      <c r="B2976" s="96">
        <v>420520</v>
      </c>
      <c r="C2976" s="96" t="str">
        <f t="shared" si="297"/>
        <v>CPOS420520</v>
      </c>
      <c r="D2976" s="95" t="s">
        <v>3025</v>
      </c>
      <c r="E2976" s="63" t="s">
        <v>58</v>
      </c>
      <c r="F2976" s="64">
        <v>59.54</v>
      </c>
    </row>
    <row r="2977" spans="1:6" x14ac:dyDescent="0.25">
      <c r="A2977" s="62" t="s">
        <v>4398</v>
      </c>
      <c r="B2977" s="96">
        <v>420521</v>
      </c>
      <c r="C2977" s="96" t="str">
        <f t="shared" si="297"/>
        <v>CPOS420521</v>
      </c>
      <c r="D2977" s="95" t="s">
        <v>3026</v>
      </c>
      <c r="E2977" s="63" t="s">
        <v>58</v>
      </c>
      <c r="F2977" s="64">
        <v>73.430000000000007</v>
      </c>
    </row>
    <row r="2978" spans="1:6" x14ac:dyDescent="0.25">
      <c r="A2978" s="62" t="s">
        <v>4398</v>
      </c>
      <c r="B2978" s="96">
        <v>420522</v>
      </c>
      <c r="C2978" s="96" t="str">
        <f t="shared" si="297"/>
        <v>CPOS420522</v>
      </c>
      <c r="D2978" s="95" t="s">
        <v>3027</v>
      </c>
      <c r="E2978" s="63" t="s">
        <v>58</v>
      </c>
      <c r="F2978" s="64">
        <v>33.33</v>
      </c>
    </row>
    <row r="2979" spans="1:6" x14ac:dyDescent="0.25">
      <c r="A2979" s="62" t="s">
        <v>4398</v>
      </c>
      <c r="B2979" s="96">
        <v>420523</v>
      </c>
      <c r="C2979" s="96" t="str">
        <f t="shared" si="297"/>
        <v>CPOS420523</v>
      </c>
      <c r="D2979" s="95" t="s">
        <v>3028</v>
      </c>
      <c r="E2979" s="63" t="s">
        <v>58</v>
      </c>
      <c r="F2979" s="64">
        <v>7.1000000000000005</v>
      </c>
    </row>
    <row r="2980" spans="1:6" x14ac:dyDescent="0.25">
      <c r="A2980" s="62" t="s">
        <v>4398</v>
      </c>
      <c r="B2980" s="96">
        <v>420524</v>
      </c>
      <c r="C2980" s="96" t="str">
        <f t="shared" si="297"/>
        <v>CPOS420524</v>
      </c>
      <c r="D2980" s="95" t="s">
        <v>3029</v>
      </c>
      <c r="E2980" s="63" t="s">
        <v>58</v>
      </c>
      <c r="F2980" s="64">
        <v>11.98</v>
      </c>
    </row>
    <row r="2981" spans="1:6" x14ac:dyDescent="0.25">
      <c r="A2981" s="62" t="s">
        <v>4398</v>
      </c>
      <c r="B2981" s="96">
        <v>420525</v>
      </c>
      <c r="C2981" s="96" t="str">
        <f t="shared" si="297"/>
        <v>CPOS420525</v>
      </c>
      <c r="D2981" s="95" t="s">
        <v>3030</v>
      </c>
      <c r="E2981" s="63" t="s">
        <v>110</v>
      </c>
      <c r="F2981" s="64">
        <v>19.23</v>
      </c>
    </row>
    <row r="2982" spans="1:6" x14ac:dyDescent="0.25">
      <c r="A2982" s="62" t="s">
        <v>4398</v>
      </c>
      <c r="B2982" s="96">
        <v>420526</v>
      </c>
      <c r="C2982" s="96" t="str">
        <f t="shared" si="297"/>
        <v>CPOS420526</v>
      </c>
      <c r="D2982" s="95" t="s">
        <v>3031</v>
      </c>
      <c r="E2982" s="63" t="s">
        <v>58</v>
      </c>
      <c r="F2982" s="64">
        <v>11.870000000000001</v>
      </c>
    </row>
    <row r="2983" spans="1:6" x14ac:dyDescent="0.25">
      <c r="A2983" s="62" t="s">
        <v>4398</v>
      </c>
      <c r="B2983" s="96">
        <v>420527</v>
      </c>
      <c r="C2983" s="96" t="str">
        <f t="shared" si="297"/>
        <v>CPOS420527</v>
      </c>
      <c r="D2983" s="95" t="s">
        <v>3032</v>
      </c>
      <c r="E2983" s="63" t="s">
        <v>58</v>
      </c>
      <c r="F2983" s="64">
        <v>23.39</v>
      </c>
    </row>
    <row r="2984" spans="1:6" x14ac:dyDescent="0.25">
      <c r="A2984" s="62" t="s">
        <v>4398</v>
      </c>
      <c r="B2984" s="96">
        <v>420528</v>
      </c>
      <c r="C2984" s="96" t="str">
        <f t="shared" si="297"/>
        <v>CPOS420528</v>
      </c>
      <c r="D2984" s="95" t="s">
        <v>3033</v>
      </c>
      <c r="E2984" s="63" t="s">
        <v>58</v>
      </c>
      <c r="F2984" s="64">
        <v>11.75</v>
      </c>
    </row>
    <row r="2985" spans="1:6" x14ac:dyDescent="0.25">
      <c r="A2985" s="62" t="s">
        <v>4398</v>
      </c>
      <c r="B2985" s="96">
        <v>420529</v>
      </c>
      <c r="C2985" s="96" t="str">
        <f t="shared" si="297"/>
        <v>CPOS420529</v>
      </c>
      <c r="D2985" s="95" t="s">
        <v>3034</v>
      </c>
      <c r="E2985" s="63" t="s">
        <v>58</v>
      </c>
      <c r="F2985" s="64">
        <v>9.84</v>
      </c>
    </row>
    <row r="2986" spans="1:6" x14ac:dyDescent="0.25">
      <c r="A2986" s="62" t="s">
        <v>4398</v>
      </c>
      <c r="B2986" s="96">
        <v>420530</v>
      </c>
      <c r="C2986" s="96" t="str">
        <f t="shared" si="297"/>
        <v>CPOS420530</v>
      </c>
      <c r="D2986" s="95" t="s">
        <v>3035</v>
      </c>
      <c r="E2986" s="63" t="s">
        <v>58</v>
      </c>
      <c r="F2986" s="64">
        <v>24.900000000000002</v>
      </c>
    </row>
    <row r="2987" spans="1:6" ht="30" x14ac:dyDescent="0.25">
      <c r="A2987" s="62" t="s">
        <v>4398</v>
      </c>
      <c r="B2987" s="96">
        <v>420531</v>
      </c>
      <c r="C2987" s="96" t="str">
        <f t="shared" si="297"/>
        <v>CPOS420531</v>
      </c>
      <c r="D2987" s="95" t="s">
        <v>3036</v>
      </c>
      <c r="E2987" s="63" t="s">
        <v>58</v>
      </c>
      <c r="F2987" s="64">
        <v>18.12</v>
      </c>
    </row>
    <row r="2988" spans="1:6" ht="30" x14ac:dyDescent="0.25">
      <c r="A2988" s="62" t="s">
        <v>4398</v>
      </c>
      <c r="B2988" s="96">
        <v>420532</v>
      </c>
      <c r="C2988" s="96" t="str">
        <f t="shared" si="297"/>
        <v>CPOS420532</v>
      </c>
      <c r="D2988" s="95" t="s">
        <v>3037</v>
      </c>
      <c r="E2988" s="63" t="s">
        <v>58</v>
      </c>
      <c r="F2988" s="64">
        <v>26.97</v>
      </c>
    </row>
    <row r="2989" spans="1:6" ht="30" x14ac:dyDescent="0.25">
      <c r="A2989" s="62" t="s">
        <v>4398</v>
      </c>
      <c r="B2989" s="96">
        <v>420533</v>
      </c>
      <c r="C2989" s="96" t="str">
        <f t="shared" si="297"/>
        <v>CPOS420533</v>
      </c>
      <c r="D2989" s="95" t="s">
        <v>3038</v>
      </c>
      <c r="E2989" s="63" t="s">
        <v>58</v>
      </c>
      <c r="F2989" s="64">
        <v>35.4</v>
      </c>
    </row>
    <row r="2990" spans="1:6" x14ac:dyDescent="0.25">
      <c r="A2990" s="62" t="s">
        <v>4398</v>
      </c>
      <c r="B2990" s="96">
        <v>420534</v>
      </c>
      <c r="C2990" s="96" t="str">
        <f t="shared" si="297"/>
        <v>CPOS420534</v>
      </c>
      <c r="D2990" s="95" t="s">
        <v>3039</v>
      </c>
      <c r="E2990" s="63" t="s">
        <v>110</v>
      </c>
      <c r="F2990" s="64">
        <v>157.44999999999999</v>
      </c>
    </row>
    <row r="2991" spans="1:6" x14ac:dyDescent="0.25">
      <c r="A2991" s="62" t="s">
        <v>4398</v>
      </c>
      <c r="B2991" s="96">
        <v>420537</v>
      </c>
      <c r="C2991" s="96" t="str">
        <f t="shared" si="297"/>
        <v>CPOS420537</v>
      </c>
      <c r="D2991" s="95" t="s">
        <v>3040</v>
      </c>
      <c r="E2991" s="63" t="s">
        <v>58</v>
      </c>
      <c r="F2991" s="64">
        <v>270.27999999999997</v>
      </c>
    </row>
    <row r="2992" spans="1:6" x14ac:dyDescent="0.25">
      <c r="A2992" s="62" t="s">
        <v>4398</v>
      </c>
      <c r="B2992" s="96">
        <v>420538</v>
      </c>
      <c r="C2992" s="96" t="str">
        <f t="shared" si="297"/>
        <v>CPOS420538</v>
      </c>
      <c r="D2992" s="95" t="s">
        <v>3041</v>
      </c>
      <c r="E2992" s="63" t="s">
        <v>58</v>
      </c>
      <c r="F2992" s="64">
        <v>202.38</v>
      </c>
    </row>
    <row r="2993" spans="1:6" x14ac:dyDescent="0.25">
      <c r="A2993" s="62" t="s">
        <v>4398</v>
      </c>
      <c r="B2993" s="96">
        <v>420539</v>
      </c>
      <c r="C2993" s="96" t="str">
        <f t="shared" si="297"/>
        <v>CPOS420539</v>
      </c>
      <c r="D2993" s="95" t="s">
        <v>3042</v>
      </c>
      <c r="E2993" s="63" t="s">
        <v>58</v>
      </c>
      <c r="F2993" s="64">
        <v>1.97</v>
      </c>
    </row>
    <row r="2994" spans="1:6" x14ac:dyDescent="0.25">
      <c r="A2994" s="62" t="s">
        <v>4398</v>
      </c>
      <c r="B2994" s="96">
        <v>420540</v>
      </c>
      <c r="C2994" s="96" t="str">
        <f t="shared" si="297"/>
        <v>CPOS420540</v>
      </c>
      <c r="D2994" s="95" t="s">
        <v>3043</v>
      </c>
      <c r="E2994" s="63" t="s">
        <v>58</v>
      </c>
      <c r="F2994" s="64">
        <v>2.15</v>
      </c>
    </row>
    <row r="2995" spans="1:6" ht="30" x14ac:dyDescent="0.25">
      <c r="A2995" s="62" t="s">
        <v>4398</v>
      </c>
      <c r="B2995" s="96">
        <v>420541</v>
      </c>
      <c r="C2995" s="96" t="str">
        <f t="shared" si="297"/>
        <v>CPOS420541</v>
      </c>
      <c r="D2995" s="95" t="s">
        <v>3044</v>
      </c>
      <c r="E2995" s="63" t="s">
        <v>58</v>
      </c>
      <c r="F2995" s="64">
        <v>9.6300000000000008</v>
      </c>
    </row>
    <row r="2996" spans="1:6" ht="30" x14ac:dyDescent="0.25">
      <c r="A2996" s="62" t="s">
        <v>4398</v>
      </c>
      <c r="B2996" s="96">
        <v>420542</v>
      </c>
      <c r="C2996" s="96" t="str">
        <f t="shared" si="297"/>
        <v>CPOS420542</v>
      </c>
      <c r="D2996" s="95" t="s">
        <v>3045</v>
      </c>
      <c r="E2996" s="63" t="s">
        <v>58</v>
      </c>
      <c r="F2996" s="64">
        <v>9.33</v>
      </c>
    </row>
    <row r="2997" spans="1:6" x14ac:dyDescent="0.25">
      <c r="A2997" s="62" t="s">
        <v>4398</v>
      </c>
      <c r="B2997" s="96">
        <v>420544</v>
      </c>
      <c r="C2997" s="96" t="str">
        <f t="shared" si="297"/>
        <v>CPOS420544</v>
      </c>
      <c r="D2997" s="95" t="s">
        <v>3046</v>
      </c>
      <c r="E2997" s="63" t="s">
        <v>110</v>
      </c>
      <c r="F2997" s="64">
        <v>16.420000000000002</v>
      </c>
    </row>
    <row r="2998" spans="1:6" x14ac:dyDescent="0.25">
      <c r="A2998" s="62" t="s">
        <v>4398</v>
      </c>
      <c r="B2998" s="96">
        <v>420545</v>
      </c>
      <c r="C2998" s="96" t="str">
        <f t="shared" si="297"/>
        <v>CPOS420545</v>
      </c>
      <c r="D2998" s="95" t="s">
        <v>3047</v>
      </c>
      <c r="E2998" s="63" t="s">
        <v>58</v>
      </c>
      <c r="F2998" s="64">
        <v>11.84</v>
      </c>
    </row>
    <row r="2999" spans="1:6" x14ac:dyDescent="0.25">
      <c r="A2999" s="62" t="s">
        <v>4398</v>
      </c>
      <c r="B2999" s="96">
        <v>420549</v>
      </c>
      <c r="C2999" s="96" t="str">
        <f t="shared" si="297"/>
        <v>CPOS420549</v>
      </c>
      <c r="D2999" s="95" t="s">
        <v>3048</v>
      </c>
      <c r="E2999" s="63" t="s">
        <v>58</v>
      </c>
      <c r="F2999" s="64">
        <v>199.27</v>
      </c>
    </row>
    <row r="3000" spans="1:6" x14ac:dyDescent="0.25">
      <c r="A3000" s="62" t="s">
        <v>4398</v>
      </c>
      <c r="B3000" s="96">
        <v>420550</v>
      </c>
      <c r="C3000" s="96" t="str">
        <f t="shared" si="297"/>
        <v>CPOS420550</v>
      </c>
      <c r="D3000" s="95" t="s">
        <v>3049</v>
      </c>
      <c r="E3000" s="63" t="s">
        <v>58</v>
      </c>
      <c r="F3000" s="64">
        <v>228.87</v>
      </c>
    </row>
    <row r="3001" spans="1:6" ht="30" x14ac:dyDescent="0.25">
      <c r="A3001" s="62" t="s">
        <v>4398</v>
      </c>
      <c r="B3001" s="96">
        <v>420551</v>
      </c>
      <c r="C3001" s="96" t="str">
        <f t="shared" si="297"/>
        <v>CPOS420551</v>
      </c>
      <c r="D3001" s="95" t="s">
        <v>3050</v>
      </c>
      <c r="E3001" s="63" t="s">
        <v>58</v>
      </c>
      <c r="F3001" s="64">
        <v>9.6300000000000008</v>
      </c>
    </row>
    <row r="3002" spans="1:6" x14ac:dyDescent="0.25">
      <c r="A3002" s="62" t="s">
        <v>4398</v>
      </c>
      <c r="B3002" s="96">
        <v>420552</v>
      </c>
      <c r="C3002" s="96" t="str">
        <f t="shared" si="297"/>
        <v>CPOS420552</v>
      </c>
      <c r="D3002" s="95" t="s">
        <v>3051</v>
      </c>
      <c r="E3002" s="63" t="s">
        <v>58</v>
      </c>
      <c r="F3002" s="64">
        <v>9.0500000000000007</v>
      </c>
    </row>
    <row r="3003" spans="1:6" x14ac:dyDescent="0.25">
      <c r="A3003" s="62" t="s">
        <v>4398</v>
      </c>
      <c r="B3003" s="96">
        <v>420553</v>
      </c>
      <c r="C3003" s="96" t="str">
        <f t="shared" si="297"/>
        <v>CPOS420553</v>
      </c>
      <c r="D3003" s="95" t="s">
        <v>3052</v>
      </c>
      <c r="E3003" s="63" t="s">
        <v>58</v>
      </c>
      <c r="F3003" s="64">
        <v>28.91</v>
      </c>
    </row>
    <row r="3004" spans="1:6" x14ac:dyDescent="0.25">
      <c r="A3004" s="62" t="s">
        <v>4398</v>
      </c>
      <c r="B3004" s="96">
        <v>420554</v>
      </c>
      <c r="C3004" s="96" t="str">
        <f t="shared" si="297"/>
        <v>CPOS420554</v>
      </c>
      <c r="D3004" s="95" t="s">
        <v>3053</v>
      </c>
      <c r="E3004" s="63" t="s">
        <v>110</v>
      </c>
      <c r="F3004" s="64">
        <v>136.49</v>
      </c>
    </row>
    <row r="3005" spans="1:6" x14ac:dyDescent="0.25">
      <c r="A3005" s="62" t="s">
        <v>4398</v>
      </c>
      <c r="B3005" s="96">
        <v>420555</v>
      </c>
      <c r="C3005" s="96" t="str">
        <f t="shared" si="297"/>
        <v>CPOS420555</v>
      </c>
      <c r="D3005" s="95" t="s">
        <v>3054</v>
      </c>
      <c r="E3005" s="63" t="s">
        <v>58</v>
      </c>
      <c r="F3005" s="64">
        <v>36.07</v>
      </c>
    </row>
    <row r="3006" spans="1:6" x14ac:dyDescent="0.25">
      <c r="A3006" s="62" t="s">
        <v>4398</v>
      </c>
      <c r="B3006" s="96">
        <v>420556</v>
      </c>
      <c r="C3006" s="96" t="str">
        <f t="shared" si="297"/>
        <v>CPOS420556</v>
      </c>
      <c r="D3006" s="95" t="s">
        <v>3055</v>
      </c>
      <c r="E3006" s="63" t="s">
        <v>58</v>
      </c>
      <c r="F3006" s="64">
        <v>39.21</v>
      </c>
    </row>
    <row r="3007" spans="1:6" x14ac:dyDescent="0.25">
      <c r="A3007" s="62" t="s">
        <v>4398</v>
      </c>
      <c r="B3007" s="96">
        <v>420557</v>
      </c>
      <c r="C3007" s="96" t="str">
        <f t="shared" si="297"/>
        <v>CPOS420557</v>
      </c>
      <c r="D3007" s="95" t="s">
        <v>3056</v>
      </c>
      <c r="E3007" s="63" t="s">
        <v>58</v>
      </c>
      <c r="F3007" s="64">
        <v>8.3800000000000008</v>
      </c>
    </row>
    <row r="3008" spans="1:6" x14ac:dyDescent="0.25">
      <c r="A3008" s="62" t="s">
        <v>4398</v>
      </c>
      <c r="B3008" s="96">
        <v>420558</v>
      </c>
      <c r="C3008" s="96" t="str">
        <f t="shared" si="297"/>
        <v>CPOS420558</v>
      </c>
      <c r="D3008" s="95" t="s">
        <v>3057</v>
      </c>
      <c r="E3008" s="63" t="s">
        <v>58</v>
      </c>
      <c r="F3008" s="64">
        <v>8.83</v>
      </c>
    </row>
    <row r="3009" spans="1:6" x14ac:dyDescent="0.25">
      <c r="A3009" s="62" t="s">
        <v>4398</v>
      </c>
      <c r="B3009" s="96">
        <v>420559</v>
      </c>
      <c r="C3009" s="96" t="str">
        <f t="shared" si="297"/>
        <v>CPOS420559</v>
      </c>
      <c r="D3009" s="95" t="s">
        <v>3058</v>
      </c>
      <c r="E3009" s="63" t="s">
        <v>58</v>
      </c>
      <c r="F3009" s="64">
        <v>9.67</v>
      </c>
    </row>
    <row r="3010" spans="1:6" x14ac:dyDescent="0.25">
      <c r="A3010" s="62" t="s">
        <v>4398</v>
      </c>
      <c r="B3010" s="96">
        <v>420560</v>
      </c>
      <c r="C3010" s="96" t="str">
        <f t="shared" si="297"/>
        <v>CPOS420560</v>
      </c>
      <c r="D3010" s="95" t="s">
        <v>3059</v>
      </c>
      <c r="E3010" s="63" t="s">
        <v>58</v>
      </c>
      <c r="F3010" s="64">
        <v>10.49</v>
      </c>
    </row>
    <row r="3011" spans="1:6" x14ac:dyDescent="0.25">
      <c r="A3011" s="62" t="s">
        <v>4398</v>
      </c>
      <c r="B3011" s="96">
        <v>420561</v>
      </c>
      <c r="C3011" s="96" t="str">
        <f t="shared" si="297"/>
        <v>CPOS420561</v>
      </c>
      <c r="D3011" s="95" t="s">
        <v>3060</v>
      </c>
      <c r="E3011" s="63" t="s">
        <v>58</v>
      </c>
      <c r="F3011" s="64">
        <v>11.53</v>
      </c>
    </row>
    <row r="3012" spans="1:6" x14ac:dyDescent="0.25">
      <c r="A3012" s="62" t="s">
        <v>4398</v>
      </c>
      <c r="B3012" s="96">
        <v>420562</v>
      </c>
      <c r="C3012" s="96" t="str">
        <f t="shared" si="297"/>
        <v>CPOS420562</v>
      </c>
      <c r="D3012" s="95" t="s">
        <v>3061</v>
      </c>
      <c r="E3012" s="63" t="s">
        <v>58</v>
      </c>
      <c r="F3012" s="64">
        <v>13.01</v>
      </c>
    </row>
    <row r="3013" spans="1:6" ht="30" x14ac:dyDescent="0.25">
      <c r="A3013" s="62" t="s">
        <v>4398</v>
      </c>
      <c r="B3013" s="96">
        <v>420563</v>
      </c>
      <c r="C3013" s="96" t="str">
        <f t="shared" si="297"/>
        <v>CPOS420563</v>
      </c>
      <c r="D3013" s="95" t="s">
        <v>3062</v>
      </c>
      <c r="E3013" s="63" t="s">
        <v>58</v>
      </c>
      <c r="F3013" s="64">
        <v>30.16</v>
      </c>
    </row>
    <row r="3014" spans="1:6" x14ac:dyDescent="0.25">
      <c r="A3014" s="62" t="s">
        <v>4398</v>
      </c>
      <c r="B3014" s="96">
        <v>420564</v>
      </c>
      <c r="C3014" s="96" t="str">
        <f t="shared" si="297"/>
        <v>CPOS420564</v>
      </c>
      <c r="D3014" s="95" t="s">
        <v>3063</v>
      </c>
      <c r="E3014" s="63" t="s">
        <v>58</v>
      </c>
      <c r="F3014" s="64">
        <v>159.55000000000001</v>
      </c>
    </row>
    <row r="3015" spans="1:6" ht="30" x14ac:dyDescent="0.25">
      <c r="A3015" s="62" t="s">
        <v>4398</v>
      </c>
      <c r="B3015" s="96">
        <v>420565</v>
      </c>
      <c r="C3015" s="96" t="str">
        <f t="shared" si="297"/>
        <v>CPOS420565</v>
      </c>
      <c r="D3015" s="95" t="s">
        <v>3064</v>
      </c>
      <c r="E3015" s="63" t="s">
        <v>81</v>
      </c>
      <c r="F3015" s="64">
        <v>89.210000000000008</v>
      </c>
    </row>
    <row r="3016" spans="1:6" ht="30" x14ac:dyDescent="0.25">
      <c r="A3016" s="62" t="s">
        <v>4398</v>
      </c>
      <c r="B3016" s="96">
        <v>420566</v>
      </c>
      <c r="C3016" s="96" t="str">
        <f t="shared" si="297"/>
        <v>CPOS420566</v>
      </c>
      <c r="D3016" s="95" t="s">
        <v>3065</v>
      </c>
      <c r="E3016" s="63" t="s">
        <v>58</v>
      </c>
      <c r="F3016" s="64">
        <v>70.94</v>
      </c>
    </row>
    <row r="3017" spans="1:6" x14ac:dyDescent="0.25">
      <c r="D3017" s="94" t="s">
        <v>693</v>
      </c>
    </row>
    <row r="3018" spans="1:6" ht="30" x14ac:dyDescent="0.25">
      <c r="A3018" s="62" t="s">
        <v>4398</v>
      </c>
      <c r="B3018" s="96">
        <v>422008</v>
      </c>
      <c r="C3018" s="96" t="str">
        <f t="shared" ref="C3018:C3042" si="298">A3018&amp;B3018</f>
        <v>CPOS422008</v>
      </c>
      <c r="D3018" s="95" t="s">
        <v>3066</v>
      </c>
      <c r="E3018" s="63" t="s">
        <v>58</v>
      </c>
      <c r="F3018" s="64">
        <v>19.64</v>
      </c>
    </row>
    <row r="3019" spans="1:6" ht="30" x14ac:dyDescent="0.25">
      <c r="A3019" s="62" t="s">
        <v>4398</v>
      </c>
      <c r="B3019" s="96">
        <v>422009</v>
      </c>
      <c r="C3019" s="96" t="str">
        <f t="shared" si="298"/>
        <v>CPOS422009</v>
      </c>
      <c r="D3019" s="95" t="s">
        <v>3067</v>
      </c>
      <c r="E3019" s="63" t="s">
        <v>58</v>
      </c>
      <c r="F3019" s="64">
        <v>24.39</v>
      </c>
    </row>
    <row r="3020" spans="1:6" ht="30" x14ac:dyDescent="0.25">
      <c r="A3020" s="62" t="s">
        <v>4398</v>
      </c>
      <c r="B3020" s="96">
        <v>422010</v>
      </c>
      <c r="C3020" s="96" t="str">
        <f t="shared" si="298"/>
        <v>CPOS422010</v>
      </c>
      <c r="D3020" s="95" t="s">
        <v>3068</v>
      </c>
      <c r="E3020" s="63" t="s">
        <v>58</v>
      </c>
      <c r="F3020" s="64">
        <v>32.380000000000003</v>
      </c>
    </row>
    <row r="3021" spans="1:6" ht="30" x14ac:dyDescent="0.25">
      <c r="A3021" s="62" t="s">
        <v>4398</v>
      </c>
      <c r="B3021" s="96">
        <v>422011</v>
      </c>
      <c r="C3021" s="96" t="str">
        <f t="shared" si="298"/>
        <v>CPOS422011</v>
      </c>
      <c r="D3021" s="95" t="s">
        <v>3069</v>
      </c>
      <c r="E3021" s="63" t="s">
        <v>58</v>
      </c>
      <c r="F3021" s="64">
        <v>24.19</v>
      </c>
    </row>
    <row r="3022" spans="1:6" ht="30" x14ac:dyDescent="0.25">
      <c r="A3022" s="62" t="s">
        <v>4398</v>
      </c>
      <c r="B3022" s="96">
        <v>422012</v>
      </c>
      <c r="C3022" s="96" t="str">
        <f t="shared" si="298"/>
        <v>CPOS422012</v>
      </c>
      <c r="D3022" s="95" t="s">
        <v>3070</v>
      </c>
      <c r="E3022" s="63" t="s">
        <v>58</v>
      </c>
      <c r="F3022" s="64">
        <v>24.11</v>
      </c>
    </row>
    <row r="3023" spans="1:6" ht="30" x14ac:dyDescent="0.25">
      <c r="A3023" s="62" t="s">
        <v>4398</v>
      </c>
      <c r="B3023" s="96">
        <v>422013</v>
      </c>
      <c r="C3023" s="96" t="str">
        <f t="shared" si="298"/>
        <v>CPOS422013</v>
      </c>
      <c r="D3023" s="95" t="s">
        <v>3071</v>
      </c>
      <c r="E3023" s="63" t="s">
        <v>58</v>
      </c>
      <c r="F3023" s="64">
        <v>32.19</v>
      </c>
    </row>
    <row r="3024" spans="1:6" ht="30" x14ac:dyDescent="0.25">
      <c r="A3024" s="62" t="s">
        <v>4398</v>
      </c>
      <c r="B3024" s="96">
        <v>422014</v>
      </c>
      <c r="C3024" s="96" t="str">
        <f t="shared" si="298"/>
        <v>CPOS422014</v>
      </c>
      <c r="D3024" s="95" t="s">
        <v>3072</v>
      </c>
      <c r="E3024" s="63" t="s">
        <v>58</v>
      </c>
      <c r="F3024" s="64">
        <v>32.31</v>
      </c>
    </row>
    <row r="3025" spans="1:6" ht="30" x14ac:dyDescent="0.25">
      <c r="A3025" s="62" t="s">
        <v>4398</v>
      </c>
      <c r="B3025" s="96">
        <v>422015</v>
      </c>
      <c r="C3025" s="96" t="str">
        <f t="shared" si="298"/>
        <v>CPOS422015</v>
      </c>
      <c r="D3025" s="95" t="s">
        <v>3073</v>
      </c>
      <c r="E3025" s="63" t="s">
        <v>58</v>
      </c>
      <c r="F3025" s="64">
        <v>19.75</v>
      </c>
    </row>
    <row r="3026" spans="1:6" ht="30" x14ac:dyDescent="0.25">
      <c r="A3026" s="62" t="s">
        <v>4398</v>
      </c>
      <c r="B3026" s="96">
        <v>422016</v>
      </c>
      <c r="C3026" s="96" t="str">
        <f t="shared" si="298"/>
        <v>CPOS422016</v>
      </c>
      <c r="D3026" s="95" t="s">
        <v>3074</v>
      </c>
      <c r="E3026" s="63" t="s">
        <v>58</v>
      </c>
      <c r="F3026" s="64">
        <v>24.3</v>
      </c>
    </row>
    <row r="3027" spans="1:6" ht="30" x14ac:dyDescent="0.25">
      <c r="A3027" s="62" t="s">
        <v>4398</v>
      </c>
      <c r="B3027" s="96">
        <v>422017</v>
      </c>
      <c r="C3027" s="96" t="str">
        <f t="shared" si="298"/>
        <v>CPOS422017</v>
      </c>
      <c r="D3027" s="95" t="s">
        <v>3075</v>
      </c>
      <c r="E3027" s="63" t="s">
        <v>58</v>
      </c>
      <c r="F3027" s="64">
        <v>19.59</v>
      </c>
    </row>
    <row r="3028" spans="1:6" x14ac:dyDescent="0.25">
      <c r="A3028" s="62" t="s">
        <v>4398</v>
      </c>
      <c r="B3028" s="96">
        <v>422018</v>
      </c>
      <c r="C3028" s="96" t="str">
        <f t="shared" si="298"/>
        <v>CPOS422018</v>
      </c>
      <c r="D3028" s="95" t="s">
        <v>3076</v>
      </c>
      <c r="E3028" s="63" t="s">
        <v>58</v>
      </c>
      <c r="F3028" s="64">
        <v>24.3</v>
      </c>
    </row>
    <row r="3029" spans="1:6" ht="30" x14ac:dyDescent="0.25">
      <c r="A3029" s="62" t="s">
        <v>4398</v>
      </c>
      <c r="B3029" s="96">
        <v>422019</v>
      </c>
      <c r="C3029" s="96" t="str">
        <f t="shared" si="298"/>
        <v>CPOS422019</v>
      </c>
      <c r="D3029" s="95" t="s">
        <v>3077</v>
      </c>
      <c r="E3029" s="63" t="s">
        <v>58</v>
      </c>
      <c r="F3029" s="64">
        <v>32.71</v>
      </c>
    </row>
    <row r="3030" spans="1:6" ht="30" x14ac:dyDescent="0.25">
      <c r="A3030" s="62" t="s">
        <v>4398</v>
      </c>
      <c r="B3030" s="96">
        <v>422020</v>
      </c>
      <c r="C3030" s="96" t="str">
        <f t="shared" si="298"/>
        <v>CPOS422020</v>
      </c>
      <c r="D3030" s="95" t="s">
        <v>3078</v>
      </c>
      <c r="E3030" s="63" t="s">
        <v>58</v>
      </c>
      <c r="F3030" s="64">
        <v>32.71</v>
      </c>
    </row>
    <row r="3031" spans="1:6" ht="30" x14ac:dyDescent="0.25">
      <c r="A3031" s="62" t="s">
        <v>4398</v>
      </c>
      <c r="B3031" s="96">
        <v>422021</v>
      </c>
      <c r="C3031" s="96" t="str">
        <f t="shared" si="298"/>
        <v>CPOS422021</v>
      </c>
      <c r="D3031" s="95" t="s">
        <v>3079</v>
      </c>
      <c r="E3031" s="63" t="s">
        <v>58</v>
      </c>
      <c r="F3031" s="64">
        <v>24.6</v>
      </c>
    </row>
    <row r="3032" spans="1:6" ht="30" x14ac:dyDescent="0.25">
      <c r="A3032" s="62" t="s">
        <v>4398</v>
      </c>
      <c r="B3032" s="96">
        <v>422022</v>
      </c>
      <c r="C3032" s="96" t="str">
        <f t="shared" si="298"/>
        <v>CPOS422022</v>
      </c>
      <c r="D3032" s="95" t="s">
        <v>3080</v>
      </c>
      <c r="E3032" s="63" t="s">
        <v>58</v>
      </c>
      <c r="F3032" s="64">
        <v>32.590000000000003</v>
      </c>
    </row>
    <row r="3033" spans="1:6" ht="30" x14ac:dyDescent="0.25">
      <c r="A3033" s="62" t="s">
        <v>4398</v>
      </c>
      <c r="B3033" s="96">
        <v>422023</v>
      </c>
      <c r="C3033" s="96" t="str">
        <f t="shared" si="298"/>
        <v>CPOS422023</v>
      </c>
      <c r="D3033" s="95" t="s">
        <v>3081</v>
      </c>
      <c r="E3033" s="63" t="s">
        <v>58</v>
      </c>
      <c r="F3033" s="64">
        <v>24.88</v>
      </c>
    </row>
    <row r="3034" spans="1:6" ht="30" x14ac:dyDescent="0.25">
      <c r="A3034" s="62" t="s">
        <v>4398</v>
      </c>
      <c r="B3034" s="96">
        <v>422024</v>
      </c>
      <c r="C3034" s="96" t="str">
        <f t="shared" si="298"/>
        <v>CPOS422024</v>
      </c>
      <c r="D3034" s="95" t="s">
        <v>3082</v>
      </c>
      <c r="E3034" s="63" t="s">
        <v>58</v>
      </c>
      <c r="F3034" s="64">
        <v>24.310000000000002</v>
      </c>
    </row>
    <row r="3035" spans="1:6" ht="30" x14ac:dyDescent="0.25">
      <c r="A3035" s="62" t="s">
        <v>4398</v>
      </c>
      <c r="B3035" s="96">
        <v>422025</v>
      </c>
      <c r="C3035" s="96" t="str">
        <f t="shared" si="298"/>
        <v>CPOS422025</v>
      </c>
      <c r="D3035" s="95" t="s">
        <v>3083</v>
      </c>
      <c r="E3035" s="63" t="s">
        <v>58</v>
      </c>
      <c r="F3035" s="64">
        <v>24.27</v>
      </c>
    </row>
    <row r="3036" spans="1:6" ht="30" x14ac:dyDescent="0.25">
      <c r="A3036" s="62" t="s">
        <v>4398</v>
      </c>
      <c r="B3036" s="96">
        <v>422026</v>
      </c>
      <c r="C3036" s="96" t="str">
        <f t="shared" si="298"/>
        <v>CPOS422026</v>
      </c>
      <c r="D3036" s="95" t="s">
        <v>3084</v>
      </c>
      <c r="E3036" s="63" t="s">
        <v>58</v>
      </c>
      <c r="F3036" s="64">
        <v>19.260000000000002</v>
      </c>
    </row>
    <row r="3037" spans="1:6" ht="30" x14ac:dyDescent="0.25">
      <c r="A3037" s="62" t="s">
        <v>4398</v>
      </c>
      <c r="B3037" s="96">
        <v>422027</v>
      </c>
      <c r="C3037" s="96" t="str">
        <f t="shared" si="298"/>
        <v>CPOS422027</v>
      </c>
      <c r="D3037" s="95" t="s">
        <v>3085</v>
      </c>
      <c r="E3037" s="63" t="s">
        <v>58</v>
      </c>
      <c r="F3037" s="64">
        <v>24.38</v>
      </c>
    </row>
    <row r="3038" spans="1:6" ht="30" x14ac:dyDescent="0.25">
      <c r="A3038" s="62" t="s">
        <v>4398</v>
      </c>
      <c r="B3038" s="96">
        <v>422028</v>
      </c>
      <c r="C3038" s="96" t="str">
        <f t="shared" si="298"/>
        <v>CPOS422028</v>
      </c>
      <c r="D3038" s="95" t="s">
        <v>3086</v>
      </c>
      <c r="E3038" s="63" t="s">
        <v>58</v>
      </c>
      <c r="F3038" s="64">
        <v>25.330000000000002</v>
      </c>
    </row>
    <row r="3039" spans="1:6" ht="30" x14ac:dyDescent="0.25">
      <c r="A3039" s="62" t="s">
        <v>4398</v>
      </c>
      <c r="B3039" s="96">
        <v>422029</v>
      </c>
      <c r="C3039" s="96" t="str">
        <f t="shared" si="298"/>
        <v>CPOS422029</v>
      </c>
      <c r="D3039" s="95" t="s">
        <v>3087</v>
      </c>
      <c r="E3039" s="63" t="s">
        <v>58</v>
      </c>
      <c r="F3039" s="64">
        <v>24.990000000000002</v>
      </c>
    </row>
    <row r="3040" spans="1:6" ht="30" x14ac:dyDescent="0.25">
      <c r="A3040" s="62" t="s">
        <v>4398</v>
      </c>
      <c r="B3040" s="96">
        <v>422030</v>
      </c>
      <c r="C3040" s="96" t="str">
        <f t="shared" si="298"/>
        <v>CPOS422030</v>
      </c>
      <c r="D3040" s="95" t="s">
        <v>3088</v>
      </c>
      <c r="E3040" s="63" t="s">
        <v>58</v>
      </c>
      <c r="F3040" s="64">
        <v>19.8</v>
      </c>
    </row>
    <row r="3041" spans="1:6" ht="30" x14ac:dyDescent="0.25">
      <c r="A3041" s="62" t="s">
        <v>4398</v>
      </c>
      <c r="B3041" s="96">
        <v>422031</v>
      </c>
      <c r="C3041" s="96" t="str">
        <f t="shared" si="298"/>
        <v>CPOS422031</v>
      </c>
      <c r="D3041" s="95" t="s">
        <v>3089</v>
      </c>
      <c r="E3041" s="63" t="s">
        <v>58</v>
      </c>
      <c r="F3041" s="64">
        <v>19.84</v>
      </c>
    </row>
    <row r="3042" spans="1:6" ht="30" x14ac:dyDescent="0.25">
      <c r="A3042" s="62" t="s">
        <v>4398</v>
      </c>
      <c r="B3042" s="96">
        <v>422032</v>
      </c>
      <c r="C3042" s="96" t="str">
        <f t="shared" si="298"/>
        <v>CPOS422032</v>
      </c>
      <c r="D3042" s="95" t="s">
        <v>3090</v>
      </c>
      <c r="E3042" s="63" t="s">
        <v>58</v>
      </c>
      <c r="F3042" s="64">
        <v>24.55</v>
      </c>
    </row>
    <row r="3043" spans="1:6" x14ac:dyDescent="0.25">
      <c r="D3043" s="94" t="s">
        <v>1692</v>
      </c>
    </row>
    <row r="3044" spans="1:6" x14ac:dyDescent="0.25">
      <c r="D3044" s="94" t="s">
        <v>3091</v>
      </c>
    </row>
    <row r="3045" spans="1:6" x14ac:dyDescent="0.25">
      <c r="A3045" s="62" t="s">
        <v>4398</v>
      </c>
      <c r="B3045" s="96">
        <v>430101</v>
      </c>
      <c r="C3045" s="96" t="str">
        <f t="shared" ref="C3045:C3046" si="299">A3045&amp;B3045</f>
        <v>CPOS430101</v>
      </c>
      <c r="D3045" s="95" t="s">
        <v>3092</v>
      </c>
      <c r="E3045" s="63" t="s">
        <v>58</v>
      </c>
      <c r="F3045" s="64">
        <v>798.13</v>
      </c>
    </row>
    <row r="3046" spans="1:6" x14ac:dyDescent="0.25">
      <c r="A3046" s="62" t="s">
        <v>4398</v>
      </c>
      <c r="B3046" s="96">
        <v>430103</v>
      </c>
      <c r="C3046" s="96" t="str">
        <f t="shared" si="299"/>
        <v>CPOS430103</v>
      </c>
      <c r="D3046" s="95" t="s">
        <v>3093</v>
      </c>
      <c r="E3046" s="63" t="s">
        <v>58</v>
      </c>
      <c r="F3046" s="64">
        <v>904.67000000000007</v>
      </c>
    </row>
    <row r="3047" spans="1:6" x14ac:dyDescent="0.25">
      <c r="D3047" s="94" t="s">
        <v>3094</v>
      </c>
    </row>
    <row r="3048" spans="1:6" x14ac:dyDescent="0.25">
      <c r="A3048" s="62" t="s">
        <v>4398</v>
      </c>
      <c r="B3048" s="96">
        <v>430201</v>
      </c>
      <c r="C3048" s="96" t="str">
        <f t="shared" ref="C3048:C3057" si="300">A3048&amp;B3048</f>
        <v>CPOS430201</v>
      </c>
      <c r="D3048" s="95" t="s">
        <v>3095</v>
      </c>
      <c r="E3048" s="63" t="s">
        <v>58</v>
      </c>
      <c r="F3048" s="64">
        <v>20</v>
      </c>
    </row>
    <row r="3049" spans="1:6" x14ac:dyDescent="0.25">
      <c r="A3049" s="62" t="s">
        <v>4398</v>
      </c>
      <c r="B3049" s="96">
        <v>430207</v>
      </c>
      <c r="C3049" s="96" t="str">
        <f t="shared" si="300"/>
        <v>CPOS430207</v>
      </c>
      <c r="D3049" s="95" t="s">
        <v>3096</v>
      </c>
      <c r="E3049" s="63" t="s">
        <v>58</v>
      </c>
      <c r="F3049" s="64">
        <v>447.66</v>
      </c>
    </row>
    <row r="3050" spans="1:6" x14ac:dyDescent="0.25">
      <c r="A3050" s="62" t="s">
        <v>4398</v>
      </c>
      <c r="B3050" s="96">
        <v>430208</v>
      </c>
      <c r="C3050" s="96" t="str">
        <f t="shared" si="300"/>
        <v>CPOS430208</v>
      </c>
      <c r="D3050" s="95" t="s">
        <v>3097</v>
      </c>
      <c r="E3050" s="63" t="s">
        <v>58</v>
      </c>
      <c r="F3050" s="64">
        <v>333.98</v>
      </c>
    </row>
    <row r="3051" spans="1:6" x14ac:dyDescent="0.25">
      <c r="A3051" s="62" t="s">
        <v>4398</v>
      </c>
      <c r="B3051" s="96">
        <v>430210</v>
      </c>
      <c r="C3051" s="96" t="str">
        <f t="shared" si="300"/>
        <v>CPOS430210</v>
      </c>
      <c r="D3051" s="95" t="s">
        <v>3098</v>
      </c>
      <c r="E3051" s="63" t="s">
        <v>58</v>
      </c>
      <c r="F3051" s="64">
        <v>311.74</v>
      </c>
    </row>
    <row r="3052" spans="1:6" x14ac:dyDescent="0.25">
      <c r="A3052" s="62" t="s">
        <v>4398</v>
      </c>
      <c r="B3052" s="96">
        <v>430212</v>
      </c>
      <c r="C3052" s="96" t="str">
        <f t="shared" si="300"/>
        <v>CPOS430212</v>
      </c>
      <c r="D3052" s="95" t="s">
        <v>3099</v>
      </c>
      <c r="E3052" s="63" t="s">
        <v>58</v>
      </c>
      <c r="F3052" s="64">
        <v>20.260000000000002</v>
      </c>
    </row>
    <row r="3053" spans="1:6" x14ac:dyDescent="0.25">
      <c r="A3053" s="62" t="s">
        <v>4398</v>
      </c>
      <c r="B3053" s="96">
        <v>430213</v>
      </c>
      <c r="C3053" s="96" t="str">
        <f t="shared" si="300"/>
        <v>CPOS430213</v>
      </c>
      <c r="D3053" s="95" t="s">
        <v>3100</v>
      </c>
      <c r="E3053" s="63" t="s">
        <v>58</v>
      </c>
      <c r="F3053" s="64">
        <v>25.5</v>
      </c>
    </row>
    <row r="3054" spans="1:6" x14ac:dyDescent="0.25">
      <c r="A3054" s="62" t="s">
        <v>4398</v>
      </c>
      <c r="B3054" s="96">
        <v>430214</v>
      </c>
      <c r="C3054" s="96" t="str">
        <f t="shared" si="300"/>
        <v>CPOS430214</v>
      </c>
      <c r="D3054" s="95" t="s">
        <v>3101</v>
      </c>
      <c r="E3054" s="63" t="s">
        <v>58</v>
      </c>
      <c r="F3054" s="64">
        <v>72.77</v>
      </c>
    </row>
    <row r="3055" spans="1:6" ht="30" x14ac:dyDescent="0.25">
      <c r="A3055" s="62" t="s">
        <v>4398</v>
      </c>
      <c r="B3055" s="96">
        <v>430216</v>
      </c>
      <c r="C3055" s="96" t="str">
        <f t="shared" si="300"/>
        <v>CPOS430216</v>
      </c>
      <c r="D3055" s="95" t="s">
        <v>3102</v>
      </c>
      <c r="E3055" s="63" t="s">
        <v>58</v>
      </c>
      <c r="F3055" s="64">
        <v>1283.73</v>
      </c>
    </row>
    <row r="3056" spans="1:6" x14ac:dyDescent="0.25">
      <c r="A3056" s="62" t="s">
        <v>4398</v>
      </c>
      <c r="B3056" s="96">
        <v>430217</v>
      </c>
      <c r="C3056" s="96" t="str">
        <f t="shared" si="300"/>
        <v>CPOS430217</v>
      </c>
      <c r="D3056" s="95" t="s">
        <v>3103</v>
      </c>
      <c r="E3056" s="63" t="s">
        <v>58</v>
      </c>
      <c r="F3056" s="64">
        <v>304.33</v>
      </c>
    </row>
    <row r="3057" spans="1:6" x14ac:dyDescent="0.25">
      <c r="A3057" s="62" t="s">
        <v>4398</v>
      </c>
      <c r="B3057" s="96">
        <v>430218</v>
      </c>
      <c r="C3057" s="96" t="str">
        <f t="shared" si="300"/>
        <v>CPOS430218</v>
      </c>
      <c r="D3057" s="95" t="s">
        <v>3104</v>
      </c>
      <c r="E3057" s="63" t="s">
        <v>58</v>
      </c>
      <c r="F3057" s="64">
        <v>100.63</v>
      </c>
    </row>
    <row r="3058" spans="1:6" x14ac:dyDescent="0.25">
      <c r="D3058" s="94" t="s">
        <v>3105</v>
      </c>
    </row>
    <row r="3059" spans="1:6" x14ac:dyDescent="0.25">
      <c r="A3059" s="62" t="s">
        <v>4398</v>
      </c>
      <c r="B3059" s="96">
        <v>430305</v>
      </c>
      <c r="C3059" s="96" t="str">
        <f t="shared" ref="C3059:C3067" si="301">A3059&amp;B3059</f>
        <v>CPOS430305</v>
      </c>
      <c r="D3059" s="95" t="s">
        <v>3106</v>
      </c>
      <c r="E3059" s="63" t="s">
        <v>58</v>
      </c>
      <c r="F3059" s="64">
        <v>5962.8</v>
      </c>
    </row>
    <row r="3060" spans="1:6" x14ac:dyDescent="0.25">
      <c r="A3060" s="62" t="s">
        <v>4398</v>
      </c>
      <c r="B3060" s="96">
        <v>430313</v>
      </c>
      <c r="C3060" s="96" t="str">
        <f t="shared" si="301"/>
        <v>CPOS430313</v>
      </c>
      <c r="D3060" s="95" t="s">
        <v>3107</v>
      </c>
      <c r="E3060" s="63" t="s">
        <v>58</v>
      </c>
      <c r="F3060" s="64">
        <v>7674.16</v>
      </c>
    </row>
    <row r="3061" spans="1:6" ht="30" x14ac:dyDescent="0.25">
      <c r="A3061" s="62" t="s">
        <v>4398</v>
      </c>
      <c r="B3061" s="96">
        <v>430321</v>
      </c>
      <c r="C3061" s="96" t="str">
        <f t="shared" si="301"/>
        <v>CPOS430321</v>
      </c>
      <c r="D3061" s="95" t="s">
        <v>3108</v>
      </c>
      <c r="E3061" s="63" t="s">
        <v>58</v>
      </c>
      <c r="F3061" s="64">
        <v>753.84</v>
      </c>
    </row>
    <row r="3062" spans="1:6" ht="30" x14ac:dyDescent="0.25">
      <c r="A3062" s="62" t="s">
        <v>4398</v>
      </c>
      <c r="B3062" s="96">
        <v>430322</v>
      </c>
      <c r="C3062" s="96" t="str">
        <f t="shared" si="301"/>
        <v>CPOS430322</v>
      </c>
      <c r="D3062" s="95" t="s">
        <v>3109</v>
      </c>
      <c r="E3062" s="63" t="s">
        <v>117</v>
      </c>
      <c r="F3062" s="64">
        <v>11984.08</v>
      </c>
    </row>
    <row r="3063" spans="1:6" ht="30" x14ac:dyDescent="0.25">
      <c r="A3063" s="62" t="s">
        <v>4398</v>
      </c>
      <c r="B3063" s="96">
        <v>430323</v>
      </c>
      <c r="C3063" s="96" t="str">
        <f t="shared" si="301"/>
        <v>CPOS430323</v>
      </c>
      <c r="D3063" s="95" t="s">
        <v>3110</v>
      </c>
      <c r="E3063" s="63" t="s">
        <v>117</v>
      </c>
      <c r="F3063" s="64">
        <v>18753.240000000002</v>
      </c>
    </row>
    <row r="3064" spans="1:6" ht="30" x14ac:dyDescent="0.25">
      <c r="A3064" s="62" t="s">
        <v>4398</v>
      </c>
      <c r="B3064" s="96">
        <v>430324</v>
      </c>
      <c r="C3064" s="96" t="str">
        <f t="shared" si="301"/>
        <v>CPOS430324</v>
      </c>
      <c r="D3064" s="95" t="s">
        <v>3111</v>
      </c>
      <c r="E3064" s="63" t="s">
        <v>117</v>
      </c>
      <c r="F3064" s="64">
        <v>26705.010000000002</v>
      </c>
    </row>
    <row r="3065" spans="1:6" ht="30" x14ac:dyDescent="0.25">
      <c r="A3065" s="62" t="s">
        <v>4398</v>
      </c>
      <c r="B3065" s="96">
        <v>430350</v>
      </c>
      <c r="C3065" s="96" t="str">
        <f t="shared" si="301"/>
        <v>CPOS430350</v>
      </c>
      <c r="D3065" s="95" t="s">
        <v>3112</v>
      </c>
      <c r="E3065" s="63" t="s">
        <v>58</v>
      </c>
      <c r="F3065" s="64">
        <v>629.24</v>
      </c>
    </row>
    <row r="3066" spans="1:6" ht="30" x14ac:dyDescent="0.25">
      <c r="A3066" s="62" t="s">
        <v>4398</v>
      </c>
      <c r="B3066" s="96">
        <v>430351</v>
      </c>
      <c r="C3066" s="96" t="str">
        <f t="shared" si="301"/>
        <v>CPOS430351</v>
      </c>
      <c r="D3066" s="95" t="s">
        <v>3113</v>
      </c>
      <c r="E3066" s="63" t="s">
        <v>58</v>
      </c>
      <c r="F3066" s="64">
        <v>790.65</v>
      </c>
    </row>
    <row r="3067" spans="1:6" ht="30" x14ac:dyDescent="0.25">
      <c r="A3067" s="62" t="s">
        <v>4398</v>
      </c>
      <c r="B3067" s="96">
        <v>430355</v>
      </c>
      <c r="C3067" s="96" t="str">
        <f t="shared" si="301"/>
        <v>CPOS430355</v>
      </c>
      <c r="D3067" s="95" t="s">
        <v>3114</v>
      </c>
      <c r="E3067" s="63" t="s">
        <v>58</v>
      </c>
      <c r="F3067" s="64">
        <v>1829.39</v>
      </c>
    </row>
    <row r="3068" spans="1:6" x14ac:dyDescent="0.25">
      <c r="D3068" s="94" t="s">
        <v>3115</v>
      </c>
    </row>
    <row r="3069" spans="1:6" x14ac:dyDescent="0.25">
      <c r="A3069" s="62" t="s">
        <v>4398</v>
      </c>
      <c r="B3069" s="96">
        <v>430402</v>
      </c>
      <c r="C3069" s="96" t="str">
        <f>A3069&amp;B3069</f>
        <v>CPOS430402</v>
      </c>
      <c r="D3069" s="95" t="s">
        <v>3116</v>
      </c>
      <c r="E3069" s="63" t="s">
        <v>58</v>
      </c>
      <c r="F3069" s="64">
        <v>139.03</v>
      </c>
    </row>
    <row r="3070" spans="1:6" x14ac:dyDescent="0.25">
      <c r="D3070" s="94" t="s">
        <v>3117</v>
      </c>
    </row>
    <row r="3071" spans="1:6" x14ac:dyDescent="0.25">
      <c r="A3071" s="62" t="s">
        <v>4398</v>
      </c>
      <c r="B3071" s="96">
        <v>430502</v>
      </c>
      <c r="C3071" s="96" t="str">
        <f t="shared" ref="C3071:C3072" si="302">A3071&amp;B3071</f>
        <v>CPOS430502</v>
      </c>
      <c r="D3071" s="95" t="s">
        <v>3118</v>
      </c>
      <c r="E3071" s="63" t="s">
        <v>58</v>
      </c>
      <c r="F3071" s="64">
        <v>454.32</v>
      </c>
    </row>
    <row r="3072" spans="1:6" x14ac:dyDescent="0.25">
      <c r="A3072" s="62" t="s">
        <v>4398</v>
      </c>
      <c r="B3072" s="96">
        <v>430503</v>
      </c>
      <c r="C3072" s="96" t="str">
        <f t="shared" si="302"/>
        <v>CPOS430503</v>
      </c>
      <c r="D3072" s="95" t="s">
        <v>3119</v>
      </c>
      <c r="E3072" s="63" t="s">
        <v>58</v>
      </c>
      <c r="F3072" s="64">
        <v>234.52</v>
      </c>
    </row>
    <row r="3073" spans="1:6" x14ac:dyDescent="0.25">
      <c r="D3073" s="94" t="s">
        <v>3120</v>
      </c>
    </row>
    <row r="3074" spans="1:6" x14ac:dyDescent="0.25">
      <c r="A3074" s="62" t="s">
        <v>4398</v>
      </c>
      <c r="B3074" s="96">
        <v>430601</v>
      </c>
      <c r="C3074" s="96" t="str">
        <f>A3074&amp;B3074</f>
        <v>CPOS430601</v>
      </c>
      <c r="D3074" s="95" t="s">
        <v>3121</v>
      </c>
      <c r="E3074" s="63" t="s">
        <v>58</v>
      </c>
      <c r="F3074" s="64">
        <v>31.94</v>
      </c>
    </row>
    <row r="3075" spans="1:6" x14ac:dyDescent="0.25">
      <c r="D3075" s="94" t="s">
        <v>3122</v>
      </c>
    </row>
    <row r="3076" spans="1:6" x14ac:dyDescent="0.25">
      <c r="A3076" s="62" t="s">
        <v>4398</v>
      </c>
      <c r="B3076" s="96">
        <v>430705</v>
      </c>
      <c r="C3076" s="96" t="str">
        <f t="shared" ref="C3076:C3085" si="303">A3076&amp;B3076</f>
        <v>CPOS430705</v>
      </c>
      <c r="D3076" s="95" t="s">
        <v>3123</v>
      </c>
      <c r="E3076" s="63" t="s">
        <v>117</v>
      </c>
      <c r="F3076" s="64">
        <v>3315.44</v>
      </c>
    </row>
    <row r="3077" spans="1:6" x14ac:dyDescent="0.25">
      <c r="A3077" s="62" t="s">
        <v>4398</v>
      </c>
      <c r="B3077" s="96">
        <v>430709</v>
      </c>
      <c r="C3077" s="96" t="str">
        <f t="shared" si="303"/>
        <v>CPOS430709</v>
      </c>
      <c r="D3077" s="95" t="s">
        <v>3124</v>
      </c>
      <c r="E3077" s="63" t="s">
        <v>117</v>
      </c>
      <c r="F3077" s="64">
        <v>4081.6</v>
      </c>
    </row>
    <row r="3078" spans="1:6" x14ac:dyDescent="0.25">
      <c r="A3078" s="62" t="s">
        <v>4398</v>
      </c>
      <c r="B3078" s="96">
        <v>430710</v>
      </c>
      <c r="C3078" s="96" t="str">
        <f t="shared" si="303"/>
        <v>CPOS430710</v>
      </c>
      <c r="D3078" s="95" t="s">
        <v>3125</v>
      </c>
      <c r="E3078" s="63" t="s">
        <v>117</v>
      </c>
      <c r="F3078" s="64">
        <v>2254.4899999999998</v>
      </c>
    </row>
    <row r="3079" spans="1:6" x14ac:dyDescent="0.25">
      <c r="A3079" s="62" t="s">
        <v>4398</v>
      </c>
      <c r="B3079" s="96">
        <v>430712</v>
      </c>
      <c r="C3079" s="96" t="str">
        <f t="shared" si="303"/>
        <v>CPOS430712</v>
      </c>
      <c r="D3079" s="95" t="s">
        <v>3126</v>
      </c>
      <c r="E3079" s="63" t="s">
        <v>117</v>
      </c>
      <c r="F3079" s="64">
        <v>2425.63</v>
      </c>
    </row>
    <row r="3080" spans="1:6" x14ac:dyDescent="0.25">
      <c r="A3080" s="62" t="s">
        <v>4398</v>
      </c>
      <c r="B3080" s="96">
        <v>430713</v>
      </c>
      <c r="C3080" s="96" t="str">
        <f t="shared" si="303"/>
        <v>CPOS430713</v>
      </c>
      <c r="D3080" s="95" t="s">
        <v>3127</v>
      </c>
      <c r="E3080" s="63" t="s">
        <v>117</v>
      </c>
      <c r="F3080" s="64">
        <v>3694.31</v>
      </c>
    </row>
    <row r="3081" spans="1:6" x14ac:dyDescent="0.25">
      <c r="A3081" s="62" t="s">
        <v>4398</v>
      </c>
      <c r="B3081" s="96">
        <v>430714</v>
      </c>
      <c r="C3081" s="96" t="str">
        <f t="shared" si="303"/>
        <v>CPOS430714</v>
      </c>
      <c r="D3081" s="95" t="s">
        <v>3128</v>
      </c>
      <c r="E3081" s="63" t="s">
        <v>117</v>
      </c>
      <c r="F3081" s="64">
        <v>4838.63</v>
      </c>
    </row>
    <row r="3082" spans="1:6" x14ac:dyDescent="0.25">
      <c r="A3082" s="62" t="s">
        <v>4398</v>
      </c>
      <c r="B3082" s="96">
        <v>430719</v>
      </c>
      <c r="C3082" s="96" t="str">
        <f t="shared" si="303"/>
        <v>CPOS430719</v>
      </c>
      <c r="D3082" s="95" t="s">
        <v>3129</v>
      </c>
      <c r="E3082" s="63" t="s">
        <v>117</v>
      </c>
      <c r="F3082" s="64">
        <v>5117.57</v>
      </c>
    </row>
    <row r="3083" spans="1:6" x14ac:dyDescent="0.25">
      <c r="A3083" s="62" t="s">
        <v>4398</v>
      </c>
      <c r="B3083" s="96">
        <v>430720</v>
      </c>
      <c r="C3083" s="96" t="str">
        <f t="shared" si="303"/>
        <v>CPOS430720</v>
      </c>
      <c r="D3083" s="95" t="s">
        <v>3130</v>
      </c>
      <c r="E3083" s="63" t="s">
        <v>117</v>
      </c>
      <c r="F3083" s="64">
        <v>6121.9400000000005</v>
      </c>
    </row>
    <row r="3084" spans="1:6" x14ac:dyDescent="0.25">
      <c r="A3084" s="62" t="s">
        <v>4398</v>
      </c>
      <c r="B3084" s="96">
        <v>430727</v>
      </c>
      <c r="C3084" s="96" t="str">
        <f t="shared" si="303"/>
        <v>CPOS430727</v>
      </c>
      <c r="D3084" s="95" t="s">
        <v>3131</v>
      </c>
      <c r="E3084" s="63" t="s">
        <v>117</v>
      </c>
      <c r="F3084" s="64">
        <v>4116.5600000000004</v>
      </c>
    </row>
    <row r="3085" spans="1:6" x14ac:dyDescent="0.25">
      <c r="A3085" s="62" t="s">
        <v>4398</v>
      </c>
      <c r="B3085" s="96">
        <v>430728</v>
      </c>
      <c r="C3085" s="96" t="str">
        <f t="shared" si="303"/>
        <v>CPOS430728</v>
      </c>
      <c r="D3085" s="95" t="s">
        <v>3132</v>
      </c>
      <c r="E3085" s="63" t="s">
        <v>117</v>
      </c>
      <c r="F3085" s="64">
        <v>5422.2300000000005</v>
      </c>
    </row>
    <row r="3086" spans="1:6" x14ac:dyDescent="0.25">
      <c r="D3086" s="94" t="s">
        <v>3133</v>
      </c>
    </row>
    <row r="3087" spans="1:6" ht="30" x14ac:dyDescent="0.25">
      <c r="A3087" s="62" t="s">
        <v>4398</v>
      </c>
      <c r="B3087" s="96">
        <v>431003</v>
      </c>
      <c r="C3087" s="96" t="str">
        <f t="shared" ref="C3087:C3110" si="304">A3087&amp;B3087</f>
        <v>CPOS431003</v>
      </c>
      <c r="D3087" s="95" t="s">
        <v>3134</v>
      </c>
      <c r="E3087" s="63" t="s">
        <v>58</v>
      </c>
      <c r="F3087" s="64">
        <v>1897.1000000000001</v>
      </c>
    </row>
    <row r="3088" spans="1:6" ht="30" x14ac:dyDescent="0.25">
      <c r="A3088" s="62" t="s">
        <v>4398</v>
      </c>
      <c r="B3088" s="96">
        <v>431005</v>
      </c>
      <c r="C3088" s="96" t="str">
        <f t="shared" si="304"/>
        <v>CPOS431005</v>
      </c>
      <c r="D3088" s="95" t="s">
        <v>3135</v>
      </c>
      <c r="E3088" s="63" t="s">
        <v>58</v>
      </c>
      <c r="F3088" s="64">
        <v>4392.07</v>
      </c>
    </row>
    <row r="3089" spans="1:6" ht="30" x14ac:dyDescent="0.25">
      <c r="A3089" s="62" t="s">
        <v>4398</v>
      </c>
      <c r="B3089" s="96">
        <v>431007</v>
      </c>
      <c r="C3089" s="96" t="str">
        <f t="shared" si="304"/>
        <v>CPOS431007</v>
      </c>
      <c r="D3089" s="95" t="s">
        <v>3136</v>
      </c>
      <c r="E3089" s="63" t="s">
        <v>58</v>
      </c>
      <c r="F3089" s="64">
        <v>2775.65</v>
      </c>
    </row>
    <row r="3090" spans="1:6" ht="30" x14ac:dyDescent="0.25">
      <c r="A3090" s="62" t="s">
        <v>4398</v>
      </c>
      <c r="B3090" s="96">
        <v>431009</v>
      </c>
      <c r="C3090" s="96" t="str">
        <f t="shared" si="304"/>
        <v>CPOS431009</v>
      </c>
      <c r="D3090" s="95" t="s">
        <v>3137</v>
      </c>
      <c r="E3090" s="63" t="s">
        <v>58</v>
      </c>
      <c r="F3090" s="64">
        <v>7607.96</v>
      </c>
    </row>
    <row r="3091" spans="1:6" ht="30" x14ac:dyDescent="0.25">
      <c r="A3091" s="62" t="s">
        <v>4398</v>
      </c>
      <c r="B3091" s="96">
        <v>431011</v>
      </c>
      <c r="C3091" s="96" t="str">
        <f t="shared" si="304"/>
        <v>CPOS431011</v>
      </c>
      <c r="D3091" s="95" t="s">
        <v>3138</v>
      </c>
      <c r="E3091" s="63" t="s">
        <v>58</v>
      </c>
      <c r="F3091" s="64">
        <v>2399.58</v>
      </c>
    </row>
    <row r="3092" spans="1:6" ht="30" x14ac:dyDescent="0.25">
      <c r="A3092" s="62" t="s">
        <v>4398</v>
      </c>
      <c r="B3092" s="96">
        <v>431013</v>
      </c>
      <c r="C3092" s="96" t="str">
        <f t="shared" si="304"/>
        <v>CPOS431013</v>
      </c>
      <c r="D3092" s="95" t="s">
        <v>3139</v>
      </c>
      <c r="E3092" s="63" t="s">
        <v>58</v>
      </c>
      <c r="F3092" s="64">
        <v>1245.6099999999999</v>
      </c>
    </row>
    <row r="3093" spans="1:6" ht="30" x14ac:dyDescent="0.25">
      <c r="A3093" s="62" t="s">
        <v>4398</v>
      </c>
      <c r="B3093" s="96">
        <v>431015</v>
      </c>
      <c r="C3093" s="96" t="str">
        <f t="shared" si="304"/>
        <v>CPOS431015</v>
      </c>
      <c r="D3093" s="95" t="s">
        <v>3140</v>
      </c>
      <c r="E3093" s="63" t="s">
        <v>58</v>
      </c>
      <c r="F3093" s="64">
        <v>2585.89</v>
      </c>
    </row>
    <row r="3094" spans="1:6" ht="30" x14ac:dyDescent="0.25">
      <c r="A3094" s="62" t="s">
        <v>4398</v>
      </c>
      <c r="B3094" s="96">
        <v>431017</v>
      </c>
      <c r="C3094" s="96" t="str">
        <f t="shared" si="304"/>
        <v>CPOS431017</v>
      </c>
      <c r="D3094" s="95" t="s">
        <v>3141</v>
      </c>
      <c r="E3094" s="63" t="s">
        <v>58</v>
      </c>
      <c r="F3094" s="64">
        <v>1942.1100000000001</v>
      </c>
    </row>
    <row r="3095" spans="1:6" ht="30" x14ac:dyDescent="0.25">
      <c r="A3095" s="62" t="s">
        <v>4398</v>
      </c>
      <c r="B3095" s="96">
        <v>431021</v>
      </c>
      <c r="C3095" s="96" t="str">
        <f t="shared" si="304"/>
        <v>CPOS431021</v>
      </c>
      <c r="D3095" s="95" t="s">
        <v>3142</v>
      </c>
      <c r="E3095" s="63" t="s">
        <v>58</v>
      </c>
      <c r="F3095" s="64">
        <v>19052.98</v>
      </c>
    </row>
    <row r="3096" spans="1:6" ht="30" x14ac:dyDescent="0.25">
      <c r="A3096" s="62" t="s">
        <v>4398</v>
      </c>
      <c r="B3096" s="96">
        <v>431023</v>
      </c>
      <c r="C3096" s="96" t="str">
        <f t="shared" si="304"/>
        <v>CPOS431023</v>
      </c>
      <c r="D3096" s="95" t="s">
        <v>3143</v>
      </c>
      <c r="E3096" s="63" t="s">
        <v>58</v>
      </c>
      <c r="F3096" s="64">
        <v>1552.73</v>
      </c>
    </row>
    <row r="3097" spans="1:6" ht="30" x14ac:dyDescent="0.25">
      <c r="A3097" s="62" t="s">
        <v>4398</v>
      </c>
      <c r="B3097" s="96">
        <v>431025</v>
      </c>
      <c r="C3097" s="96" t="str">
        <f t="shared" si="304"/>
        <v>CPOS431025</v>
      </c>
      <c r="D3097" s="95" t="s">
        <v>3144</v>
      </c>
      <c r="E3097" s="63" t="s">
        <v>58</v>
      </c>
      <c r="F3097" s="64">
        <v>5295.21</v>
      </c>
    </row>
    <row r="3098" spans="1:6" ht="30" x14ac:dyDescent="0.25">
      <c r="A3098" s="62" t="s">
        <v>4398</v>
      </c>
      <c r="B3098" s="96">
        <v>431029</v>
      </c>
      <c r="C3098" s="96" t="str">
        <f t="shared" si="304"/>
        <v>CPOS431029</v>
      </c>
      <c r="D3098" s="95" t="s">
        <v>3145</v>
      </c>
      <c r="E3098" s="63" t="s">
        <v>58</v>
      </c>
      <c r="F3098" s="64">
        <v>2457.96</v>
      </c>
    </row>
    <row r="3099" spans="1:6" ht="30" x14ac:dyDescent="0.25">
      <c r="A3099" s="62" t="s">
        <v>4398</v>
      </c>
      <c r="B3099" s="96">
        <v>431030</v>
      </c>
      <c r="C3099" s="96" t="str">
        <f t="shared" si="304"/>
        <v>CPOS431030</v>
      </c>
      <c r="D3099" s="95" t="s">
        <v>3146</v>
      </c>
      <c r="E3099" s="63" t="s">
        <v>58</v>
      </c>
      <c r="F3099" s="64">
        <v>928.1</v>
      </c>
    </row>
    <row r="3100" spans="1:6" ht="30" x14ac:dyDescent="0.25">
      <c r="A3100" s="62" t="s">
        <v>4398</v>
      </c>
      <c r="B3100" s="96">
        <v>431045</v>
      </c>
      <c r="C3100" s="96" t="str">
        <f t="shared" si="304"/>
        <v>CPOS431045</v>
      </c>
      <c r="D3100" s="95" t="s">
        <v>3147</v>
      </c>
      <c r="E3100" s="63" t="s">
        <v>58</v>
      </c>
      <c r="F3100" s="64">
        <v>8927.8700000000008</v>
      </c>
    </row>
    <row r="3101" spans="1:6" ht="30" x14ac:dyDescent="0.25">
      <c r="A3101" s="62" t="s">
        <v>4398</v>
      </c>
      <c r="B3101" s="96">
        <v>431048</v>
      </c>
      <c r="C3101" s="96" t="str">
        <f t="shared" si="304"/>
        <v>CPOS431048</v>
      </c>
      <c r="D3101" s="95" t="s">
        <v>3148</v>
      </c>
      <c r="E3101" s="63" t="s">
        <v>58</v>
      </c>
      <c r="F3101" s="64">
        <v>3859.04</v>
      </c>
    </row>
    <row r="3102" spans="1:6" ht="30" x14ac:dyDescent="0.25">
      <c r="A3102" s="62" t="s">
        <v>4398</v>
      </c>
      <c r="B3102" s="96">
        <v>431049</v>
      </c>
      <c r="C3102" s="96" t="str">
        <f t="shared" si="304"/>
        <v>CPOS431049</v>
      </c>
      <c r="D3102" s="95" t="s">
        <v>3149</v>
      </c>
      <c r="E3102" s="63" t="s">
        <v>58</v>
      </c>
      <c r="F3102" s="64">
        <v>2937.4900000000002</v>
      </c>
    </row>
    <row r="3103" spans="1:6" ht="30" x14ac:dyDescent="0.25">
      <c r="A3103" s="62" t="s">
        <v>4398</v>
      </c>
      <c r="B3103" s="96">
        <v>431062</v>
      </c>
      <c r="C3103" s="96" t="str">
        <f t="shared" si="304"/>
        <v>CPOS431062</v>
      </c>
      <c r="D3103" s="95" t="s">
        <v>3150</v>
      </c>
      <c r="E3103" s="63" t="s">
        <v>58</v>
      </c>
      <c r="F3103" s="64">
        <v>947.87</v>
      </c>
    </row>
    <row r="3104" spans="1:6" ht="30" x14ac:dyDescent="0.25">
      <c r="A3104" s="62" t="s">
        <v>4398</v>
      </c>
      <c r="B3104" s="96">
        <v>431067</v>
      </c>
      <c r="C3104" s="96" t="str">
        <f t="shared" si="304"/>
        <v>CPOS431067</v>
      </c>
      <c r="D3104" s="95" t="s">
        <v>3151</v>
      </c>
      <c r="E3104" s="63" t="s">
        <v>58</v>
      </c>
      <c r="F3104" s="64">
        <v>719.07</v>
      </c>
    </row>
    <row r="3105" spans="1:6" ht="30" x14ac:dyDescent="0.25">
      <c r="A3105" s="62" t="s">
        <v>4398</v>
      </c>
      <c r="B3105" s="96">
        <v>431073</v>
      </c>
      <c r="C3105" s="96" t="str">
        <f t="shared" si="304"/>
        <v>CPOS431073</v>
      </c>
      <c r="D3105" s="95" t="s">
        <v>3152</v>
      </c>
      <c r="E3105" s="63" t="s">
        <v>58</v>
      </c>
      <c r="F3105" s="64">
        <v>7726.85</v>
      </c>
    </row>
    <row r="3106" spans="1:6" ht="30" x14ac:dyDescent="0.25">
      <c r="A3106" s="62" t="s">
        <v>4398</v>
      </c>
      <c r="B3106" s="96">
        <v>431074</v>
      </c>
      <c r="C3106" s="96" t="str">
        <f t="shared" si="304"/>
        <v>CPOS431074</v>
      </c>
      <c r="D3106" s="95" t="s">
        <v>3153</v>
      </c>
      <c r="E3106" s="63" t="s">
        <v>58</v>
      </c>
      <c r="F3106" s="64">
        <v>5509.99</v>
      </c>
    </row>
    <row r="3107" spans="1:6" ht="30" x14ac:dyDescent="0.25">
      <c r="A3107" s="62" t="s">
        <v>4398</v>
      </c>
      <c r="B3107" s="96">
        <v>431075</v>
      </c>
      <c r="C3107" s="96" t="str">
        <f t="shared" si="304"/>
        <v>CPOS431075</v>
      </c>
      <c r="D3107" s="95" t="s">
        <v>3154</v>
      </c>
      <c r="E3107" s="63" t="s">
        <v>58</v>
      </c>
      <c r="F3107" s="64">
        <v>691.71</v>
      </c>
    </row>
    <row r="3108" spans="1:6" ht="30" x14ac:dyDescent="0.25">
      <c r="A3108" s="62" t="s">
        <v>4398</v>
      </c>
      <c r="B3108" s="96">
        <v>431076</v>
      </c>
      <c r="C3108" s="96" t="str">
        <f t="shared" si="304"/>
        <v>CPOS431076</v>
      </c>
      <c r="D3108" s="95" t="s">
        <v>3155</v>
      </c>
      <c r="E3108" s="63" t="s">
        <v>58</v>
      </c>
      <c r="F3108" s="64">
        <v>1522.01</v>
      </c>
    </row>
    <row r="3109" spans="1:6" ht="30" x14ac:dyDescent="0.25">
      <c r="A3109" s="62" t="s">
        <v>4398</v>
      </c>
      <c r="B3109" s="96">
        <v>431077</v>
      </c>
      <c r="C3109" s="96" t="str">
        <f t="shared" si="304"/>
        <v>CPOS431077</v>
      </c>
      <c r="D3109" s="95" t="s">
        <v>3156</v>
      </c>
      <c r="E3109" s="63" t="s">
        <v>58</v>
      </c>
      <c r="F3109" s="64">
        <v>11273.35</v>
      </c>
    </row>
    <row r="3110" spans="1:6" ht="30" x14ac:dyDescent="0.25">
      <c r="A3110" s="62" t="s">
        <v>4398</v>
      </c>
      <c r="B3110" s="96">
        <v>431078</v>
      </c>
      <c r="C3110" s="96" t="str">
        <f t="shared" si="304"/>
        <v>CPOS431078</v>
      </c>
      <c r="D3110" s="95" t="s">
        <v>3157</v>
      </c>
      <c r="E3110" s="63" t="s">
        <v>58</v>
      </c>
      <c r="F3110" s="64">
        <v>12064.03</v>
      </c>
    </row>
    <row r="3111" spans="1:6" x14ac:dyDescent="0.25">
      <c r="D3111" s="94" t="s">
        <v>3158</v>
      </c>
    </row>
    <row r="3112" spans="1:6" ht="30" x14ac:dyDescent="0.25">
      <c r="A3112" s="62" t="s">
        <v>4398</v>
      </c>
      <c r="B3112" s="96">
        <v>431101</v>
      </c>
      <c r="C3112" s="96" t="str">
        <f t="shared" ref="C3112:C3142" si="305">A3112&amp;B3112</f>
        <v>CPOS431101</v>
      </c>
      <c r="D3112" s="95" t="s">
        <v>3159</v>
      </c>
      <c r="E3112" s="63" t="s">
        <v>58</v>
      </c>
      <c r="F3112" s="64">
        <v>5214.8999999999996</v>
      </c>
    </row>
    <row r="3113" spans="1:6" ht="30" x14ac:dyDescent="0.25">
      <c r="A3113" s="62" t="s">
        <v>4398</v>
      </c>
      <c r="B3113" s="96">
        <v>431102</v>
      </c>
      <c r="C3113" s="96" t="str">
        <f t="shared" si="305"/>
        <v>CPOS431102</v>
      </c>
      <c r="D3113" s="95" t="s">
        <v>3160</v>
      </c>
      <c r="E3113" s="63" t="s">
        <v>58</v>
      </c>
      <c r="F3113" s="64">
        <v>5917.29</v>
      </c>
    </row>
    <row r="3114" spans="1:6" ht="30" x14ac:dyDescent="0.25">
      <c r="A3114" s="62" t="s">
        <v>4398</v>
      </c>
      <c r="B3114" s="96">
        <v>431103</v>
      </c>
      <c r="C3114" s="96" t="str">
        <f t="shared" si="305"/>
        <v>CPOS431103</v>
      </c>
      <c r="D3114" s="95" t="s">
        <v>3161</v>
      </c>
      <c r="E3114" s="63" t="s">
        <v>58</v>
      </c>
      <c r="F3114" s="64">
        <v>6661.25</v>
      </c>
    </row>
    <row r="3115" spans="1:6" ht="30" x14ac:dyDescent="0.25">
      <c r="A3115" s="62" t="s">
        <v>4398</v>
      </c>
      <c r="B3115" s="96">
        <v>431104</v>
      </c>
      <c r="C3115" s="96" t="str">
        <f t="shared" si="305"/>
        <v>CPOS431104</v>
      </c>
      <c r="D3115" s="95" t="s">
        <v>3162</v>
      </c>
      <c r="E3115" s="63" t="s">
        <v>58</v>
      </c>
      <c r="F3115" s="64">
        <v>7505.26</v>
      </c>
    </row>
    <row r="3116" spans="1:6" ht="30" x14ac:dyDescent="0.25">
      <c r="A3116" s="62" t="s">
        <v>4398</v>
      </c>
      <c r="B3116" s="96">
        <v>431105</v>
      </c>
      <c r="C3116" s="96" t="str">
        <f t="shared" si="305"/>
        <v>CPOS431105</v>
      </c>
      <c r="D3116" s="95" t="s">
        <v>3163</v>
      </c>
      <c r="E3116" s="63" t="s">
        <v>58</v>
      </c>
      <c r="F3116" s="64">
        <v>4964.05</v>
      </c>
    </row>
    <row r="3117" spans="1:6" ht="30" x14ac:dyDescent="0.25">
      <c r="A3117" s="62" t="s">
        <v>4398</v>
      </c>
      <c r="B3117" s="96">
        <v>431106</v>
      </c>
      <c r="C3117" s="96" t="str">
        <f t="shared" si="305"/>
        <v>CPOS431106</v>
      </c>
      <c r="D3117" s="95" t="s">
        <v>3164</v>
      </c>
      <c r="E3117" s="63" t="s">
        <v>58</v>
      </c>
      <c r="F3117" s="64">
        <v>5560.87</v>
      </c>
    </row>
    <row r="3118" spans="1:6" ht="30" x14ac:dyDescent="0.25">
      <c r="A3118" s="62" t="s">
        <v>4398</v>
      </c>
      <c r="B3118" s="96">
        <v>431107</v>
      </c>
      <c r="C3118" s="96" t="str">
        <f t="shared" si="305"/>
        <v>CPOS431107</v>
      </c>
      <c r="D3118" s="95" t="s">
        <v>3165</v>
      </c>
      <c r="E3118" s="63" t="s">
        <v>58</v>
      </c>
      <c r="F3118" s="64">
        <v>6052.28</v>
      </c>
    </row>
    <row r="3119" spans="1:6" ht="30" x14ac:dyDescent="0.25">
      <c r="A3119" s="62" t="s">
        <v>4398</v>
      </c>
      <c r="B3119" s="96">
        <v>431108</v>
      </c>
      <c r="C3119" s="96" t="str">
        <f t="shared" si="305"/>
        <v>CPOS431108</v>
      </c>
      <c r="D3119" s="95" t="s">
        <v>3166</v>
      </c>
      <c r="E3119" s="63" t="s">
        <v>58</v>
      </c>
      <c r="F3119" s="64">
        <v>6802.03</v>
      </c>
    </row>
    <row r="3120" spans="1:6" ht="30" x14ac:dyDescent="0.25">
      <c r="A3120" s="62" t="s">
        <v>4398</v>
      </c>
      <c r="B3120" s="96">
        <v>431109</v>
      </c>
      <c r="C3120" s="96" t="str">
        <f t="shared" si="305"/>
        <v>CPOS431109</v>
      </c>
      <c r="D3120" s="95" t="s">
        <v>3167</v>
      </c>
      <c r="E3120" s="63" t="s">
        <v>58</v>
      </c>
      <c r="F3120" s="64">
        <v>8823.2999999999993</v>
      </c>
    </row>
    <row r="3121" spans="1:6" ht="30" x14ac:dyDescent="0.25">
      <c r="A3121" s="62" t="s">
        <v>4398</v>
      </c>
      <c r="B3121" s="96">
        <v>431110</v>
      </c>
      <c r="C3121" s="96" t="str">
        <f t="shared" si="305"/>
        <v>CPOS431110</v>
      </c>
      <c r="D3121" s="95" t="s">
        <v>3168</v>
      </c>
      <c r="E3121" s="63" t="s">
        <v>58</v>
      </c>
      <c r="F3121" s="64">
        <v>10075.620000000001</v>
      </c>
    </row>
    <row r="3122" spans="1:6" ht="30" x14ac:dyDescent="0.25">
      <c r="A3122" s="62" t="s">
        <v>4398</v>
      </c>
      <c r="B3122" s="96">
        <v>431111</v>
      </c>
      <c r="C3122" s="96" t="str">
        <f t="shared" si="305"/>
        <v>CPOS431111</v>
      </c>
      <c r="D3122" s="95" t="s">
        <v>3169</v>
      </c>
      <c r="E3122" s="63" t="s">
        <v>58</v>
      </c>
      <c r="F3122" s="64">
        <v>5104.8500000000004</v>
      </c>
    </row>
    <row r="3123" spans="1:6" ht="30" x14ac:dyDescent="0.25">
      <c r="A3123" s="62" t="s">
        <v>4398</v>
      </c>
      <c r="B3123" s="96">
        <v>431112</v>
      </c>
      <c r="C3123" s="96" t="str">
        <f t="shared" si="305"/>
        <v>CPOS431112</v>
      </c>
      <c r="D3123" s="95" t="s">
        <v>3170</v>
      </c>
      <c r="E3123" s="63" t="s">
        <v>58</v>
      </c>
      <c r="F3123" s="64">
        <v>5632.88</v>
      </c>
    </row>
    <row r="3124" spans="1:6" ht="30" x14ac:dyDescent="0.25">
      <c r="A3124" s="62" t="s">
        <v>4398</v>
      </c>
      <c r="B3124" s="96">
        <v>431113</v>
      </c>
      <c r="C3124" s="96" t="str">
        <f t="shared" si="305"/>
        <v>CPOS431113</v>
      </c>
      <c r="D3124" s="95" t="s">
        <v>3171</v>
      </c>
      <c r="E3124" s="63" t="s">
        <v>58</v>
      </c>
      <c r="F3124" s="64">
        <v>6089</v>
      </c>
    </row>
    <row r="3125" spans="1:6" ht="30" x14ac:dyDescent="0.25">
      <c r="A3125" s="62" t="s">
        <v>4398</v>
      </c>
      <c r="B3125" s="96">
        <v>431114</v>
      </c>
      <c r="C3125" s="96" t="str">
        <f t="shared" si="305"/>
        <v>CPOS431114</v>
      </c>
      <c r="D3125" s="95" t="s">
        <v>3172</v>
      </c>
      <c r="E3125" s="63" t="s">
        <v>58</v>
      </c>
      <c r="F3125" s="64">
        <v>6587.08</v>
      </c>
    </row>
    <row r="3126" spans="1:6" ht="30" x14ac:dyDescent="0.25">
      <c r="A3126" s="62" t="s">
        <v>4398</v>
      </c>
      <c r="B3126" s="96">
        <v>431115</v>
      </c>
      <c r="C3126" s="96" t="str">
        <f t="shared" si="305"/>
        <v>CPOS431115</v>
      </c>
      <c r="D3126" s="95" t="s">
        <v>3173</v>
      </c>
      <c r="E3126" s="63" t="s">
        <v>58</v>
      </c>
      <c r="F3126" s="64">
        <v>8831.34</v>
      </c>
    </row>
    <row r="3127" spans="1:6" ht="30" x14ac:dyDescent="0.25">
      <c r="A3127" s="62" t="s">
        <v>4398</v>
      </c>
      <c r="B3127" s="96">
        <v>431116</v>
      </c>
      <c r="C3127" s="96" t="str">
        <f t="shared" si="305"/>
        <v>CPOS431116</v>
      </c>
      <c r="D3127" s="95" t="s">
        <v>3174</v>
      </c>
      <c r="E3127" s="63" t="s">
        <v>58</v>
      </c>
      <c r="F3127" s="64">
        <v>10054.040000000001</v>
      </c>
    </row>
    <row r="3128" spans="1:6" ht="30" x14ac:dyDescent="0.25">
      <c r="A3128" s="62" t="s">
        <v>4398</v>
      </c>
      <c r="B3128" s="96">
        <v>431118</v>
      </c>
      <c r="C3128" s="96" t="str">
        <f t="shared" si="305"/>
        <v>CPOS431118</v>
      </c>
      <c r="D3128" s="95" t="s">
        <v>3175</v>
      </c>
      <c r="E3128" s="63" t="s">
        <v>58</v>
      </c>
      <c r="F3128" s="64">
        <v>16269.210000000001</v>
      </c>
    </row>
    <row r="3129" spans="1:6" ht="30" x14ac:dyDescent="0.25">
      <c r="A3129" s="62" t="s">
        <v>4398</v>
      </c>
      <c r="B3129" s="96">
        <v>431119</v>
      </c>
      <c r="C3129" s="96" t="str">
        <f t="shared" si="305"/>
        <v>CPOS431119</v>
      </c>
      <c r="D3129" s="95" t="s">
        <v>3176</v>
      </c>
      <c r="E3129" s="63" t="s">
        <v>58</v>
      </c>
      <c r="F3129" s="64">
        <v>13509.23</v>
      </c>
    </row>
    <row r="3130" spans="1:6" ht="30" x14ac:dyDescent="0.25">
      <c r="A3130" s="62" t="s">
        <v>4398</v>
      </c>
      <c r="B3130" s="96">
        <v>431120</v>
      </c>
      <c r="C3130" s="96" t="str">
        <f t="shared" si="305"/>
        <v>CPOS431120</v>
      </c>
      <c r="D3130" s="95" t="s">
        <v>3177</v>
      </c>
      <c r="E3130" s="63" t="s">
        <v>58</v>
      </c>
      <c r="F3130" s="64">
        <v>12266.1</v>
      </c>
    </row>
    <row r="3131" spans="1:6" ht="30" x14ac:dyDescent="0.25">
      <c r="A3131" s="62" t="s">
        <v>4398</v>
      </c>
      <c r="B3131" s="96">
        <v>431131</v>
      </c>
      <c r="C3131" s="96" t="str">
        <f t="shared" si="305"/>
        <v>CPOS431131</v>
      </c>
      <c r="D3131" s="95" t="s">
        <v>3178</v>
      </c>
      <c r="E3131" s="63" t="s">
        <v>58</v>
      </c>
      <c r="F3131" s="64">
        <v>18530.16</v>
      </c>
    </row>
    <row r="3132" spans="1:6" ht="30" x14ac:dyDescent="0.25">
      <c r="A3132" s="62" t="s">
        <v>4398</v>
      </c>
      <c r="B3132" s="96">
        <v>431132</v>
      </c>
      <c r="C3132" s="96" t="str">
        <f t="shared" si="305"/>
        <v>CPOS431132</v>
      </c>
      <c r="D3132" s="95" t="s">
        <v>3179</v>
      </c>
      <c r="E3132" s="63" t="s">
        <v>58</v>
      </c>
      <c r="F3132" s="64">
        <v>3229.78</v>
      </c>
    </row>
    <row r="3133" spans="1:6" ht="30" x14ac:dyDescent="0.25">
      <c r="A3133" s="62" t="s">
        <v>4398</v>
      </c>
      <c r="B3133" s="96">
        <v>431133</v>
      </c>
      <c r="C3133" s="96" t="str">
        <f t="shared" si="305"/>
        <v>CPOS431133</v>
      </c>
      <c r="D3133" s="95" t="s">
        <v>3180</v>
      </c>
      <c r="E3133" s="63" t="s">
        <v>58</v>
      </c>
      <c r="F3133" s="64">
        <v>4690.55</v>
      </c>
    </row>
    <row r="3134" spans="1:6" ht="30" x14ac:dyDescent="0.25">
      <c r="A3134" s="62" t="s">
        <v>4398</v>
      </c>
      <c r="B3134" s="96">
        <v>431135</v>
      </c>
      <c r="C3134" s="96" t="str">
        <f t="shared" si="305"/>
        <v>CPOS431135</v>
      </c>
      <c r="D3134" s="95" t="s">
        <v>3181</v>
      </c>
      <c r="E3134" s="63" t="s">
        <v>58</v>
      </c>
      <c r="F3134" s="64">
        <v>28460.16</v>
      </c>
    </row>
    <row r="3135" spans="1:6" ht="30" x14ac:dyDescent="0.25">
      <c r="A3135" s="62" t="s">
        <v>4398</v>
      </c>
      <c r="B3135" s="96">
        <v>431136</v>
      </c>
      <c r="C3135" s="96" t="str">
        <f t="shared" si="305"/>
        <v>CPOS431136</v>
      </c>
      <c r="D3135" s="95" t="s">
        <v>3182</v>
      </c>
      <c r="E3135" s="63" t="s">
        <v>58</v>
      </c>
      <c r="F3135" s="64">
        <v>1565.23</v>
      </c>
    </row>
    <row r="3136" spans="1:6" ht="30" x14ac:dyDescent="0.25">
      <c r="A3136" s="62" t="s">
        <v>4398</v>
      </c>
      <c r="B3136" s="96">
        <v>431137</v>
      </c>
      <c r="C3136" s="96" t="str">
        <f t="shared" si="305"/>
        <v>CPOS431137</v>
      </c>
      <c r="D3136" s="95" t="s">
        <v>3183</v>
      </c>
      <c r="E3136" s="63" t="s">
        <v>58</v>
      </c>
      <c r="F3136" s="64">
        <v>1834.8</v>
      </c>
    </row>
    <row r="3137" spans="1:6" ht="30" x14ac:dyDescent="0.25">
      <c r="A3137" s="62" t="s">
        <v>4398</v>
      </c>
      <c r="B3137" s="96">
        <v>431138</v>
      </c>
      <c r="C3137" s="96" t="str">
        <f t="shared" si="305"/>
        <v>CPOS431138</v>
      </c>
      <c r="D3137" s="95" t="s">
        <v>3184</v>
      </c>
      <c r="E3137" s="63" t="s">
        <v>58</v>
      </c>
      <c r="F3137" s="64">
        <v>4552.1400000000003</v>
      </c>
    </row>
    <row r="3138" spans="1:6" ht="30" x14ac:dyDescent="0.25">
      <c r="A3138" s="62" t="s">
        <v>4398</v>
      </c>
      <c r="B3138" s="96">
        <v>431139</v>
      </c>
      <c r="C3138" s="96" t="str">
        <f t="shared" si="305"/>
        <v>CPOS431139</v>
      </c>
      <c r="D3138" s="95" t="s">
        <v>3185</v>
      </c>
      <c r="E3138" s="63" t="s">
        <v>58</v>
      </c>
      <c r="F3138" s="64">
        <v>2210.1799999999998</v>
      </c>
    </row>
    <row r="3139" spans="1:6" ht="30" x14ac:dyDescent="0.25">
      <c r="A3139" s="62" t="s">
        <v>4398</v>
      </c>
      <c r="B3139" s="96">
        <v>431140</v>
      </c>
      <c r="C3139" s="96" t="str">
        <f t="shared" si="305"/>
        <v>CPOS431140</v>
      </c>
      <c r="D3139" s="95" t="s">
        <v>3186</v>
      </c>
      <c r="E3139" s="63" t="s">
        <v>58</v>
      </c>
      <c r="F3139" s="64">
        <v>8392.94</v>
      </c>
    </row>
    <row r="3140" spans="1:6" ht="30" x14ac:dyDescent="0.25">
      <c r="A3140" s="62" t="s">
        <v>4398</v>
      </c>
      <c r="B3140" s="96">
        <v>431141</v>
      </c>
      <c r="C3140" s="96" t="str">
        <f t="shared" si="305"/>
        <v>CPOS431141</v>
      </c>
      <c r="D3140" s="95" t="s">
        <v>3187</v>
      </c>
      <c r="E3140" s="63" t="s">
        <v>58</v>
      </c>
      <c r="F3140" s="64">
        <v>13275.91</v>
      </c>
    </row>
    <row r="3141" spans="1:6" ht="30" x14ac:dyDescent="0.25">
      <c r="A3141" s="62" t="s">
        <v>4398</v>
      </c>
      <c r="B3141" s="96">
        <v>431142</v>
      </c>
      <c r="C3141" s="96" t="str">
        <f t="shared" si="305"/>
        <v>CPOS431142</v>
      </c>
      <c r="D3141" s="95" t="s">
        <v>3188</v>
      </c>
      <c r="E3141" s="63" t="s">
        <v>58</v>
      </c>
      <c r="F3141" s="64">
        <v>4667.12</v>
      </c>
    </row>
    <row r="3142" spans="1:6" ht="30" x14ac:dyDescent="0.25">
      <c r="A3142" s="62" t="s">
        <v>4398</v>
      </c>
      <c r="B3142" s="96">
        <v>431146</v>
      </c>
      <c r="C3142" s="96" t="str">
        <f t="shared" si="305"/>
        <v>CPOS431146</v>
      </c>
      <c r="D3142" s="95" t="s">
        <v>3189</v>
      </c>
      <c r="E3142" s="63" t="s">
        <v>58</v>
      </c>
      <c r="F3142" s="64">
        <v>13207.95</v>
      </c>
    </row>
    <row r="3143" spans="1:6" x14ac:dyDescent="0.25">
      <c r="D3143" s="94" t="s">
        <v>693</v>
      </c>
    </row>
    <row r="3144" spans="1:6" ht="30" x14ac:dyDescent="0.25">
      <c r="A3144" s="62" t="s">
        <v>4398</v>
      </c>
      <c r="B3144" s="96">
        <v>432013</v>
      </c>
      <c r="C3144" s="96" t="str">
        <f t="shared" ref="C3144:C3147" si="306">A3144&amp;B3144</f>
        <v>CPOS432013</v>
      </c>
      <c r="D3144" s="95" t="s">
        <v>3190</v>
      </c>
      <c r="E3144" s="63" t="s">
        <v>58</v>
      </c>
      <c r="F3144" s="64">
        <v>36.200000000000003</v>
      </c>
    </row>
    <row r="3145" spans="1:6" x14ac:dyDescent="0.25">
      <c r="A3145" s="62" t="s">
        <v>4398</v>
      </c>
      <c r="B3145" s="96">
        <v>432014</v>
      </c>
      <c r="C3145" s="96" t="str">
        <f t="shared" si="306"/>
        <v>CPOS432014</v>
      </c>
      <c r="D3145" s="95" t="s">
        <v>3191</v>
      </c>
      <c r="E3145" s="63" t="s">
        <v>58</v>
      </c>
      <c r="F3145" s="64">
        <v>536.4</v>
      </c>
    </row>
    <row r="3146" spans="1:6" x14ac:dyDescent="0.25">
      <c r="A3146" s="62" t="s">
        <v>4398</v>
      </c>
      <c r="B3146" s="96">
        <v>432020</v>
      </c>
      <c r="C3146" s="96" t="str">
        <f t="shared" si="306"/>
        <v>CPOS432020</v>
      </c>
      <c r="D3146" s="95" t="s">
        <v>3192</v>
      </c>
      <c r="E3146" s="63" t="s">
        <v>58</v>
      </c>
      <c r="F3146" s="64">
        <v>163.66999999999999</v>
      </c>
    </row>
    <row r="3147" spans="1:6" x14ac:dyDescent="0.25">
      <c r="A3147" s="62" t="s">
        <v>4398</v>
      </c>
      <c r="B3147" s="96">
        <v>432021</v>
      </c>
      <c r="C3147" s="96" t="str">
        <f t="shared" si="306"/>
        <v>CPOS432021</v>
      </c>
      <c r="D3147" s="95" t="s">
        <v>3193</v>
      </c>
      <c r="E3147" s="63" t="s">
        <v>58</v>
      </c>
      <c r="F3147" s="64">
        <v>403.49</v>
      </c>
    </row>
    <row r="3148" spans="1:6" x14ac:dyDescent="0.25">
      <c r="D3148" s="94" t="s">
        <v>3194</v>
      </c>
    </row>
    <row r="3149" spans="1:6" x14ac:dyDescent="0.25">
      <c r="D3149" s="94" t="s">
        <v>3195</v>
      </c>
    </row>
    <row r="3150" spans="1:6" x14ac:dyDescent="0.25">
      <c r="A3150" s="62" t="s">
        <v>4398</v>
      </c>
      <c r="B3150" s="96">
        <v>440103</v>
      </c>
      <c r="C3150" s="96" t="str">
        <f t="shared" ref="C3150:C3172" si="307">A3150&amp;B3150</f>
        <v>CPOS440103</v>
      </c>
      <c r="D3150" s="95" t="s">
        <v>3196</v>
      </c>
      <c r="E3150" s="63" t="s">
        <v>58</v>
      </c>
      <c r="F3150" s="64">
        <v>336.67</v>
      </c>
    </row>
    <row r="3151" spans="1:6" x14ac:dyDescent="0.25">
      <c r="A3151" s="62" t="s">
        <v>4398</v>
      </c>
      <c r="B3151" s="96">
        <v>440104</v>
      </c>
      <c r="C3151" s="96" t="str">
        <f t="shared" si="307"/>
        <v>CPOS440104</v>
      </c>
      <c r="D3151" s="95" t="s">
        <v>3197</v>
      </c>
      <c r="E3151" s="63" t="s">
        <v>58</v>
      </c>
      <c r="F3151" s="64">
        <v>455.92</v>
      </c>
    </row>
    <row r="3152" spans="1:6" x14ac:dyDescent="0.25">
      <c r="A3152" s="62" t="s">
        <v>4398</v>
      </c>
      <c r="B3152" s="96">
        <v>440105</v>
      </c>
      <c r="C3152" s="96" t="str">
        <f t="shared" si="307"/>
        <v>CPOS440105</v>
      </c>
      <c r="D3152" s="95" t="s">
        <v>3198</v>
      </c>
      <c r="E3152" s="63" t="s">
        <v>58</v>
      </c>
      <c r="F3152" s="64">
        <v>177.65</v>
      </c>
    </row>
    <row r="3153" spans="1:6" x14ac:dyDescent="0.25">
      <c r="A3153" s="62" t="s">
        <v>4398</v>
      </c>
      <c r="B3153" s="96">
        <v>440107</v>
      </c>
      <c r="C3153" s="96" t="str">
        <f t="shared" si="307"/>
        <v>CPOS440107</v>
      </c>
      <c r="D3153" s="95" t="s">
        <v>3199</v>
      </c>
      <c r="E3153" s="63" t="s">
        <v>58</v>
      </c>
      <c r="F3153" s="64">
        <v>281.11</v>
      </c>
    </row>
    <row r="3154" spans="1:6" x14ac:dyDescent="0.25">
      <c r="A3154" s="62" t="s">
        <v>4398</v>
      </c>
      <c r="B3154" s="96">
        <v>440110</v>
      </c>
      <c r="C3154" s="96" t="str">
        <f t="shared" si="307"/>
        <v>CPOS440110</v>
      </c>
      <c r="D3154" s="95" t="s">
        <v>3200</v>
      </c>
      <c r="E3154" s="63" t="s">
        <v>58</v>
      </c>
      <c r="F3154" s="64">
        <v>92.64</v>
      </c>
    </row>
    <row r="3155" spans="1:6" x14ac:dyDescent="0.25">
      <c r="A3155" s="62" t="s">
        <v>4398</v>
      </c>
      <c r="B3155" s="96">
        <v>440111</v>
      </c>
      <c r="C3155" s="96" t="str">
        <f t="shared" si="307"/>
        <v>CPOS440111</v>
      </c>
      <c r="D3155" s="95" t="s">
        <v>3201</v>
      </c>
      <c r="E3155" s="63" t="s">
        <v>58</v>
      </c>
      <c r="F3155" s="64">
        <v>182.52</v>
      </c>
    </row>
    <row r="3156" spans="1:6" x14ac:dyDescent="0.25">
      <c r="A3156" s="62" t="s">
        <v>4398</v>
      </c>
      <c r="B3156" s="96">
        <v>440116</v>
      </c>
      <c r="C3156" s="96" t="str">
        <f t="shared" si="307"/>
        <v>CPOS440116</v>
      </c>
      <c r="D3156" s="95" t="s">
        <v>3202</v>
      </c>
      <c r="E3156" s="63" t="s">
        <v>58</v>
      </c>
      <c r="F3156" s="64">
        <v>425.38</v>
      </c>
    </row>
    <row r="3157" spans="1:6" x14ac:dyDescent="0.25">
      <c r="A3157" s="62" t="s">
        <v>4398</v>
      </c>
      <c r="B3157" s="96">
        <v>440117</v>
      </c>
      <c r="C3157" s="96" t="str">
        <f t="shared" si="307"/>
        <v>CPOS440117</v>
      </c>
      <c r="D3157" s="95" t="s">
        <v>3203</v>
      </c>
      <c r="E3157" s="63" t="s">
        <v>58</v>
      </c>
      <c r="F3157" s="64">
        <v>34.14</v>
      </c>
    </row>
    <row r="3158" spans="1:6" x14ac:dyDescent="0.25">
      <c r="A3158" s="62" t="s">
        <v>4398</v>
      </c>
      <c r="B3158" s="96">
        <v>440120</v>
      </c>
      <c r="C3158" s="96" t="str">
        <f t="shared" si="307"/>
        <v>CPOS440120</v>
      </c>
      <c r="D3158" s="95" t="s">
        <v>3204</v>
      </c>
      <c r="E3158" s="63" t="s">
        <v>58</v>
      </c>
      <c r="F3158" s="64">
        <v>346.12</v>
      </c>
    </row>
    <row r="3159" spans="1:6" x14ac:dyDescent="0.25">
      <c r="A3159" s="62" t="s">
        <v>4398</v>
      </c>
      <c r="B3159" s="96">
        <v>440124</v>
      </c>
      <c r="C3159" s="96" t="str">
        <f t="shared" si="307"/>
        <v>CPOS440124</v>
      </c>
      <c r="D3159" s="95" t="s">
        <v>3205</v>
      </c>
      <c r="E3159" s="63" t="s">
        <v>58</v>
      </c>
      <c r="F3159" s="64">
        <v>307.63</v>
      </c>
    </row>
    <row r="3160" spans="1:6" x14ac:dyDescent="0.25">
      <c r="A3160" s="62" t="s">
        <v>4398</v>
      </c>
      <c r="B3160" s="96">
        <v>440127</v>
      </c>
      <c r="C3160" s="96" t="str">
        <f t="shared" si="307"/>
        <v>CPOS440127</v>
      </c>
      <c r="D3160" s="95" t="s">
        <v>3206</v>
      </c>
      <c r="E3160" s="63" t="s">
        <v>58</v>
      </c>
      <c r="F3160" s="64">
        <v>91.570000000000007</v>
      </c>
    </row>
    <row r="3161" spans="1:6" x14ac:dyDescent="0.25">
      <c r="A3161" s="62" t="s">
        <v>4398</v>
      </c>
      <c r="B3161" s="96">
        <v>440131</v>
      </c>
      <c r="C3161" s="96" t="str">
        <f t="shared" si="307"/>
        <v>CPOS440131</v>
      </c>
      <c r="D3161" s="95" t="s">
        <v>3207</v>
      </c>
      <c r="E3161" s="63" t="s">
        <v>58</v>
      </c>
      <c r="F3161" s="64">
        <v>468.8</v>
      </c>
    </row>
    <row r="3162" spans="1:6" x14ac:dyDescent="0.25">
      <c r="A3162" s="62" t="s">
        <v>4398</v>
      </c>
      <c r="B3162" s="96">
        <v>440134</v>
      </c>
      <c r="C3162" s="96" t="str">
        <f t="shared" si="307"/>
        <v>CPOS440134</v>
      </c>
      <c r="D3162" s="95" t="s">
        <v>3208</v>
      </c>
      <c r="E3162" s="63" t="s">
        <v>58</v>
      </c>
      <c r="F3162" s="64">
        <v>76.209999999999994</v>
      </c>
    </row>
    <row r="3163" spans="1:6" x14ac:dyDescent="0.25">
      <c r="A3163" s="62" t="s">
        <v>4398</v>
      </c>
      <c r="B3163" s="96">
        <v>440136</v>
      </c>
      <c r="C3163" s="96" t="str">
        <f t="shared" si="307"/>
        <v>CPOS440136</v>
      </c>
      <c r="D3163" s="95" t="s">
        <v>3209</v>
      </c>
      <c r="E3163" s="63" t="s">
        <v>58</v>
      </c>
      <c r="F3163" s="64">
        <v>399.1</v>
      </c>
    </row>
    <row r="3164" spans="1:6" x14ac:dyDescent="0.25">
      <c r="A3164" s="62" t="s">
        <v>4398</v>
      </c>
      <c r="B3164" s="96">
        <v>440137</v>
      </c>
      <c r="C3164" s="96" t="str">
        <f t="shared" si="307"/>
        <v>CPOS440137</v>
      </c>
      <c r="D3164" s="95" t="s">
        <v>3210</v>
      </c>
      <c r="E3164" s="63" t="s">
        <v>58</v>
      </c>
      <c r="F3164" s="64">
        <v>153.55000000000001</v>
      </c>
    </row>
    <row r="3165" spans="1:6" x14ac:dyDescent="0.25">
      <c r="A3165" s="62" t="s">
        <v>4398</v>
      </c>
      <c r="B3165" s="96">
        <v>440160</v>
      </c>
      <c r="C3165" s="96" t="str">
        <f t="shared" si="307"/>
        <v>CPOS440160</v>
      </c>
      <c r="D3165" s="95" t="s">
        <v>3211</v>
      </c>
      <c r="E3165" s="63" t="s">
        <v>81</v>
      </c>
      <c r="F3165" s="64">
        <v>220.48000000000002</v>
      </c>
    </row>
    <row r="3166" spans="1:6" x14ac:dyDescent="0.25">
      <c r="A3166" s="62" t="s">
        <v>4398</v>
      </c>
      <c r="B3166" s="96">
        <v>440161</v>
      </c>
      <c r="C3166" s="96" t="str">
        <f t="shared" si="307"/>
        <v>CPOS440161</v>
      </c>
      <c r="D3166" s="95" t="s">
        <v>3212</v>
      </c>
      <c r="E3166" s="63" t="s">
        <v>58</v>
      </c>
      <c r="F3166" s="64">
        <v>112.86</v>
      </c>
    </row>
    <row r="3167" spans="1:6" x14ac:dyDescent="0.25">
      <c r="A3167" s="62" t="s">
        <v>4398</v>
      </c>
      <c r="B3167" s="96">
        <v>440167</v>
      </c>
      <c r="C3167" s="96" t="str">
        <f t="shared" si="307"/>
        <v>CPOS440167</v>
      </c>
      <c r="D3167" s="95" t="s">
        <v>3213</v>
      </c>
      <c r="E3167" s="63" t="s">
        <v>58</v>
      </c>
      <c r="F3167" s="64">
        <v>46.300000000000004</v>
      </c>
    </row>
    <row r="3168" spans="1:6" x14ac:dyDescent="0.25">
      <c r="A3168" s="62" t="s">
        <v>4398</v>
      </c>
      <c r="B3168" s="96">
        <v>440168</v>
      </c>
      <c r="C3168" s="96" t="str">
        <f t="shared" si="307"/>
        <v>CPOS440168</v>
      </c>
      <c r="D3168" s="95" t="s">
        <v>3214</v>
      </c>
      <c r="E3168" s="63" t="s">
        <v>58</v>
      </c>
      <c r="F3168" s="64">
        <v>49.32</v>
      </c>
    </row>
    <row r="3169" spans="1:6" x14ac:dyDescent="0.25">
      <c r="A3169" s="62" t="s">
        <v>4398</v>
      </c>
      <c r="B3169" s="96">
        <v>440169</v>
      </c>
      <c r="C3169" s="96" t="str">
        <f t="shared" si="307"/>
        <v>CPOS440169</v>
      </c>
      <c r="D3169" s="95" t="s">
        <v>3215</v>
      </c>
      <c r="E3169" s="63" t="s">
        <v>58</v>
      </c>
      <c r="F3169" s="64">
        <v>392.29</v>
      </c>
    </row>
    <row r="3170" spans="1:6" x14ac:dyDescent="0.25">
      <c r="A3170" s="62" t="s">
        <v>4398</v>
      </c>
      <c r="B3170" s="96">
        <v>440170</v>
      </c>
      <c r="C3170" s="96" t="str">
        <f t="shared" si="307"/>
        <v>CPOS440170</v>
      </c>
      <c r="D3170" s="95" t="s">
        <v>3216</v>
      </c>
      <c r="E3170" s="63" t="s">
        <v>58</v>
      </c>
      <c r="F3170" s="64">
        <v>1621.73</v>
      </c>
    </row>
    <row r="3171" spans="1:6" x14ac:dyDescent="0.25">
      <c r="A3171" s="62" t="s">
        <v>4398</v>
      </c>
      <c r="B3171" s="96">
        <v>440180</v>
      </c>
      <c r="C3171" s="96" t="str">
        <f t="shared" si="307"/>
        <v>CPOS440180</v>
      </c>
      <c r="D3171" s="95" t="s">
        <v>3217</v>
      </c>
      <c r="E3171" s="63" t="s">
        <v>117</v>
      </c>
      <c r="F3171" s="64">
        <v>417.68</v>
      </c>
    </row>
    <row r="3172" spans="1:6" x14ac:dyDescent="0.25">
      <c r="A3172" s="62" t="s">
        <v>4398</v>
      </c>
      <c r="B3172" s="96">
        <v>440185</v>
      </c>
      <c r="C3172" s="96" t="str">
        <f t="shared" si="307"/>
        <v>CPOS440185</v>
      </c>
      <c r="D3172" s="95" t="s">
        <v>3218</v>
      </c>
      <c r="E3172" s="63" t="s">
        <v>58</v>
      </c>
      <c r="F3172" s="64">
        <v>83.59</v>
      </c>
    </row>
    <row r="3173" spans="1:6" x14ac:dyDescent="0.25">
      <c r="D3173" s="94" t="s">
        <v>3219</v>
      </c>
    </row>
    <row r="3174" spans="1:6" x14ac:dyDescent="0.25">
      <c r="A3174" s="62" t="s">
        <v>4398</v>
      </c>
      <c r="B3174" s="96">
        <v>440206</v>
      </c>
      <c r="C3174" s="96" t="str">
        <f t="shared" ref="C3174:C3177" si="308">A3174&amp;B3174</f>
        <v>CPOS440206</v>
      </c>
      <c r="D3174" s="95" t="s">
        <v>3220</v>
      </c>
      <c r="E3174" s="63" t="s">
        <v>81</v>
      </c>
      <c r="F3174" s="64">
        <v>862.12</v>
      </c>
    </row>
    <row r="3175" spans="1:6" x14ac:dyDescent="0.25">
      <c r="A3175" s="62" t="s">
        <v>4398</v>
      </c>
      <c r="B3175" s="96">
        <v>440210</v>
      </c>
      <c r="C3175" s="96" t="str">
        <f t="shared" si="308"/>
        <v>CPOS440210</v>
      </c>
      <c r="D3175" s="95" t="s">
        <v>3221</v>
      </c>
      <c r="E3175" s="63" t="s">
        <v>81</v>
      </c>
      <c r="F3175" s="64">
        <v>910.91</v>
      </c>
    </row>
    <row r="3176" spans="1:6" x14ac:dyDescent="0.25">
      <c r="A3176" s="62" t="s">
        <v>4398</v>
      </c>
      <c r="B3176" s="96">
        <v>440220</v>
      </c>
      <c r="C3176" s="96" t="str">
        <f t="shared" si="308"/>
        <v>CPOS440220</v>
      </c>
      <c r="D3176" s="95" t="s">
        <v>3222</v>
      </c>
      <c r="E3176" s="63" t="s">
        <v>81</v>
      </c>
      <c r="F3176" s="64">
        <v>766.68000000000006</v>
      </c>
    </row>
    <row r="3177" spans="1:6" x14ac:dyDescent="0.25">
      <c r="A3177" s="62" t="s">
        <v>4398</v>
      </c>
      <c r="B3177" s="96">
        <v>440221</v>
      </c>
      <c r="C3177" s="96" t="str">
        <f t="shared" si="308"/>
        <v>CPOS440221</v>
      </c>
      <c r="D3177" s="95" t="s">
        <v>3223</v>
      </c>
      <c r="E3177" s="63" t="s">
        <v>81</v>
      </c>
      <c r="F3177" s="64">
        <v>463.05</v>
      </c>
    </row>
    <row r="3178" spans="1:6" x14ac:dyDescent="0.25">
      <c r="D3178" s="94" t="s">
        <v>3224</v>
      </c>
    </row>
    <row r="3179" spans="1:6" ht="30" x14ac:dyDescent="0.25">
      <c r="A3179" s="62" t="s">
        <v>4398</v>
      </c>
      <c r="B3179" s="96">
        <v>440301</v>
      </c>
      <c r="C3179" s="96" t="str">
        <f t="shared" ref="C3179:C3221" si="309">A3179&amp;B3179</f>
        <v>CPOS440301</v>
      </c>
      <c r="D3179" s="95" t="s">
        <v>3225</v>
      </c>
      <c r="E3179" s="63" t="s">
        <v>58</v>
      </c>
      <c r="F3179" s="64">
        <v>192.99</v>
      </c>
    </row>
    <row r="3180" spans="1:6" x14ac:dyDescent="0.25">
      <c r="A3180" s="62" t="s">
        <v>4398</v>
      </c>
      <c r="B3180" s="96">
        <v>440302</v>
      </c>
      <c r="C3180" s="96" t="str">
        <f t="shared" si="309"/>
        <v>CPOS440302</v>
      </c>
      <c r="D3180" s="95" t="s">
        <v>3226</v>
      </c>
      <c r="E3180" s="63" t="s">
        <v>58</v>
      </c>
      <c r="F3180" s="64">
        <v>30.64</v>
      </c>
    </row>
    <row r="3181" spans="1:6" x14ac:dyDescent="0.25">
      <c r="A3181" s="62" t="s">
        <v>4398</v>
      </c>
      <c r="B3181" s="96">
        <v>440303</v>
      </c>
      <c r="C3181" s="96" t="str">
        <f t="shared" si="309"/>
        <v>CPOS440303</v>
      </c>
      <c r="D3181" s="95" t="s">
        <v>3227</v>
      </c>
      <c r="E3181" s="63" t="s">
        <v>58</v>
      </c>
      <c r="F3181" s="64">
        <v>42.51</v>
      </c>
    </row>
    <row r="3182" spans="1:6" x14ac:dyDescent="0.25">
      <c r="A3182" s="62" t="s">
        <v>4398</v>
      </c>
      <c r="B3182" s="96">
        <v>440304</v>
      </c>
      <c r="C3182" s="96" t="str">
        <f t="shared" si="309"/>
        <v>CPOS440304</v>
      </c>
      <c r="D3182" s="95" t="s">
        <v>3228</v>
      </c>
      <c r="E3182" s="63" t="s">
        <v>58</v>
      </c>
      <c r="F3182" s="64">
        <v>34.75</v>
      </c>
    </row>
    <row r="3183" spans="1:6" x14ac:dyDescent="0.25">
      <c r="A3183" s="62" t="s">
        <v>4398</v>
      </c>
      <c r="B3183" s="96">
        <v>440305</v>
      </c>
      <c r="C3183" s="96" t="str">
        <f t="shared" si="309"/>
        <v>CPOS440305</v>
      </c>
      <c r="D3183" s="95" t="s">
        <v>3229</v>
      </c>
      <c r="E3183" s="63" t="s">
        <v>58</v>
      </c>
      <c r="F3183" s="64">
        <v>38.130000000000003</v>
      </c>
    </row>
    <row r="3184" spans="1:6" x14ac:dyDescent="0.25">
      <c r="A3184" s="62" t="s">
        <v>4398</v>
      </c>
      <c r="B3184" s="96">
        <v>440308</v>
      </c>
      <c r="C3184" s="96" t="str">
        <f t="shared" si="309"/>
        <v>CPOS440308</v>
      </c>
      <c r="D3184" s="95" t="s">
        <v>3230</v>
      </c>
      <c r="E3184" s="63" t="s">
        <v>58</v>
      </c>
      <c r="F3184" s="64">
        <v>35.700000000000003</v>
      </c>
    </row>
    <row r="3185" spans="1:6" x14ac:dyDescent="0.25">
      <c r="A3185" s="62" t="s">
        <v>4398</v>
      </c>
      <c r="B3185" s="96">
        <v>440309</v>
      </c>
      <c r="C3185" s="96" t="str">
        <f t="shared" si="309"/>
        <v>CPOS440309</v>
      </c>
      <c r="D3185" s="95" t="s">
        <v>3231</v>
      </c>
      <c r="E3185" s="63" t="s">
        <v>58</v>
      </c>
      <c r="F3185" s="64">
        <v>25.6</v>
      </c>
    </row>
    <row r="3186" spans="1:6" x14ac:dyDescent="0.25">
      <c r="A3186" s="62" t="s">
        <v>4398</v>
      </c>
      <c r="B3186" s="96">
        <v>440310</v>
      </c>
      <c r="C3186" s="96" t="str">
        <f t="shared" si="309"/>
        <v>CPOS440310</v>
      </c>
      <c r="D3186" s="95" t="s">
        <v>3232</v>
      </c>
      <c r="E3186" s="63" t="s">
        <v>58</v>
      </c>
      <c r="F3186" s="64">
        <v>15.99</v>
      </c>
    </row>
    <row r="3187" spans="1:6" x14ac:dyDescent="0.25">
      <c r="A3187" s="62" t="s">
        <v>4398</v>
      </c>
      <c r="B3187" s="96">
        <v>440312</v>
      </c>
      <c r="C3187" s="96" t="str">
        <f t="shared" si="309"/>
        <v>CPOS440312</v>
      </c>
      <c r="D3187" s="95" t="s">
        <v>3233</v>
      </c>
      <c r="E3187" s="63" t="s">
        <v>58</v>
      </c>
      <c r="F3187" s="64">
        <v>32.409999999999997</v>
      </c>
    </row>
    <row r="3188" spans="1:6" x14ac:dyDescent="0.25">
      <c r="A3188" s="62" t="s">
        <v>4398</v>
      </c>
      <c r="B3188" s="96">
        <v>440313</v>
      </c>
      <c r="C3188" s="96" t="str">
        <f t="shared" si="309"/>
        <v>CPOS440313</v>
      </c>
      <c r="D3188" s="95" t="s">
        <v>3234</v>
      </c>
      <c r="E3188" s="63" t="s">
        <v>58</v>
      </c>
      <c r="F3188" s="64">
        <v>24.03</v>
      </c>
    </row>
    <row r="3189" spans="1:6" x14ac:dyDescent="0.25">
      <c r="A3189" s="62" t="s">
        <v>4398</v>
      </c>
      <c r="B3189" s="96">
        <v>440318</v>
      </c>
      <c r="C3189" s="96" t="str">
        <f t="shared" si="309"/>
        <v>CPOS440318</v>
      </c>
      <c r="D3189" s="95" t="s">
        <v>3235</v>
      </c>
      <c r="E3189" s="63" t="s">
        <v>58</v>
      </c>
      <c r="F3189" s="64">
        <v>34.44</v>
      </c>
    </row>
    <row r="3190" spans="1:6" x14ac:dyDescent="0.25">
      <c r="A3190" s="62" t="s">
        <v>4398</v>
      </c>
      <c r="B3190" s="96">
        <v>440321</v>
      </c>
      <c r="C3190" s="96" t="str">
        <f t="shared" si="309"/>
        <v>CPOS440321</v>
      </c>
      <c r="D3190" s="95" t="s">
        <v>3236</v>
      </c>
      <c r="E3190" s="63" t="s">
        <v>58</v>
      </c>
      <c r="F3190" s="64">
        <v>74.040000000000006</v>
      </c>
    </row>
    <row r="3191" spans="1:6" x14ac:dyDescent="0.25">
      <c r="A3191" s="62" t="s">
        <v>4398</v>
      </c>
      <c r="B3191" s="96">
        <v>440326</v>
      </c>
      <c r="C3191" s="96" t="str">
        <f t="shared" si="309"/>
        <v>CPOS440326</v>
      </c>
      <c r="D3191" s="95" t="s">
        <v>3237</v>
      </c>
      <c r="E3191" s="63" t="s">
        <v>58</v>
      </c>
      <c r="F3191" s="64">
        <v>82.34</v>
      </c>
    </row>
    <row r="3192" spans="1:6" x14ac:dyDescent="0.25">
      <c r="A3192" s="62" t="s">
        <v>4398</v>
      </c>
      <c r="B3192" s="96">
        <v>440330</v>
      </c>
      <c r="C3192" s="96" t="str">
        <f t="shared" si="309"/>
        <v>CPOS440330</v>
      </c>
      <c r="D3192" s="95" t="s">
        <v>3238</v>
      </c>
      <c r="E3192" s="63" t="s">
        <v>58</v>
      </c>
      <c r="F3192" s="64">
        <v>196.17000000000002</v>
      </c>
    </row>
    <row r="3193" spans="1:6" ht="30" x14ac:dyDescent="0.25">
      <c r="A3193" s="62" t="s">
        <v>4398</v>
      </c>
      <c r="B3193" s="96">
        <v>440331</v>
      </c>
      <c r="C3193" s="96" t="str">
        <f t="shared" si="309"/>
        <v>CPOS440331</v>
      </c>
      <c r="D3193" s="95" t="s">
        <v>3239</v>
      </c>
      <c r="E3193" s="63" t="s">
        <v>58</v>
      </c>
      <c r="F3193" s="64">
        <v>510.56</v>
      </c>
    </row>
    <row r="3194" spans="1:6" x14ac:dyDescent="0.25">
      <c r="A3194" s="62" t="s">
        <v>4398</v>
      </c>
      <c r="B3194" s="96">
        <v>440336</v>
      </c>
      <c r="C3194" s="96" t="str">
        <f t="shared" si="309"/>
        <v>CPOS440336</v>
      </c>
      <c r="D3194" s="95" t="s">
        <v>3240</v>
      </c>
      <c r="E3194" s="63" t="s">
        <v>58</v>
      </c>
      <c r="F3194" s="64">
        <v>260.51</v>
      </c>
    </row>
    <row r="3195" spans="1:6" ht="30" x14ac:dyDescent="0.25">
      <c r="A3195" s="62" t="s">
        <v>4398</v>
      </c>
      <c r="B3195" s="96">
        <v>440337</v>
      </c>
      <c r="C3195" s="96" t="str">
        <f t="shared" si="309"/>
        <v>CPOS440337</v>
      </c>
      <c r="D3195" s="95" t="s">
        <v>3241</v>
      </c>
      <c r="E3195" s="63" t="s">
        <v>58</v>
      </c>
      <c r="F3195" s="64">
        <v>26.21</v>
      </c>
    </row>
    <row r="3196" spans="1:6" ht="30" x14ac:dyDescent="0.25">
      <c r="A3196" s="62" t="s">
        <v>4398</v>
      </c>
      <c r="B3196" s="96">
        <v>440338</v>
      </c>
      <c r="C3196" s="96" t="str">
        <f t="shared" si="309"/>
        <v>CPOS440338</v>
      </c>
      <c r="D3196" s="95" t="s">
        <v>3242</v>
      </c>
      <c r="E3196" s="63" t="s">
        <v>58</v>
      </c>
      <c r="F3196" s="64">
        <v>26.14</v>
      </c>
    </row>
    <row r="3197" spans="1:6" x14ac:dyDescent="0.25">
      <c r="A3197" s="62" t="s">
        <v>4398</v>
      </c>
      <c r="B3197" s="96">
        <v>440339</v>
      </c>
      <c r="C3197" s="96" t="str">
        <f t="shared" si="309"/>
        <v>CPOS440339</v>
      </c>
      <c r="D3197" s="95" t="s">
        <v>3243</v>
      </c>
      <c r="E3197" s="63" t="s">
        <v>58</v>
      </c>
      <c r="F3197" s="64">
        <v>30.87</v>
      </c>
    </row>
    <row r="3198" spans="1:6" x14ac:dyDescent="0.25">
      <c r="A3198" s="62" t="s">
        <v>4398</v>
      </c>
      <c r="B3198" s="96">
        <v>440340</v>
      </c>
      <c r="C3198" s="96" t="str">
        <f t="shared" si="309"/>
        <v>CPOS440340</v>
      </c>
      <c r="D3198" s="95" t="s">
        <v>3244</v>
      </c>
      <c r="E3198" s="63" t="s">
        <v>58</v>
      </c>
      <c r="F3198" s="64">
        <v>30.29</v>
      </c>
    </row>
    <row r="3199" spans="1:6" ht="30" x14ac:dyDescent="0.25">
      <c r="A3199" s="62" t="s">
        <v>4398</v>
      </c>
      <c r="B3199" s="96">
        <v>440341</v>
      </c>
      <c r="C3199" s="96" t="str">
        <f t="shared" si="309"/>
        <v>CPOS440341</v>
      </c>
      <c r="D3199" s="95" t="s">
        <v>3245</v>
      </c>
      <c r="E3199" s="63" t="s">
        <v>58</v>
      </c>
      <c r="F3199" s="64">
        <v>25.61</v>
      </c>
    </row>
    <row r="3200" spans="1:6" ht="30" x14ac:dyDescent="0.25">
      <c r="A3200" s="62" t="s">
        <v>4398</v>
      </c>
      <c r="B3200" s="96">
        <v>440342</v>
      </c>
      <c r="C3200" s="96" t="str">
        <f t="shared" si="309"/>
        <v>CPOS440342</v>
      </c>
      <c r="D3200" s="95" t="s">
        <v>3246</v>
      </c>
      <c r="E3200" s="63" t="s">
        <v>58</v>
      </c>
      <c r="F3200" s="64">
        <v>25.61</v>
      </c>
    </row>
    <row r="3201" spans="1:6" x14ac:dyDescent="0.25">
      <c r="A3201" s="62" t="s">
        <v>4398</v>
      </c>
      <c r="B3201" s="96">
        <v>440343</v>
      </c>
      <c r="C3201" s="96" t="str">
        <f t="shared" si="309"/>
        <v>CPOS440343</v>
      </c>
      <c r="D3201" s="95" t="s">
        <v>3247</v>
      </c>
      <c r="E3201" s="63" t="s">
        <v>58</v>
      </c>
      <c r="F3201" s="64">
        <v>27.55</v>
      </c>
    </row>
    <row r="3202" spans="1:6" x14ac:dyDescent="0.25">
      <c r="A3202" s="62" t="s">
        <v>4398</v>
      </c>
      <c r="B3202" s="96">
        <v>440344</v>
      </c>
      <c r="C3202" s="96" t="str">
        <f t="shared" si="309"/>
        <v>CPOS440344</v>
      </c>
      <c r="D3202" s="95" t="s">
        <v>3248</v>
      </c>
      <c r="E3202" s="63" t="s">
        <v>58</v>
      </c>
      <c r="F3202" s="64">
        <v>31.75</v>
      </c>
    </row>
    <row r="3203" spans="1:6" x14ac:dyDescent="0.25">
      <c r="A3203" s="62" t="s">
        <v>4398</v>
      </c>
      <c r="B3203" s="96">
        <v>440345</v>
      </c>
      <c r="C3203" s="96" t="str">
        <f t="shared" si="309"/>
        <v>CPOS440345</v>
      </c>
      <c r="D3203" s="95" t="s">
        <v>3249</v>
      </c>
      <c r="E3203" s="63" t="s">
        <v>58</v>
      </c>
      <c r="F3203" s="64">
        <v>36.65</v>
      </c>
    </row>
    <row r="3204" spans="1:6" x14ac:dyDescent="0.25">
      <c r="A3204" s="62" t="s">
        <v>4398</v>
      </c>
      <c r="B3204" s="96">
        <v>440346</v>
      </c>
      <c r="C3204" s="96" t="str">
        <f t="shared" si="309"/>
        <v>CPOS440346</v>
      </c>
      <c r="D3204" s="95" t="s">
        <v>3250</v>
      </c>
      <c r="E3204" s="63" t="s">
        <v>58</v>
      </c>
      <c r="F3204" s="64">
        <v>37.69</v>
      </c>
    </row>
    <row r="3205" spans="1:6" x14ac:dyDescent="0.25">
      <c r="A3205" s="62" t="s">
        <v>4398</v>
      </c>
      <c r="B3205" s="96">
        <v>440347</v>
      </c>
      <c r="C3205" s="96" t="str">
        <f t="shared" si="309"/>
        <v>CPOS440347</v>
      </c>
      <c r="D3205" s="95" t="s">
        <v>3251</v>
      </c>
      <c r="E3205" s="63" t="s">
        <v>58</v>
      </c>
      <c r="F3205" s="64">
        <v>49.32</v>
      </c>
    </row>
    <row r="3206" spans="1:6" ht="30" x14ac:dyDescent="0.25">
      <c r="A3206" s="62" t="s">
        <v>4398</v>
      </c>
      <c r="B3206" s="96">
        <v>440348</v>
      </c>
      <c r="C3206" s="96" t="str">
        <f t="shared" si="309"/>
        <v>CPOS440348</v>
      </c>
      <c r="D3206" s="95" t="s">
        <v>3252</v>
      </c>
      <c r="E3206" s="63" t="s">
        <v>58</v>
      </c>
      <c r="F3206" s="64">
        <v>178.44</v>
      </c>
    </row>
    <row r="3207" spans="1:6" x14ac:dyDescent="0.25">
      <c r="A3207" s="62" t="s">
        <v>4398</v>
      </c>
      <c r="B3207" s="96">
        <v>440350</v>
      </c>
      <c r="C3207" s="96" t="str">
        <f t="shared" si="309"/>
        <v>CPOS440350</v>
      </c>
      <c r="D3207" s="95" t="s">
        <v>3253</v>
      </c>
      <c r="E3207" s="63" t="s">
        <v>58</v>
      </c>
      <c r="F3207" s="64">
        <v>352.56</v>
      </c>
    </row>
    <row r="3208" spans="1:6" x14ac:dyDescent="0.25">
      <c r="A3208" s="62" t="s">
        <v>4398</v>
      </c>
      <c r="B3208" s="96">
        <v>440351</v>
      </c>
      <c r="C3208" s="96" t="str">
        <f t="shared" si="309"/>
        <v>CPOS440351</v>
      </c>
      <c r="D3208" s="95" t="s">
        <v>3254</v>
      </c>
      <c r="E3208" s="63" t="s">
        <v>58</v>
      </c>
      <c r="F3208" s="64">
        <v>236.03</v>
      </c>
    </row>
    <row r="3209" spans="1:6" x14ac:dyDescent="0.25">
      <c r="A3209" s="62" t="s">
        <v>4398</v>
      </c>
      <c r="B3209" s="96">
        <v>440359</v>
      </c>
      <c r="C3209" s="96" t="str">
        <f t="shared" si="309"/>
        <v>CPOS440359</v>
      </c>
      <c r="D3209" s="95" t="s">
        <v>3255</v>
      </c>
      <c r="E3209" s="63" t="s">
        <v>58</v>
      </c>
      <c r="F3209" s="64">
        <v>117.07000000000001</v>
      </c>
    </row>
    <row r="3210" spans="1:6" x14ac:dyDescent="0.25">
      <c r="A3210" s="62" t="s">
        <v>4398</v>
      </c>
      <c r="B3210" s="96">
        <v>440363</v>
      </c>
      <c r="C3210" s="96" t="str">
        <f t="shared" si="309"/>
        <v>CPOS440363</v>
      </c>
      <c r="D3210" s="95" t="s">
        <v>3256</v>
      </c>
      <c r="E3210" s="63" t="s">
        <v>58</v>
      </c>
      <c r="F3210" s="64">
        <v>46.910000000000004</v>
      </c>
    </row>
    <row r="3211" spans="1:6" ht="30" x14ac:dyDescent="0.25">
      <c r="A3211" s="62" t="s">
        <v>4398</v>
      </c>
      <c r="B3211" s="96">
        <v>440364</v>
      </c>
      <c r="C3211" s="96" t="str">
        <f t="shared" si="309"/>
        <v>CPOS440364</v>
      </c>
      <c r="D3211" s="95" t="s">
        <v>3257</v>
      </c>
      <c r="E3211" s="63" t="s">
        <v>58</v>
      </c>
      <c r="F3211" s="64">
        <v>235.91</v>
      </c>
    </row>
    <row r="3212" spans="1:6" x14ac:dyDescent="0.25">
      <c r="A3212" s="62" t="s">
        <v>4398</v>
      </c>
      <c r="B3212" s="96">
        <v>440367</v>
      </c>
      <c r="C3212" s="96" t="str">
        <f t="shared" si="309"/>
        <v>CPOS440367</v>
      </c>
      <c r="D3212" s="95" t="s">
        <v>3258</v>
      </c>
      <c r="E3212" s="63" t="s">
        <v>117</v>
      </c>
      <c r="F3212" s="64">
        <v>445.48</v>
      </c>
    </row>
    <row r="3213" spans="1:6" x14ac:dyDescent="0.25">
      <c r="A3213" s="62" t="s">
        <v>4398</v>
      </c>
      <c r="B3213" s="96">
        <v>440369</v>
      </c>
      <c r="C3213" s="96" t="str">
        <f t="shared" si="309"/>
        <v>CPOS440369</v>
      </c>
      <c r="D3213" s="95" t="s">
        <v>3259</v>
      </c>
      <c r="E3213" s="63" t="s">
        <v>58</v>
      </c>
      <c r="F3213" s="64">
        <v>11.91</v>
      </c>
    </row>
    <row r="3214" spans="1:6" x14ac:dyDescent="0.25">
      <c r="A3214" s="62" t="s">
        <v>4398</v>
      </c>
      <c r="B3214" s="96">
        <v>440370</v>
      </c>
      <c r="C3214" s="96" t="str">
        <f t="shared" si="309"/>
        <v>CPOS440370</v>
      </c>
      <c r="D3214" s="95" t="s">
        <v>3260</v>
      </c>
      <c r="E3214" s="63" t="s">
        <v>58</v>
      </c>
      <c r="F3214" s="64">
        <v>11.93</v>
      </c>
    </row>
    <row r="3215" spans="1:6" ht="30" x14ac:dyDescent="0.25">
      <c r="A3215" s="62" t="s">
        <v>4398</v>
      </c>
      <c r="B3215" s="96">
        <v>440372</v>
      </c>
      <c r="C3215" s="96" t="str">
        <f t="shared" si="309"/>
        <v>CPOS440372</v>
      </c>
      <c r="D3215" s="95" t="s">
        <v>3261</v>
      </c>
      <c r="E3215" s="63" t="s">
        <v>58</v>
      </c>
      <c r="F3215" s="64">
        <v>319.77999999999997</v>
      </c>
    </row>
    <row r="3216" spans="1:6" x14ac:dyDescent="0.25">
      <c r="A3216" s="62" t="s">
        <v>4398</v>
      </c>
      <c r="B3216" s="96">
        <v>440387</v>
      </c>
      <c r="C3216" s="96" t="str">
        <f t="shared" si="309"/>
        <v>CPOS440387</v>
      </c>
      <c r="D3216" s="95" t="s">
        <v>3262</v>
      </c>
      <c r="E3216" s="63" t="s">
        <v>58</v>
      </c>
      <c r="F3216" s="64">
        <v>73.91</v>
      </c>
    </row>
    <row r="3217" spans="1:6" x14ac:dyDescent="0.25">
      <c r="A3217" s="62" t="s">
        <v>4398</v>
      </c>
      <c r="B3217" s="96">
        <v>440390</v>
      </c>
      <c r="C3217" s="96" t="str">
        <f t="shared" si="309"/>
        <v>CPOS440390</v>
      </c>
      <c r="D3217" s="95" t="s">
        <v>3263</v>
      </c>
      <c r="E3217" s="63" t="s">
        <v>58</v>
      </c>
      <c r="F3217" s="64">
        <v>339.43</v>
      </c>
    </row>
    <row r="3218" spans="1:6" x14ac:dyDescent="0.25">
      <c r="A3218" s="62" t="s">
        <v>4398</v>
      </c>
      <c r="B3218" s="96">
        <v>440392</v>
      </c>
      <c r="C3218" s="96" t="str">
        <f t="shared" si="309"/>
        <v>CPOS440392</v>
      </c>
      <c r="D3218" s="95" t="s">
        <v>3264</v>
      </c>
      <c r="E3218" s="63" t="s">
        <v>58</v>
      </c>
      <c r="F3218" s="64">
        <v>224.05</v>
      </c>
    </row>
    <row r="3219" spans="1:6" x14ac:dyDescent="0.25">
      <c r="A3219" s="62" t="s">
        <v>4398</v>
      </c>
      <c r="B3219" s="96">
        <v>440393</v>
      </c>
      <c r="C3219" s="96" t="str">
        <f t="shared" si="309"/>
        <v>CPOS440393</v>
      </c>
      <c r="D3219" s="95" t="s">
        <v>3265</v>
      </c>
      <c r="E3219" s="63" t="s">
        <v>58</v>
      </c>
      <c r="F3219" s="64">
        <v>71.260000000000005</v>
      </c>
    </row>
    <row r="3220" spans="1:6" ht="30" x14ac:dyDescent="0.25">
      <c r="A3220" s="62" t="s">
        <v>4398</v>
      </c>
      <c r="B3220" s="96">
        <v>440394</v>
      </c>
      <c r="C3220" s="96" t="str">
        <f t="shared" si="309"/>
        <v>CPOS440394</v>
      </c>
      <c r="D3220" s="95" t="s">
        <v>3266</v>
      </c>
      <c r="E3220" s="63" t="s">
        <v>58</v>
      </c>
      <c r="F3220" s="64">
        <v>191.27</v>
      </c>
    </row>
    <row r="3221" spans="1:6" ht="30" x14ac:dyDescent="0.25">
      <c r="A3221" s="62" t="s">
        <v>4398</v>
      </c>
      <c r="B3221" s="96">
        <v>440395</v>
      </c>
      <c r="C3221" s="96" t="str">
        <f t="shared" si="309"/>
        <v>CPOS440395</v>
      </c>
      <c r="D3221" s="95" t="s">
        <v>3267</v>
      </c>
      <c r="E3221" s="63" t="s">
        <v>58</v>
      </c>
      <c r="F3221" s="64">
        <v>199.88</v>
      </c>
    </row>
    <row r="3222" spans="1:6" x14ac:dyDescent="0.25">
      <c r="D3222" s="94" t="s">
        <v>3268</v>
      </c>
    </row>
    <row r="3223" spans="1:6" x14ac:dyDescent="0.25">
      <c r="A3223" s="62" t="s">
        <v>4398</v>
      </c>
      <c r="B3223" s="96">
        <v>440403</v>
      </c>
      <c r="C3223" s="96" t="str">
        <f t="shared" ref="C3223:C3225" si="310">A3223&amp;B3223</f>
        <v>CPOS440403</v>
      </c>
      <c r="D3223" s="95" t="s">
        <v>3269</v>
      </c>
      <c r="E3223" s="63" t="s">
        <v>81</v>
      </c>
      <c r="F3223" s="64">
        <v>340.55</v>
      </c>
    </row>
    <row r="3224" spans="1:6" x14ac:dyDescent="0.25">
      <c r="A3224" s="62" t="s">
        <v>4398</v>
      </c>
      <c r="B3224" s="96">
        <v>440404</v>
      </c>
      <c r="C3224" s="96" t="str">
        <f t="shared" si="310"/>
        <v>CPOS440404</v>
      </c>
      <c r="D3224" s="95" t="s">
        <v>3270</v>
      </c>
      <c r="E3224" s="63" t="s">
        <v>81</v>
      </c>
      <c r="F3224" s="64">
        <v>192.92000000000002</v>
      </c>
    </row>
    <row r="3225" spans="1:6" x14ac:dyDescent="0.25">
      <c r="A3225" s="62" t="s">
        <v>4398</v>
      </c>
      <c r="B3225" s="96">
        <v>440405</v>
      </c>
      <c r="C3225" s="96" t="str">
        <f t="shared" si="310"/>
        <v>CPOS440405</v>
      </c>
      <c r="D3225" s="95" t="s">
        <v>3271</v>
      </c>
      <c r="E3225" s="63" t="s">
        <v>81</v>
      </c>
      <c r="F3225" s="64">
        <v>554.49</v>
      </c>
    </row>
    <row r="3226" spans="1:6" x14ac:dyDescent="0.25">
      <c r="D3226" s="94" t="s">
        <v>3272</v>
      </c>
    </row>
    <row r="3227" spans="1:6" x14ac:dyDescent="0.25">
      <c r="A3227" s="62" t="s">
        <v>4398</v>
      </c>
      <c r="B3227" s="96">
        <v>440601</v>
      </c>
      <c r="C3227" s="96" t="str">
        <f t="shared" ref="C3227:C3246" si="311">A3227&amp;B3227</f>
        <v>CPOS440601</v>
      </c>
      <c r="D3227" s="95" t="s">
        <v>3273</v>
      </c>
      <c r="E3227" s="63" t="s">
        <v>110</v>
      </c>
      <c r="F3227" s="64">
        <v>724.71</v>
      </c>
    </row>
    <row r="3228" spans="1:6" x14ac:dyDescent="0.25">
      <c r="A3228" s="62" t="s">
        <v>4398</v>
      </c>
      <c r="B3228" s="96">
        <v>440610</v>
      </c>
      <c r="C3228" s="96" t="str">
        <f t="shared" si="311"/>
        <v>CPOS440610</v>
      </c>
      <c r="D3228" s="95" t="s">
        <v>3274</v>
      </c>
      <c r="E3228" s="63" t="s">
        <v>110</v>
      </c>
      <c r="F3228" s="64">
        <v>495.01</v>
      </c>
    </row>
    <row r="3229" spans="1:6" x14ac:dyDescent="0.25">
      <c r="A3229" s="62" t="s">
        <v>4398</v>
      </c>
      <c r="B3229" s="96">
        <v>440620</v>
      </c>
      <c r="C3229" s="96" t="str">
        <f t="shared" si="311"/>
        <v>CPOS440620</v>
      </c>
      <c r="D3229" s="95" t="s">
        <v>3275</v>
      </c>
      <c r="E3229" s="63" t="s">
        <v>58</v>
      </c>
      <c r="F3229" s="64">
        <v>696.54</v>
      </c>
    </row>
    <row r="3230" spans="1:6" x14ac:dyDescent="0.25">
      <c r="A3230" s="62" t="s">
        <v>4398</v>
      </c>
      <c r="B3230" s="96">
        <v>440625</v>
      </c>
      <c r="C3230" s="96" t="str">
        <f t="shared" si="311"/>
        <v>CPOS440625</v>
      </c>
      <c r="D3230" s="95" t="s">
        <v>3276</v>
      </c>
      <c r="E3230" s="63" t="s">
        <v>58</v>
      </c>
      <c r="F3230" s="64">
        <v>114.15</v>
      </c>
    </row>
    <row r="3231" spans="1:6" x14ac:dyDescent="0.25">
      <c r="A3231" s="62" t="s">
        <v>4398</v>
      </c>
      <c r="B3231" s="96">
        <v>440630</v>
      </c>
      <c r="C3231" s="96" t="str">
        <f t="shared" si="311"/>
        <v>CPOS440630</v>
      </c>
      <c r="D3231" s="95" t="s">
        <v>3277</v>
      </c>
      <c r="E3231" s="63" t="s">
        <v>58</v>
      </c>
      <c r="F3231" s="64">
        <v>158.07</v>
      </c>
    </row>
    <row r="3232" spans="1:6" x14ac:dyDescent="0.25">
      <c r="A3232" s="62" t="s">
        <v>4398</v>
      </c>
      <c r="B3232" s="96">
        <v>440631</v>
      </c>
      <c r="C3232" s="96" t="str">
        <f t="shared" si="311"/>
        <v>CPOS440631</v>
      </c>
      <c r="D3232" s="95" t="s">
        <v>3278</v>
      </c>
      <c r="E3232" s="63" t="s">
        <v>58</v>
      </c>
      <c r="F3232" s="64">
        <v>166.97</v>
      </c>
    </row>
    <row r="3233" spans="1:6" x14ac:dyDescent="0.25">
      <c r="A3233" s="62" t="s">
        <v>4398</v>
      </c>
      <c r="B3233" s="96">
        <v>440632</v>
      </c>
      <c r="C3233" s="96" t="str">
        <f t="shared" si="311"/>
        <v>CPOS440632</v>
      </c>
      <c r="D3233" s="95" t="s">
        <v>3279</v>
      </c>
      <c r="E3233" s="63" t="s">
        <v>58</v>
      </c>
      <c r="F3233" s="64">
        <v>197.72</v>
      </c>
    </row>
    <row r="3234" spans="1:6" x14ac:dyDescent="0.25">
      <c r="A3234" s="62" t="s">
        <v>4398</v>
      </c>
      <c r="B3234" s="96">
        <v>440633</v>
      </c>
      <c r="C3234" s="96" t="str">
        <f t="shared" si="311"/>
        <v>CPOS440633</v>
      </c>
      <c r="D3234" s="95" t="s">
        <v>3280</v>
      </c>
      <c r="E3234" s="63" t="s">
        <v>58</v>
      </c>
      <c r="F3234" s="64">
        <v>504.74</v>
      </c>
    </row>
    <row r="3235" spans="1:6" x14ac:dyDescent="0.25">
      <c r="A3235" s="62" t="s">
        <v>4398</v>
      </c>
      <c r="B3235" s="96">
        <v>440636</v>
      </c>
      <c r="C3235" s="96" t="str">
        <f t="shared" si="311"/>
        <v>CPOS440636</v>
      </c>
      <c r="D3235" s="95" t="s">
        <v>3281</v>
      </c>
      <c r="E3235" s="63" t="s">
        <v>58</v>
      </c>
      <c r="F3235" s="64">
        <v>350.12</v>
      </c>
    </row>
    <row r="3236" spans="1:6" x14ac:dyDescent="0.25">
      <c r="A3236" s="62" t="s">
        <v>4398</v>
      </c>
      <c r="B3236" s="96">
        <v>440640</v>
      </c>
      <c r="C3236" s="96" t="str">
        <f t="shared" si="311"/>
        <v>CPOS440640</v>
      </c>
      <c r="D3236" s="95" t="s">
        <v>3282</v>
      </c>
      <c r="E3236" s="63" t="s">
        <v>58</v>
      </c>
      <c r="F3236" s="64">
        <v>404.59000000000003</v>
      </c>
    </row>
    <row r="3237" spans="1:6" x14ac:dyDescent="0.25">
      <c r="A3237" s="62" t="s">
        <v>4398</v>
      </c>
      <c r="B3237" s="96">
        <v>440641</v>
      </c>
      <c r="C3237" s="96" t="str">
        <f t="shared" si="311"/>
        <v>CPOS440641</v>
      </c>
      <c r="D3237" s="95" t="s">
        <v>3283</v>
      </c>
      <c r="E3237" s="63" t="s">
        <v>58</v>
      </c>
      <c r="F3237" s="64">
        <v>501.55</v>
      </c>
    </row>
    <row r="3238" spans="1:6" x14ac:dyDescent="0.25">
      <c r="A3238" s="62" t="s">
        <v>4398</v>
      </c>
      <c r="B3238" s="96">
        <v>440647</v>
      </c>
      <c r="C3238" s="96" t="str">
        <f t="shared" si="311"/>
        <v>CPOS440647</v>
      </c>
      <c r="D3238" s="95" t="s">
        <v>3284</v>
      </c>
      <c r="E3238" s="63" t="s">
        <v>58</v>
      </c>
      <c r="F3238" s="64">
        <v>738.39</v>
      </c>
    </row>
    <row r="3239" spans="1:6" x14ac:dyDescent="0.25">
      <c r="A3239" s="62" t="s">
        <v>4398</v>
      </c>
      <c r="B3239" s="96">
        <v>440651</v>
      </c>
      <c r="C3239" s="96" t="str">
        <f t="shared" si="311"/>
        <v>CPOS440651</v>
      </c>
      <c r="D3239" s="95" t="s">
        <v>3285</v>
      </c>
      <c r="E3239" s="63" t="s">
        <v>58</v>
      </c>
      <c r="F3239" s="64">
        <v>1005.39</v>
      </c>
    </row>
    <row r="3240" spans="1:6" x14ac:dyDescent="0.25">
      <c r="A3240" s="62" t="s">
        <v>4398</v>
      </c>
      <c r="B3240" s="96">
        <v>440652</v>
      </c>
      <c r="C3240" s="96" t="str">
        <f t="shared" si="311"/>
        <v>CPOS440652</v>
      </c>
      <c r="D3240" s="95" t="s">
        <v>3286</v>
      </c>
      <c r="E3240" s="63" t="s">
        <v>58</v>
      </c>
      <c r="F3240" s="64">
        <v>649.67999999999995</v>
      </c>
    </row>
    <row r="3241" spans="1:6" x14ac:dyDescent="0.25">
      <c r="A3241" s="62" t="s">
        <v>4398</v>
      </c>
      <c r="B3241" s="96">
        <v>440657</v>
      </c>
      <c r="C3241" s="96" t="str">
        <f t="shared" si="311"/>
        <v>CPOS440657</v>
      </c>
      <c r="D3241" s="95" t="s">
        <v>3287</v>
      </c>
      <c r="E3241" s="63" t="s">
        <v>58</v>
      </c>
      <c r="F3241" s="64">
        <v>951.25</v>
      </c>
    </row>
    <row r="3242" spans="1:6" x14ac:dyDescent="0.25">
      <c r="A3242" s="62" t="s">
        <v>4398</v>
      </c>
      <c r="B3242" s="96">
        <v>440660</v>
      </c>
      <c r="C3242" s="96" t="str">
        <f t="shared" si="311"/>
        <v>CPOS440660</v>
      </c>
      <c r="D3242" s="95" t="s">
        <v>3288</v>
      </c>
      <c r="E3242" s="63" t="s">
        <v>58</v>
      </c>
      <c r="F3242" s="64">
        <v>2277.3200000000002</v>
      </c>
    </row>
    <row r="3243" spans="1:6" x14ac:dyDescent="0.25">
      <c r="A3243" s="62" t="s">
        <v>4398</v>
      </c>
      <c r="B3243" s="96">
        <v>440661</v>
      </c>
      <c r="C3243" s="96" t="str">
        <f t="shared" si="311"/>
        <v>CPOS440661</v>
      </c>
      <c r="D3243" s="95" t="s">
        <v>3289</v>
      </c>
      <c r="E3243" s="63" t="s">
        <v>58</v>
      </c>
      <c r="F3243" s="64">
        <v>1544.53</v>
      </c>
    </row>
    <row r="3244" spans="1:6" x14ac:dyDescent="0.25">
      <c r="A3244" s="62" t="s">
        <v>4398</v>
      </c>
      <c r="B3244" s="96">
        <v>440670</v>
      </c>
      <c r="C3244" s="96" t="str">
        <f t="shared" si="311"/>
        <v>CPOS440670</v>
      </c>
      <c r="D3244" s="95" t="s">
        <v>3290</v>
      </c>
      <c r="E3244" s="63" t="s">
        <v>58</v>
      </c>
      <c r="F3244" s="64">
        <v>326.18</v>
      </c>
    </row>
    <row r="3245" spans="1:6" x14ac:dyDescent="0.25">
      <c r="A3245" s="62" t="s">
        <v>4398</v>
      </c>
      <c r="B3245" s="96">
        <v>440671</v>
      </c>
      <c r="C3245" s="96" t="str">
        <f t="shared" si="311"/>
        <v>CPOS440671</v>
      </c>
      <c r="D3245" s="95" t="s">
        <v>3291</v>
      </c>
      <c r="E3245" s="63" t="s">
        <v>58</v>
      </c>
      <c r="F3245" s="64">
        <v>326.18</v>
      </c>
    </row>
    <row r="3246" spans="1:6" x14ac:dyDescent="0.25">
      <c r="A3246" s="62" t="s">
        <v>4398</v>
      </c>
      <c r="B3246" s="96">
        <v>440675</v>
      </c>
      <c r="C3246" s="96" t="str">
        <f t="shared" si="311"/>
        <v>CPOS440675</v>
      </c>
      <c r="D3246" s="95" t="s">
        <v>3292</v>
      </c>
      <c r="E3246" s="63" t="s">
        <v>58</v>
      </c>
      <c r="F3246" s="64">
        <v>523.94000000000005</v>
      </c>
    </row>
    <row r="3247" spans="1:6" x14ac:dyDescent="0.25">
      <c r="D3247" s="94" t="s">
        <v>693</v>
      </c>
    </row>
    <row r="3248" spans="1:6" x14ac:dyDescent="0.25">
      <c r="A3248" s="62" t="s">
        <v>4398</v>
      </c>
      <c r="B3248" s="96">
        <v>442001</v>
      </c>
      <c r="C3248" s="96" t="str">
        <f t="shared" ref="C3248:C3272" si="312">A3248&amp;B3248</f>
        <v>CPOS442001</v>
      </c>
      <c r="D3248" s="95" t="s">
        <v>3293</v>
      </c>
      <c r="E3248" s="63" t="s">
        <v>58</v>
      </c>
      <c r="F3248" s="64">
        <v>18.54</v>
      </c>
    </row>
    <row r="3249" spans="1:6" x14ac:dyDescent="0.25">
      <c r="A3249" s="62" t="s">
        <v>4398</v>
      </c>
      <c r="B3249" s="96">
        <v>442002</v>
      </c>
      <c r="C3249" s="96" t="str">
        <f t="shared" si="312"/>
        <v>CPOS442002</v>
      </c>
      <c r="D3249" s="95" t="s">
        <v>3294</v>
      </c>
      <c r="E3249" s="63" t="s">
        <v>58</v>
      </c>
      <c r="F3249" s="64">
        <v>14</v>
      </c>
    </row>
    <row r="3250" spans="1:6" x14ac:dyDescent="0.25">
      <c r="A3250" s="62" t="s">
        <v>4398</v>
      </c>
      <c r="B3250" s="96">
        <v>442004</v>
      </c>
      <c r="C3250" s="96" t="str">
        <f t="shared" si="312"/>
        <v>CPOS442004</v>
      </c>
      <c r="D3250" s="95" t="s">
        <v>3295</v>
      </c>
      <c r="E3250" s="63" t="s">
        <v>58</v>
      </c>
      <c r="F3250" s="64">
        <v>14.01</v>
      </c>
    </row>
    <row r="3251" spans="1:6" x14ac:dyDescent="0.25">
      <c r="A3251" s="62" t="s">
        <v>4398</v>
      </c>
      <c r="B3251" s="96">
        <v>442006</v>
      </c>
      <c r="C3251" s="96" t="str">
        <f t="shared" si="312"/>
        <v>CPOS442006</v>
      </c>
      <c r="D3251" s="95" t="s">
        <v>3296</v>
      </c>
      <c r="E3251" s="63" t="s">
        <v>58</v>
      </c>
      <c r="F3251" s="64">
        <v>39.4</v>
      </c>
    </row>
    <row r="3252" spans="1:6" x14ac:dyDescent="0.25">
      <c r="A3252" s="62" t="s">
        <v>4398</v>
      </c>
      <c r="B3252" s="96">
        <v>442008</v>
      </c>
      <c r="C3252" s="96" t="str">
        <f t="shared" si="312"/>
        <v>CPOS442008</v>
      </c>
      <c r="D3252" s="95" t="s">
        <v>3297</v>
      </c>
      <c r="E3252" s="63" t="s">
        <v>58</v>
      </c>
      <c r="F3252" s="64">
        <v>69.760000000000005</v>
      </c>
    </row>
    <row r="3253" spans="1:6" x14ac:dyDescent="0.25">
      <c r="A3253" s="62" t="s">
        <v>4398</v>
      </c>
      <c r="B3253" s="96">
        <v>442010</v>
      </c>
      <c r="C3253" s="96" t="str">
        <f t="shared" si="312"/>
        <v>CPOS442010</v>
      </c>
      <c r="D3253" s="95" t="s">
        <v>3298</v>
      </c>
      <c r="E3253" s="63" t="s">
        <v>58</v>
      </c>
      <c r="F3253" s="64">
        <v>28.89</v>
      </c>
    </row>
    <row r="3254" spans="1:6" x14ac:dyDescent="0.25">
      <c r="A3254" s="62" t="s">
        <v>4398</v>
      </c>
      <c r="B3254" s="96">
        <v>442011</v>
      </c>
      <c r="C3254" s="96" t="str">
        <f t="shared" si="312"/>
        <v>CPOS442011</v>
      </c>
      <c r="D3254" s="95" t="s">
        <v>3299</v>
      </c>
      <c r="E3254" s="63" t="s">
        <v>58</v>
      </c>
      <c r="F3254" s="64">
        <v>7.59</v>
      </c>
    </row>
    <row r="3255" spans="1:6" x14ac:dyDescent="0.25">
      <c r="A3255" s="62" t="s">
        <v>4398</v>
      </c>
      <c r="B3255" s="96">
        <v>442012</v>
      </c>
      <c r="C3255" s="96" t="str">
        <f t="shared" si="312"/>
        <v>CPOS442012</v>
      </c>
      <c r="D3255" s="95" t="s">
        <v>3300</v>
      </c>
      <c r="E3255" s="63" t="s">
        <v>58</v>
      </c>
      <c r="F3255" s="64">
        <v>82.89</v>
      </c>
    </row>
    <row r="3256" spans="1:6" x14ac:dyDescent="0.25">
      <c r="A3256" s="62" t="s">
        <v>4398</v>
      </c>
      <c r="B3256" s="96">
        <v>442013</v>
      </c>
      <c r="C3256" s="96" t="str">
        <f t="shared" si="312"/>
        <v>CPOS442013</v>
      </c>
      <c r="D3256" s="95" t="s">
        <v>3301</v>
      </c>
      <c r="E3256" s="63" t="s">
        <v>58</v>
      </c>
      <c r="F3256" s="64">
        <v>35.72</v>
      </c>
    </row>
    <row r="3257" spans="1:6" x14ac:dyDescent="0.25">
      <c r="A3257" s="62" t="s">
        <v>4398</v>
      </c>
      <c r="B3257" s="96">
        <v>442015</v>
      </c>
      <c r="C3257" s="96" t="str">
        <f t="shared" si="312"/>
        <v>CPOS442015</v>
      </c>
      <c r="D3257" s="95" t="s">
        <v>3302</v>
      </c>
      <c r="E3257" s="63" t="s">
        <v>58</v>
      </c>
      <c r="F3257" s="64">
        <v>29.68</v>
      </c>
    </row>
    <row r="3258" spans="1:6" x14ac:dyDescent="0.25">
      <c r="A3258" s="62" t="s">
        <v>4398</v>
      </c>
      <c r="B3258" s="96">
        <v>442016</v>
      </c>
      <c r="C3258" s="96" t="str">
        <f t="shared" si="312"/>
        <v>CPOS442016</v>
      </c>
      <c r="D3258" s="95" t="s">
        <v>3303</v>
      </c>
      <c r="E3258" s="63" t="s">
        <v>58</v>
      </c>
      <c r="F3258" s="64">
        <v>33.75</v>
      </c>
    </row>
    <row r="3259" spans="1:6" x14ac:dyDescent="0.25">
      <c r="A3259" s="62" t="s">
        <v>4398</v>
      </c>
      <c r="B3259" s="96">
        <v>442018</v>
      </c>
      <c r="C3259" s="96" t="str">
        <f t="shared" si="312"/>
        <v>CPOS442018</v>
      </c>
      <c r="D3259" s="95" t="s">
        <v>3304</v>
      </c>
      <c r="E3259" s="63" t="s">
        <v>58</v>
      </c>
      <c r="F3259" s="64">
        <v>60.74</v>
      </c>
    </row>
    <row r="3260" spans="1:6" x14ac:dyDescent="0.25">
      <c r="A3260" s="62" t="s">
        <v>4398</v>
      </c>
      <c r="B3260" s="96">
        <v>442020</v>
      </c>
      <c r="C3260" s="96" t="str">
        <f t="shared" si="312"/>
        <v>CPOS442020</v>
      </c>
      <c r="D3260" s="95" t="s">
        <v>3305</v>
      </c>
      <c r="E3260" s="63" t="s">
        <v>58</v>
      </c>
      <c r="F3260" s="64">
        <v>116.88</v>
      </c>
    </row>
    <row r="3261" spans="1:6" x14ac:dyDescent="0.25">
      <c r="A3261" s="62" t="s">
        <v>4398</v>
      </c>
      <c r="B3261" s="96">
        <v>442022</v>
      </c>
      <c r="C3261" s="96" t="str">
        <f t="shared" si="312"/>
        <v>CPOS442022</v>
      </c>
      <c r="D3261" s="95" t="s">
        <v>3306</v>
      </c>
      <c r="E3261" s="63" t="s">
        <v>58</v>
      </c>
      <c r="F3261" s="64">
        <v>120.12</v>
      </c>
    </row>
    <row r="3262" spans="1:6" x14ac:dyDescent="0.25">
      <c r="A3262" s="62" t="s">
        <v>4398</v>
      </c>
      <c r="B3262" s="96">
        <v>442023</v>
      </c>
      <c r="C3262" s="96" t="str">
        <f t="shared" si="312"/>
        <v>CPOS442023</v>
      </c>
      <c r="D3262" s="95" t="s">
        <v>3307</v>
      </c>
      <c r="E3262" s="63" t="s">
        <v>58</v>
      </c>
      <c r="F3262" s="64">
        <v>27.55</v>
      </c>
    </row>
    <row r="3263" spans="1:6" x14ac:dyDescent="0.25">
      <c r="A3263" s="62" t="s">
        <v>4398</v>
      </c>
      <c r="B3263" s="96">
        <v>442024</v>
      </c>
      <c r="C3263" s="96" t="str">
        <f t="shared" si="312"/>
        <v>CPOS442024</v>
      </c>
      <c r="D3263" s="95" t="s">
        <v>3308</v>
      </c>
      <c r="E3263" s="63" t="s">
        <v>58</v>
      </c>
      <c r="F3263" s="64">
        <v>22.8</v>
      </c>
    </row>
    <row r="3264" spans="1:6" x14ac:dyDescent="0.25">
      <c r="A3264" s="62" t="s">
        <v>4398</v>
      </c>
      <c r="B3264" s="96">
        <v>442026</v>
      </c>
      <c r="C3264" s="96" t="str">
        <f t="shared" si="312"/>
        <v>CPOS442026</v>
      </c>
      <c r="D3264" s="95" t="s">
        <v>3309</v>
      </c>
      <c r="E3264" s="63" t="s">
        <v>58</v>
      </c>
      <c r="F3264" s="64">
        <v>24.650000000000002</v>
      </c>
    </row>
    <row r="3265" spans="1:6" x14ac:dyDescent="0.25">
      <c r="A3265" s="62" t="s">
        <v>4398</v>
      </c>
      <c r="B3265" s="96">
        <v>442028</v>
      </c>
      <c r="C3265" s="96" t="str">
        <f t="shared" si="312"/>
        <v>CPOS442028</v>
      </c>
      <c r="D3265" s="95" t="s">
        <v>3310</v>
      </c>
      <c r="E3265" s="63" t="s">
        <v>58</v>
      </c>
      <c r="F3265" s="64">
        <v>24.89</v>
      </c>
    </row>
    <row r="3266" spans="1:6" x14ac:dyDescent="0.25">
      <c r="A3266" s="62" t="s">
        <v>4398</v>
      </c>
      <c r="B3266" s="96">
        <v>442030</v>
      </c>
      <c r="C3266" s="96" t="str">
        <f t="shared" si="312"/>
        <v>CPOS442030</v>
      </c>
      <c r="D3266" s="95" t="s">
        <v>3311</v>
      </c>
      <c r="E3266" s="63" t="s">
        <v>58</v>
      </c>
      <c r="F3266" s="64">
        <v>7.71</v>
      </c>
    </row>
    <row r="3267" spans="1:6" x14ac:dyDescent="0.25">
      <c r="A3267" s="62" t="s">
        <v>4398</v>
      </c>
      <c r="B3267" s="96">
        <v>442031</v>
      </c>
      <c r="C3267" s="96" t="str">
        <f t="shared" si="312"/>
        <v>CPOS442031</v>
      </c>
      <c r="D3267" s="95" t="s">
        <v>3312</v>
      </c>
      <c r="E3267" s="63" t="s">
        <v>58</v>
      </c>
      <c r="F3267" s="64">
        <v>274.02</v>
      </c>
    </row>
    <row r="3268" spans="1:6" x14ac:dyDescent="0.25">
      <c r="A3268" s="62" t="s">
        <v>4398</v>
      </c>
      <c r="B3268" s="96">
        <v>442039</v>
      </c>
      <c r="C3268" s="96" t="str">
        <f t="shared" si="312"/>
        <v>CPOS442039</v>
      </c>
      <c r="D3268" s="95" t="s">
        <v>3313</v>
      </c>
      <c r="E3268" s="63" t="s">
        <v>58</v>
      </c>
      <c r="F3268" s="64">
        <v>4.2300000000000004</v>
      </c>
    </row>
    <row r="3269" spans="1:6" x14ac:dyDescent="0.25">
      <c r="A3269" s="62" t="s">
        <v>4398</v>
      </c>
      <c r="B3269" s="96">
        <v>442062</v>
      </c>
      <c r="C3269" s="96" t="str">
        <f t="shared" si="312"/>
        <v>CPOS442062</v>
      </c>
      <c r="D3269" s="95" t="s">
        <v>3314</v>
      </c>
      <c r="E3269" s="63" t="s">
        <v>58</v>
      </c>
      <c r="F3269" s="64">
        <v>29.650000000000002</v>
      </c>
    </row>
    <row r="3270" spans="1:6" x14ac:dyDescent="0.25">
      <c r="A3270" s="62" t="s">
        <v>4398</v>
      </c>
      <c r="B3270" s="96">
        <v>442064</v>
      </c>
      <c r="C3270" s="96" t="str">
        <f t="shared" si="312"/>
        <v>CPOS442064</v>
      </c>
      <c r="D3270" s="95" t="s">
        <v>3315</v>
      </c>
      <c r="E3270" s="63" t="s">
        <v>58</v>
      </c>
      <c r="F3270" s="64">
        <v>57.050000000000004</v>
      </c>
    </row>
    <row r="3271" spans="1:6" x14ac:dyDescent="0.25">
      <c r="A3271" s="62" t="s">
        <v>4398</v>
      </c>
      <c r="B3271" s="96">
        <v>442065</v>
      </c>
      <c r="C3271" s="96" t="str">
        <f t="shared" si="312"/>
        <v>CPOS442065</v>
      </c>
      <c r="D3271" s="95" t="s">
        <v>3316</v>
      </c>
      <c r="E3271" s="63" t="s">
        <v>58</v>
      </c>
      <c r="F3271" s="64">
        <v>28.88</v>
      </c>
    </row>
    <row r="3272" spans="1:6" x14ac:dyDescent="0.25">
      <c r="A3272" s="62" t="s">
        <v>4398</v>
      </c>
      <c r="B3272" s="96">
        <v>442070</v>
      </c>
      <c r="C3272" s="96" t="str">
        <f t="shared" si="312"/>
        <v>CPOS442070</v>
      </c>
      <c r="D3272" s="95" t="s">
        <v>3317</v>
      </c>
      <c r="E3272" s="63" t="s">
        <v>110</v>
      </c>
      <c r="F3272" s="64">
        <v>43.06</v>
      </c>
    </row>
    <row r="3273" spans="1:6" x14ac:dyDescent="0.25">
      <c r="D3273" s="94" t="s">
        <v>3318</v>
      </c>
    </row>
    <row r="3274" spans="1:6" x14ac:dyDescent="0.25">
      <c r="D3274" s="94" t="s">
        <v>3319</v>
      </c>
    </row>
    <row r="3275" spans="1:6" x14ac:dyDescent="0.25">
      <c r="A3275" s="62" t="s">
        <v>4398</v>
      </c>
      <c r="B3275" s="96">
        <v>450102</v>
      </c>
      <c r="C3275" s="96" t="str">
        <f t="shared" ref="C3275:C3280" si="313">A3275&amp;B3275</f>
        <v>CPOS450102</v>
      </c>
      <c r="D3275" s="95" t="s">
        <v>3320</v>
      </c>
      <c r="E3275" s="63" t="s">
        <v>58</v>
      </c>
      <c r="F3275" s="64">
        <v>786.49</v>
      </c>
    </row>
    <row r="3276" spans="1:6" x14ac:dyDescent="0.25">
      <c r="A3276" s="62" t="s">
        <v>4398</v>
      </c>
      <c r="B3276" s="96">
        <v>450103</v>
      </c>
      <c r="C3276" s="96" t="str">
        <f t="shared" si="313"/>
        <v>CPOS450103</v>
      </c>
      <c r="D3276" s="95" t="s">
        <v>3321</v>
      </c>
      <c r="E3276" s="63" t="s">
        <v>58</v>
      </c>
      <c r="F3276" s="64">
        <v>2343.7800000000002</v>
      </c>
    </row>
    <row r="3277" spans="1:6" x14ac:dyDescent="0.25">
      <c r="A3277" s="62" t="s">
        <v>4398</v>
      </c>
      <c r="B3277" s="96">
        <v>450104</v>
      </c>
      <c r="C3277" s="96" t="str">
        <f t="shared" si="313"/>
        <v>CPOS450104</v>
      </c>
      <c r="D3277" s="95" t="s">
        <v>3322</v>
      </c>
      <c r="E3277" s="63" t="s">
        <v>58</v>
      </c>
      <c r="F3277" s="64">
        <v>809.34</v>
      </c>
    </row>
    <row r="3278" spans="1:6" x14ac:dyDescent="0.25">
      <c r="A3278" s="62" t="s">
        <v>4398</v>
      </c>
      <c r="B3278" s="96">
        <v>450105</v>
      </c>
      <c r="C3278" s="96" t="str">
        <f t="shared" si="313"/>
        <v>CPOS450105</v>
      </c>
      <c r="D3278" s="95" t="s">
        <v>3323</v>
      </c>
      <c r="E3278" s="63" t="s">
        <v>58</v>
      </c>
      <c r="F3278" s="64">
        <v>2010.2</v>
      </c>
    </row>
    <row r="3279" spans="1:6" x14ac:dyDescent="0.25">
      <c r="A3279" s="62" t="s">
        <v>4398</v>
      </c>
      <c r="B3279" s="96">
        <v>450106</v>
      </c>
      <c r="C3279" s="96" t="str">
        <f t="shared" si="313"/>
        <v>CPOS450106</v>
      </c>
      <c r="D3279" s="95" t="s">
        <v>3324</v>
      </c>
      <c r="E3279" s="63" t="s">
        <v>58</v>
      </c>
      <c r="F3279" s="64">
        <v>1948.49</v>
      </c>
    </row>
    <row r="3280" spans="1:6" x14ac:dyDescent="0.25">
      <c r="A3280" s="62" t="s">
        <v>4398</v>
      </c>
      <c r="B3280" s="96">
        <v>450108</v>
      </c>
      <c r="C3280" s="96" t="str">
        <f t="shared" si="313"/>
        <v>CPOS450108</v>
      </c>
      <c r="D3280" s="95" t="s">
        <v>3325</v>
      </c>
      <c r="E3280" s="63" t="s">
        <v>58</v>
      </c>
      <c r="F3280" s="64">
        <v>2177.09</v>
      </c>
    </row>
    <row r="3281" spans="1:6" x14ac:dyDescent="0.25">
      <c r="D3281" s="94" t="s">
        <v>3326</v>
      </c>
    </row>
    <row r="3282" spans="1:6" x14ac:dyDescent="0.25">
      <c r="A3282" s="62" t="s">
        <v>4398</v>
      </c>
      <c r="B3282" s="96">
        <v>450202</v>
      </c>
      <c r="C3282" s="96" t="str">
        <f t="shared" ref="C3282:C3286" si="314">A3282&amp;B3282</f>
        <v>CPOS450202</v>
      </c>
      <c r="D3282" s="95" t="s">
        <v>3327</v>
      </c>
      <c r="E3282" s="63" t="s">
        <v>58</v>
      </c>
      <c r="F3282" s="64">
        <v>1351.43</v>
      </c>
    </row>
    <row r="3283" spans="1:6" x14ac:dyDescent="0.25">
      <c r="A3283" s="62" t="s">
        <v>4398</v>
      </c>
      <c r="B3283" s="96">
        <v>450204</v>
      </c>
      <c r="C3283" s="96" t="str">
        <f t="shared" si="314"/>
        <v>CPOS450204</v>
      </c>
      <c r="D3283" s="95" t="s">
        <v>3328</v>
      </c>
      <c r="E3283" s="63" t="s">
        <v>58</v>
      </c>
      <c r="F3283" s="64">
        <v>3629.3</v>
      </c>
    </row>
    <row r="3284" spans="1:6" x14ac:dyDescent="0.25">
      <c r="A3284" s="62" t="s">
        <v>4398</v>
      </c>
      <c r="B3284" s="96">
        <v>450206</v>
      </c>
      <c r="C3284" s="96" t="str">
        <f t="shared" si="314"/>
        <v>CPOS450206</v>
      </c>
      <c r="D3284" s="95" t="s">
        <v>3329</v>
      </c>
      <c r="E3284" s="63" t="s">
        <v>58</v>
      </c>
      <c r="F3284" s="64">
        <v>5777.58</v>
      </c>
    </row>
    <row r="3285" spans="1:6" x14ac:dyDescent="0.25">
      <c r="A3285" s="62" t="s">
        <v>4398</v>
      </c>
      <c r="B3285" s="96">
        <v>450208</v>
      </c>
      <c r="C3285" s="96" t="str">
        <f t="shared" si="314"/>
        <v>CPOS450208</v>
      </c>
      <c r="D3285" s="95" t="s">
        <v>3330</v>
      </c>
      <c r="E3285" s="63" t="s">
        <v>58</v>
      </c>
      <c r="F3285" s="64">
        <v>7881.77</v>
      </c>
    </row>
    <row r="3286" spans="1:6" x14ac:dyDescent="0.25">
      <c r="A3286" s="62" t="s">
        <v>4398</v>
      </c>
      <c r="B3286" s="96">
        <v>450220</v>
      </c>
      <c r="C3286" s="96" t="str">
        <f t="shared" si="314"/>
        <v>CPOS450220</v>
      </c>
      <c r="D3286" s="95" t="s">
        <v>3331</v>
      </c>
      <c r="E3286" s="63" t="s">
        <v>58</v>
      </c>
      <c r="F3286" s="64">
        <v>607.13</v>
      </c>
    </row>
    <row r="3287" spans="1:6" x14ac:dyDescent="0.25">
      <c r="D3287" s="94" t="s">
        <v>3332</v>
      </c>
    </row>
    <row r="3288" spans="1:6" x14ac:dyDescent="0.25">
      <c r="A3288" s="62" t="s">
        <v>4398</v>
      </c>
      <c r="B3288" s="96">
        <v>450301</v>
      </c>
      <c r="C3288" s="96" t="str">
        <f t="shared" ref="C3288:C3297" si="315">A3288&amp;B3288</f>
        <v>CPOS450301</v>
      </c>
      <c r="D3288" s="95" t="s">
        <v>3333</v>
      </c>
      <c r="E3288" s="63" t="s">
        <v>58</v>
      </c>
      <c r="F3288" s="64">
        <v>1978.17</v>
      </c>
    </row>
    <row r="3289" spans="1:6" x14ac:dyDescent="0.25">
      <c r="A3289" s="62" t="s">
        <v>4398</v>
      </c>
      <c r="B3289" s="96">
        <v>450302</v>
      </c>
      <c r="C3289" s="96" t="str">
        <f t="shared" si="315"/>
        <v>CPOS450302</v>
      </c>
      <c r="D3289" s="95" t="s">
        <v>3334</v>
      </c>
      <c r="E3289" s="63" t="s">
        <v>58</v>
      </c>
      <c r="F3289" s="64">
        <v>2621.23</v>
      </c>
    </row>
    <row r="3290" spans="1:6" x14ac:dyDescent="0.25">
      <c r="A3290" s="62" t="s">
        <v>4398</v>
      </c>
      <c r="B3290" s="96">
        <v>450303</v>
      </c>
      <c r="C3290" s="96" t="str">
        <f t="shared" si="315"/>
        <v>CPOS450303</v>
      </c>
      <c r="D3290" s="95" t="s">
        <v>3335</v>
      </c>
      <c r="E3290" s="63" t="s">
        <v>58</v>
      </c>
      <c r="F3290" s="64">
        <v>3078.58</v>
      </c>
    </row>
    <row r="3291" spans="1:6" x14ac:dyDescent="0.25">
      <c r="A3291" s="62" t="s">
        <v>4398</v>
      </c>
      <c r="B3291" s="96">
        <v>450304</v>
      </c>
      <c r="C3291" s="96" t="str">
        <f t="shared" si="315"/>
        <v>CPOS450304</v>
      </c>
      <c r="D3291" s="95" t="s">
        <v>3336</v>
      </c>
      <c r="E3291" s="63" t="s">
        <v>58</v>
      </c>
      <c r="F3291" s="64">
        <v>4496.6400000000003</v>
      </c>
    </row>
    <row r="3292" spans="1:6" x14ac:dyDescent="0.25">
      <c r="A3292" s="62" t="s">
        <v>4398</v>
      </c>
      <c r="B3292" s="96">
        <v>450310</v>
      </c>
      <c r="C3292" s="96" t="str">
        <f t="shared" si="315"/>
        <v>CPOS450310</v>
      </c>
      <c r="D3292" s="95" t="s">
        <v>3337</v>
      </c>
      <c r="E3292" s="63" t="s">
        <v>117</v>
      </c>
      <c r="F3292" s="64">
        <v>424.06</v>
      </c>
    </row>
    <row r="3293" spans="1:6" x14ac:dyDescent="0.25">
      <c r="A3293" s="62" t="s">
        <v>4398</v>
      </c>
      <c r="B3293" s="96">
        <v>450311</v>
      </c>
      <c r="C3293" s="96" t="str">
        <f t="shared" si="315"/>
        <v>CPOS450311</v>
      </c>
      <c r="D3293" s="95" t="s">
        <v>3338</v>
      </c>
      <c r="E3293" s="63" t="s">
        <v>117</v>
      </c>
      <c r="F3293" s="64">
        <v>694.51</v>
      </c>
    </row>
    <row r="3294" spans="1:6" x14ac:dyDescent="0.25">
      <c r="A3294" s="62" t="s">
        <v>4398</v>
      </c>
      <c r="B3294" s="96">
        <v>450320</v>
      </c>
      <c r="C3294" s="96" t="str">
        <f t="shared" si="315"/>
        <v>CPOS450320</v>
      </c>
      <c r="D3294" s="95" t="s">
        <v>3339</v>
      </c>
      <c r="E3294" s="63" t="s">
        <v>58</v>
      </c>
      <c r="F3294" s="64">
        <v>967.54</v>
      </c>
    </row>
    <row r="3295" spans="1:6" x14ac:dyDescent="0.25">
      <c r="A3295" s="62" t="s">
        <v>4398</v>
      </c>
      <c r="B3295" s="96">
        <v>450321</v>
      </c>
      <c r="C3295" s="96" t="str">
        <f t="shared" si="315"/>
        <v>CPOS450321</v>
      </c>
      <c r="D3295" s="95" t="s">
        <v>3340</v>
      </c>
      <c r="E3295" s="63" t="s">
        <v>58</v>
      </c>
      <c r="F3295" s="64">
        <v>1399.97</v>
      </c>
    </row>
    <row r="3296" spans="1:6" x14ac:dyDescent="0.25">
      <c r="A3296" s="62" t="s">
        <v>4398</v>
      </c>
      <c r="B3296" s="96">
        <v>450322</v>
      </c>
      <c r="C3296" s="96" t="str">
        <f t="shared" si="315"/>
        <v>CPOS450322</v>
      </c>
      <c r="D3296" s="95" t="s">
        <v>3341</v>
      </c>
      <c r="E3296" s="63" t="s">
        <v>58</v>
      </c>
      <c r="F3296" s="64">
        <v>1765.52</v>
      </c>
    </row>
    <row r="3297" spans="1:6" x14ac:dyDescent="0.25">
      <c r="A3297" s="62" t="s">
        <v>4398</v>
      </c>
      <c r="B3297" s="96">
        <v>450323</v>
      </c>
      <c r="C3297" s="96" t="str">
        <f t="shared" si="315"/>
        <v>CPOS450323</v>
      </c>
      <c r="D3297" s="95" t="s">
        <v>3342</v>
      </c>
      <c r="E3297" s="63" t="s">
        <v>58</v>
      </c>
      <c r="F3297" s="64">
        <v>3232.87</v>
      </c>
    </row>
    <row r="3298" spans="1:6" x14ac:dyDescent="0.25">
      <c r="D3298" s="94" t="s">
        <v>693</v>
      </c>
    </row>
    <row r="3299" spans="1:6" x14ac:dyDescent="0.25">
      <c r="A3299" s="62" t="s">
        <v>4398</v>
      </c>
      <c r="B3299" s="96">
        <v>452002</v>
      </c>
      <c r="C3299" s="96" t="str">
        <f>A3299&amp;B3299</f>
        <v>CPOS452002</v>
      </c>
      <c r="D3299" s="95" t="s">
        <v>3343</v>
      </c>
      <c r="E3299" s="63" t="s">
        <v>58</v>
      </c>
      <c r="F3299" s="64">
        <v>588.70000000000005</v>
      </c>
    </row>
    <row r="3300" spans="1:6" x14ac:dyDescent="0.25">
      <c r="D3300" s="94" t="s">
        <v>3344</v>
      </c>
    </row>
    <row r="3301" spans="1:6" x14ac:dyDescent="0.25">
      <c r="D3301" s="94" t="s">
        <v>3345</v>
      </c>
    </row>
    <row r="3302" spans="1:6" x14ac:dyDescent="0.25">
      <c r="A3302" s="62" t="s">
        <v>4398</v>
      </c>
      <c r="B3302" s="96">
        <v>460101</v>
      </c>
      <c r="C3302" s="96" t="str">
        <f t="shared" ref="C3302:C3310" si="316">A3302&amp;B3302</f>
        <v>CPOS460101</v>
      </c>
      <c r="D3302" s="95" t="s">
        <v>3346</v>
      </c>
      <c r="E3302" s="63" t="s">
        <v>110</v>
      </c>
      <c r="F3302" s="64">
        <v>17.190000000000001</v>
      </c>
    </row>
    <row r="3303" spans="1:6" x14ac:dyDescent="0.25">
      <c r="A3303" s="62" t="s">
        <v>4398</v>
      </c>
      <c r="B3303" s="96">
        <v>460102</v>
      </c>
      <c r="C3303" s="96" t="str">
        <f t="shared" si="316"/>
        <v>CPOS460102</v>
      </c>
      <c r="D3303" s="95" t="s">
        <v>3347</v>
      </c>
      <c r="E3303" s="63" t="s">
        <v>110</v>
      </c>
      <c r="F3303" s="64">
        <v>17.97</v>
      </c>
    </row>
    <row r="3304" spans="1:6" x14ac:dyDescent="0.25">
      <c r="A3304" s="62" t="s">
        <v>4398</v>
      </c>
      <c r="B3304" s="96">
        <v>460103</v>
      </c>
      <c r="C3304" s="96" t="str">
        <f t="shared" si="316"/>
        <v>CPOS460103</v>
      </c>
      <c r="D3304" s="95" t="s">
        <v>3348</v>
      </c>
      <c r="E3304" s="63" t="s">
        <v>110</v>
      </c>
      <c r="F3304" s="64">
        <v>22.54</v>
      </c>
    </row>
    <row r="3305" spans="1:6" x14ac:dyDescent="0.25">
      <c r="A3305" s="62" t="s">
        <v>4398</v>
      </c>
      <c r="B3305" s="96">
        <v>460104</v>
      </c>
      <c r="C3305" s="96" t="str">
        <f t="shared" si="316"/>
        <v>CPOS460104</v>
      </c>
      <c r="D3305" s="95" t="s">
        <v>3349</v>
      </c>
      <c r="E3305" s="63" t="s">
        <v>110</v>
      </c>
      <c r="F3305" s="64">
        <v>26.53</v>
      </c>
    </row>
    <row r="3306" spans="1:6" x14ac:dyDescent="0.25">
      <c r="A3306" s="62" t="s">
        <v>4398</v>
      </c>
      <c r="B3306" s="96">
        <v>460105</v>
      </c>
      <c r="C3306" s="96" t="str">
        <f t="shared" si="316"/>
        <v>CPOS460105</v>
      </c>
      <c r="D3306" s="95" t="s">
        <v>3350</v>
      </c>
      <c r="E3306" s="63" t="s">
        <v>110</v>
      </c>
      <c r="F3306" s="64">
        <v>30.27</v>
      </c>
    </row>
    <row r="3307" spans="1:6" x14ac:dyDescent="0.25">
      <c r="A3307" s="62" t="s">
        <v>4398</v>
      </c>
      <c r="B3307" s="96">
        <v>460106</v>
      </c>
      <c r="C3307" s="96" t="str">
        <f t="shared" si="316"/>
        <v>CPOS460106</v>
      </c>
      <c r="D3307" s="95" t="s">
        <v>3351</v>
      </c>
      <c r="E3307" s="63" t="s">
        <v>110</v>
      </c>
      <c r="F3307" s="64">
        <v>40.96</v>
      </c>
    </row>
    <row r="3308" spans="1:6" x14ac:dyDescent="0.25">
      <c r="A3308" s="62" t="s">
        <v>4398</v>
      </c>
      <c r="B3308" s="96">
        <v>460107</v>
      </c>
      <c r="C3308" s="96" t="str">
        <f t="shared" si="316"/>
        <v>CPOS460107</v>
      </c>
      <c r="D3308" s="95" t="s">
        <v>3352</v>
      </c>
      <c r="E3308" s="63" t="s">
        <v>110</v>
      </c>
      <c r="F3308" s="64">
        <v>57.57</v>
      </c>
    </row>
    <row r="3309" spans="1:6" x14ac:dyDescent="0.25">
      <c r="A3309" s="62" t="s">
        <v>4398</v>
      </c>
      <c r="B3309" s="96">
        <v>460108</v>
      </c>
      <c r="C3309" s="96" t="str">
        <f t="shared" si="316"/>
        <v>CPOS460108</v>
      </c>
      <c r="D3309" s="95" t="s">
        <v>3353</v>
      </c>
      <c r="E3309" s="63" t="s">
        <v>110</v>
      </c>
      <c r="F3309" s="64">
        <v>65.83</v>
      </c>
    </row>
    <row r="3310" spans="1:6" x14ac:dyDescent="0.25">
      <c r="A3310" s="62" t="s">
        <v>4398</v>
      </c>
      <c r="B3310" s="96">
        <v>460109</v>
      </c>
      <c r="C3310" s="96" t="str">
        <f t="shared" si="316"/>
        <v>CPOS460109</v>
      </c>
      <c r="D3310" s="95" t="s">
        <v>3354</v>
      </c>
      <c r="E3310" s="63" t="s">
        <v>110</v>
      </c>
      <c r="F3310" s="64">
        <v>102.56</v>
      </c>
    </row>
    <row r="3311" spans="1:6" x14ac:dyDescent="0.25">
      <c r="D3311" s="94" t="s">
        <v>3355</v>
      </c>
    </row>
    <row r="3312" spans="1:6" ht="30" x14ac:dyDescent="0.25">
      <c r="A3312" s="62" t="s">
        <v>4398</v>
      </c>
      <c r="B3312" s="96">
        <v>460201</v>
      </c>
      <c r="C3312" s="96" t="str">
        <f t="shared" ref="C3312:C3315" si="317">A3312&amp;B3312</f>
        <v>CPOS460201</v>
      </c>
      <c r="D3312" s="95" t="s">
        <v>3356</v>
      </c>
      <c r="E3312" s="63" t="s">
        <v>110</v>
      </c>
      <c r="F3312" s="64">
        <v>20.7</v>
      </c>
    </row>
    <row r="3313" spans="1:6" ht="30" x14ac:dyDescent="0.25">
      <c r="A3313" s="62" t="s">
        <v>4398</v>
      </c>
      <c r="B3313" s="96">
        <v>460205</v>
      </c>
      <c r="C3313" s="96" t="str">
        <f t="shared" si="317"/>
        <v>CPOS460205</v>
      </c>
      <c r="D3313" s="95" t="s">
        <v>3357</v>
      </c>
      <c r="E3313" s="63" t="s">
        <v>110</v>
      </c>
      <c r="F3313" s="64">
        <v>26.490000000000002</v>
      </c>
    </row>
    <row r="3314" spans="1:6" ht="30" x14ac:dyDescent="0.25">
      <c r="A3314" s="62" t="s">
        <v>4398</v>
      </c>
      <c r="B3314" s="96">
        <v>460206</v>
      </c>
      <c r="C3314" s="96" t="str">
        <f t="shared" si="317"/>
        <v>CPOS460206</v>
      </c>
      <c r="D3314" s="95" t="s">
        <v>3358</v>
      </c>
      <c r="E3314" s="63" t="s">
        <v>110</v>
      </c>
      <c r="F3314" s="64">
        <v>40.33</v>
      </c>
    </row>
    <row r="3315" spans="1:6" ht="30" x14ac:dyDescent="0.25">
      <c r="A3315" s="62" t="s">
        <v>4398</v>
      </c>
      <c r="B3315" s="96">
        <v>460207</v>
      </c>
      <c r="C3315" s="96" t="str">
        <f t="shared" si="317"/>
        <v>CPOS460207</v>
      </c>
      <c r="D3315" s="95" t="s">
        <v>3359</v>
      </c>
      <c r="E3315" s="63" t="s">
        <v>110</v>
      </c>
      <c r="F3315" s="64">
        <v>45.14</v>
      </c>
    </row>
    <row r="3316" spans="1:6" x14ac:dyDescent="0.25">
      <c r="D3316" s="94" t="s">
        <v>3360</v>
      </c>
    </row>
    <row r="3317" spans="1:6" ht="30" x14ac:dyDescent="0.25">
      <c r="A3317" s="62" t="s">
        <v>4398</v>
      </c>
      <c r="B3317" s="96">
        <v>460304</v>
      </c>
      <c r="C3317" s="96" t="str">
        <f t="shared" ref="C3317:C3321" si="318">A3317&amp;B3317</f>
        <v>CPOS460304</v>
      </c>
      <c r="D3317" s="95" t="s">
        <v>3361</v>
      </c>
      <c r="E3317" s="63" t="s">
        <v>110</v>
      </c>
      <c r="F3317" s="64">
        <v>42.230000000000004</v>
      </c>
    </row>
    <row r="3318" spans="1:6" ht="30" x14ac:dyDescent="0.25">
      <c r="A3318" s="62" t="s">
        <v>4398</v>
      </c>
      <c r="B3318" s="96">
        <v>460305</v>
      </c>
      <c r="C3318" s="96" t="str">
        <f t="shared" si="318"/>
        <v>CPOS460305</v>
      </c>
      <c r="D3318" s="95" t="s">
        <v>3362</v>
      </c>
      <c r="E3318" s="63" t="s">
        <v>110</v>
      </c>
      <c r="F3318" s="64">
        <v>54.660000000000004</v>
      </c>
    </row>
    <row r="3319" spans="1:6" ht="30" x14ac:dyDescent="0.25">
      <c r="A3319" s="62" t="s">
        <v>4398</v>
      </c>
      <c r="B3319" s="96">
        <v>460306</v>
      </c>
      <c r="C3319" s="96" t="str">
        <f t="shared" si="318"/>
        <v>CPOS460306</v>
      </c>
      <c r="D3319" s="95" t="s">
        <v>3363</v>
      </c>
      <c r="E3319" s="63" t="s">
        <v>110</v>
      </c>
      <c r="F3319" s="64">
        <v>82.22</v>
      </c>
    </row>
    <row r="3320" spans="1:6" ht="30" x14ac:dyDescent="0.25">
      <c r="A3320" s="62" t="s">
        <v>4398</v>
      </c>
      <c r="B3320" s="96">
        <v>460308</v>
      </c>
      <c r="C3320" s="96" t="str">
        <f t="shared" si="318"/>
        <v>CPOS460308</v>
      </c>
      <c r="D3320" s="95" t="s">
        <v>3364</v>
      </c>
      <c r="E3320" s="63" t="s">
        <v>110</v>
      </c>
      <c r="F3320" s="64">
        <v>24.060000000000002</v>
      </c>
    </row>
    <row r="3321" spans="1:6" ht="30" x14ac:dyDescent="0.25">
      <c r="A3321" s="62" t="s">
        <v>4398</v>
      </c>
      <c r="B3321" s="96">
        <v>460309</v>
      </c>
      <c r="C3321" s="96" t="str">
        <f t="shared" si="318"/>
        <v>CPOS460309</v>
      </c>
      <c r="D3321" s="95" t="s">
        <v>3365</v>
      </c>
      <c r="E3321" s="63" t="s">
        <v>110</v>
      </c>
      <c r="F3321" s="64">
        <v>28.51</v>
      </c>
    </row>
    <row r="3322" spans="1:6" x14ac:dyDescent="0.25">
      <c r="D3322" s="94" t="s">
        <v>3366</v>
      </c>
    </row>
    <row r="3323" spans="1:6" x14ac:dyDescent="0.25">
      <c r="A3323" s="62" t="s">
        <v>4398</v>
      </c>
      <c r="B3323" s="96">
        <v>460401</v>
      </c>
      <c r="C3323" s="96" t="str">
        <f t="shared" ref="C3323:C3330" si="319">A3323&amp;B3323</f>
        <v>CPOS460401</v>
      </c>
      <c r="D3323" s="95" t="s">
        <v>3367</v>
      </c>
      <c r="E3323" s="63" t="s">
        <v>110</v>
      </c>
      <c r="F3323" s="64">
        <v>19.2</v>
      </c>
    </row>
    <row r="3324" spans="1:6" x14ac:dyDescent="0.25">
      <c r="A3324" s="62" t="s">
        <v>4398</v>
      </c>
      <c r="B3324" s="96">
        <v>460402</v>
      </c>
      <c r="C3324" s="96" t="str">
        <f t="shared" si="319"/>
        <v>CPOS460402</v>
      </c>
      <c r="D3324" s="95" t="s">
        <v>3368</v>
      </c>
      <c r="E3324" s="63" t="s">
        <v>110</v>
      </c>
      <c r="F3324" s="64">
        <v>27.310000000000002</v>
      </c>
    </row>
    <row r="3325" spans="1:6" ht="30" x14ac:dyDescent="0.25">
      <c r="A3325" s="62" t="s">
        <v>4398</v>
      </c>
      <c r="B3325" s="96">
        <v>460403</v>
      </c>
      <c r="C3325" s="96" t="str">
        <f t="shared" si="319"/>
        <v>CPOS460403</v>
      </c>
      <c r="D3325" s="95" t="s">
        <v>3369</v>
      </c>
      <c r="E3325" s="63" t="s">
        <v>110</v>
      </c>
      <c r="F3325" s="64">
        <v>43.550000000000004</v>
      </c>
    </row>
    <row r="3326" spans="1:6" x14ac:dyDescent="0.25">
      <c r="A3326" s="62" t="s">
        <v>4398</v>
      </c>
      <c r="B3326" s="96">
        <v>460404</v>
      </c>
      <c r="C3326" s="96" t="str">
        <f t="shared" si="319"/>
        <v>CPOS460404</v>
      </c>
      <c r="D3326" s="95" t="s">
        <v>3370</v>
      </c>
      <c r="E3326" s="63" t="s">
        <v>110</v>
      </c>
      <c r="F3326" s="64">
        <v>45.71</v>
      </c>
    </row>
    <row r="3327" spans="1:6" x14ac:dyDescent="0.25">
      <c r="A3327" s="62" t="s">
        <v>4398</v>
      </c>
      <c r="B3327" s="96">
        <v>460405</v>
      </c>
      <c r="C3327" s="96" t="str">
        <f t="shared" si="319"/>
        <v>CPOS460405</v>
      </c>
      <c r="D3327" s="95" t="s">
        <v>3371</v>
      </c>
      <c r="E3327" s="63" t="s">
        <v>110</v>
      </c>
      <c r="F3327" s="64">
        <v>82.44</v>
      </c>
    </row>
    <row r="3328" spans="1:6" x14ac:dyDescent="0.25">
      <c r="A3328" s="62" t="s">
        <v>4398</v>
      </c>
      <c r="B3328" s="96">
        <v>460407</v>
      </c>
      <c r="C3328" s="96" t="str">
        <f t="shared" si="319"/>
        <v>CPOS460407</v>
      </c>
      <c r="D3328" s="95" t="s">
        <v>3372</v>
      </c>
      <c r="E3328" s="63" t="s">
        <v>110</v>
      </c>
      <c r="F3328" s="64">
        <v>135.57</v>
      </c>
    </row>
    <row r="3329" spans="1:6" x14ac:dyDescent="0.25">
      <c r="A3329" s="62" t="s">
        <v>4398</v>
      </c>
      <c r="B3329" s="96">
        <v>460408</v>
      </c>
      <c r="C3329" s="96" t="str">
        <f t="shared" si="319"/>
        <v>CPOS460408</v>
      </c>
      <c r="D3329" s="95" t="s">
        <v>3373</v>
      </c>
      <c r="E3329" s="63" t="s">
        <v>110</v>
      </c>
      <c r="F3329" s="64">
        <v>199.6</v>
      </c>
    </row>
    <row r="3330" spans="1:6" x14ac:dyDescent="0.25">
      <c r="A3330" s="62" t="s">
        <v>4398</v>
      </c>
      <c r="B3330" s="96">
        <v>460409</v>
      </c>
      <c r="C3330" s="96" t="str">
        <f t="shared" si="319"/>
        <v>CPOS460409</v>
      </c>
      <c r="D3330" s="95" t="s">
        <v>3374</v>
      </c>
      <c r="E3330" s="63" t="s">
        <v>110</v>
      </c>
      <c r="F3330" s="64">
        <v>274.89999999999998</v>
      </c>
    </row>
    <row r="3331" spans="1:6" x14ac:dyDescent="0.25">
      <c r="D3331" s="94" t="s">
        <v>3375</v>
      </c>
    </row>
    <row r="3332" spans="1:6" x14ac:dyDescent="0.25">
      <c r="A3332" s="62" t="s">
        <v>4398</v>
      </c>
      <c r="B3332" s="96">
        <v>460502</v>
      </c>
      <c r="C3332" s="96" t="str">
        <f t="shared" ref="C3332:C3338" si="320">A3332&amp;B3332</f>
        <v>CPOS460502</v>
      </c>
      <c r="D3332" s="95" t="s">
        <v>3376</v>
      </c>
      <c r="E3332" s="63" t="s">
        <v>110</v>
      </c>
      <c r="F3332" s="64">
        <v>23.21</v>
      </c>
    </row>
    <row r="3333" spans="1:6" x14ac:dyDescent="0.25">
      <c r="A3333" s="62" t="s">
        <v>4398</v>
      </c>
      <c r="B3333" s="96">
        <v>460504</v>
      </c>
      <c r="C3333" s="96" t="str">
        <f t="shared" si="320"/>
        <v>CPOS460504</v>
      </c>
      <c r="D3333" s="95" t="s">
        <v>3377</v>
      </c>
      <c r="E3333" s="63" t="s">
        <v>110</v>
      </c>
      <c r="F3333" s="64">
        <v>38.520000000000003</v>
      </c>
    </row>
    <row r="3334" spans="1:6" x14ac:dyDescent="0.25">
      <c r="A3334" s="62" t="s">
        <v>4398</v>
      </c>
      <c r="B3334" s="96">
        <v>460505</v>
      </c>
      <c r="C3334" s="96" t="str">
        <f t="shared" si="320"/>
        <v>CPOS460505</v>
      </c>
      <c r="D3334" s="95" t="s">
        <v>3378</v>
      </c>
      <c r="E3334" s="63" t="s">
        <v>110</v>
      </c>
      <c r="F3334" s="64">
        <v>65.98</v>
      </c>
    </row>
    <row r="3335" spans="1:6" x14ac:dyDescent="0.25">
      <c r="A3335" s="62" t="s">
        <v>4398</v>
      </c>
      <c r="B3335" s="96">
        <v>460506</v>
      </c>
      <c r="C3335" s="96" t="str">
        <f t="shared" si="320"/>
        <v>CPOS460506</v>
      </c>
      <c r="D3335" s="95" t="s">
        <v>3379</v>
      </c>
      <c r="E3335" s="63" t="s">
        <v>110</v>
      </c>
      <c r="F3335" s="64">
        <v>95.16</v>
      </c>
    </row>
    <row r="3336" spans="1:6" x14ac:dyDescent="0.25">
      <c r="A3336" s="62" t="s">
        <v>4398</v>
      </c>
      <c r="B3336" s="96">
        <v>460507</v>
      </c>
      <c r="C3336" s="96" t="str">
        <f t="shared" si="320"/>
        <v>CPOS460507</v>
      </c>
      <c r="D3336" s="95" t="s">
        <v>3380</v>
      </c>
      <c r="E3336" s="63" t="s">
        <v>110</v>
      </c>
      <c r="F3336" s="64">
        <v>139.47999999999999</v>
      </c>
    </row>
    <row r="3337" spans="1:6" x14ac:dyDescent="0.25">
      <c r="A3337" s="62" t="s">
        <v>4398</v>
      </c>
      <c r="B3337" s="96">
        <v>460508</v>
      </c>
      <c r="C3337" s="96" t="str">
        <f t="shared" si="320"/>
        <v>CPOS460508</v>
      </c>
      <c r="D3337" s="95" t="s">
        <v>3381</v>
      </c>
      <c r="E3337" s="63" t="s">
        <v>110</v>
      </c>
      <c r="F3337" s="64">
        <v>196.54</v>
      </c>
    </row>
    <row r="3338" spans="1:6" x14ac:dyDescent="0.25">
      <c r="A3338" s="62" t="s">
        <v>4398</v>
      </c>
      <c r="B3338" s="96">
        <v>460509</v>
      </c>
      <c r="C3338" s="96" t="str">
        <f t="shared" si="320"/>
        <v>CPOS460509</v>
      </c>
      <c r="D3338" s="95" t="s">
        <v>3382</v>
      </c>
      <c r="E3338" s="63" t="s">
        <v>110</v>
      </c>
      <c r="F3338" s="64">
        <v>214.51</v>
      </c>
    </row>
    <row r="3339" spans="1:6" x14ac:dyDescent="0.25">
      <c r="D3339" s="94" t="s">
        <v>3383</v>
      </c>
    </row>
    <row r="3340" spans="1:6" x14ac:dyDescent="0.25">
      <c r="A3340" s="62" t="s">
        <v>4398</v>
      </c>
      <c r="B3340" s="96">
        <v>460701</v>
      </c>
      <c r="C3340" s="96" t="str">
        <f t="shared" ref="C3340:C3349" si="321">A3340&amp;B3340</f>
        <v>CPOS460701</v>
      </c>
      <c r="D3340" s="95" t="s">
        <v>3384</v>
      </c>
      <c r="E3340" s="63" t="s">
        <v>110</v>
      </c>
      <c r="F3340" s="64">
        <v>43.53</v>
      </c>
    </row>
    <row r="3341" spans="1:6" x14ac:dyDescent="0.25">
      <c r="A3341" s="62" t="s">
        <v>4398</v>
      </c>
      <c r="B3341" s="96">
        <v>460702</v>
      </c>
      <c r="C3341" s="96" t="str">
        <f t="shared" si="321"/>
        <v>CPOS460702</v>
      </c>
      <c r="D3341" s="95" t="s">
        <v>3385</v>
      </c>
      <c r="E3341" s="63" t="s">
        <v>110</v>
      </c>
      <c r="F3341" s="64">
        <v>49.54</v>
      </c>
    </row>
    <row r="3342" spans="1:6" x14ac:dyDescent="0.25">
      <c r="A3342" s="62" t="s">
        <v>4398</v>
      </c>
      <c r="B3342" s="96">
        <v>460703</v>
      </c>
      <c r="C3342" s="96" t="str">
        <f t="shared" si="321"/>
        <v>CPOS460703</v>
      </c>
      <c r="D3342" s="95" t="s">
        <v>3386</v>
      </c>
      <c r="E3342" s="63" t="s">
        <v>110</v>
      </c>
      <c r="F3342" s="64">
        <v>63.45</v>
      </c>
    </row>
    <row r="3343" spans="1:6" x14ac:dyDescent="0.25">
      <c r="A3343" s="62" t="s">
        <v>4398</v>
      </c>
      <c r="B3343" s="96">
        <v>460704</v>
      </c>
      <c r="C3343" s="96" t="str">
        <f t="shared" si="321"/>
        <v>CPOS460704</v>
      </c>
      <c r="D3343" s="95" t="s">
        <v>3387</v>
      </c>
      <c r="E3343" s="63" t="s">
        <v>110</v>
      </c>
      <c r="F3343" s="64">
        <v>74.010000000000005</v>
      </c>
    </row>
    <row r="3344" spans="1:6" x14ac:dyDescent="0.25">
      <c r="A3344" s="62" t="s">
        <v>4398</v>
      </c>
      <c r="B3344" s="96">
        <v>460705</v>
      </c>
      <c r="C3344" s="96" t="str">
        <f t="shared" si="321"/>
        <v>CPOS460705</v>
      </c>
      <c r="D3344" s="95" t="s">
        <v>3388</v>
      </c>
      <c r="E3344" s="63" t="s">
        <v>110</v>
      </c>
      <c r="F3344" s="64">
        <v>82.15</v>
      </c>
    </row>
    <row r="3345" spans="1:6" x14ac:dyDescent="0.25">
      <c r="A3345" s="62" t="s">
        <v>4398</v>
      </c>
      <c r="B3345" s="96">
        <v>460706</v>
      </c>
      <c r="C3345" s="96" t="str">
        <f t="shared" si="321"/>
        <v>CPOS460706</v>
      </c>
      <c r="D3345" s="95" t="s">
        <v>3389</v>
      </c>
      <c r="E3345" s="63" t="s">
        <v>110</v>
      </c>
      <c r="F3345" s="64">
        <v>102.88</v>
      </c>
    </row>
    <row r="3346" spans="1:6" x14ac:dyDescent="0.25">
      <c r="A3346" s="62" t="s">
        <v>4398</v>
      </c>
      <c r="B3346" s="96">
        <v>460707</v>
      </c>
      <c r="C3346" s="96" t="str">
        <f t="shared" si="321"/>
        <v>CPOS460707</v>
      </c>
      <c r="D3346" s="95" t="s">
        <v>3390</v>
      </c>
      <c r="E3346" s="63" t="s">
        <v>110</v>
      </c>
      <c r="F3346" s="64">
        <v>123.19</v>
      </c>
    </row>
    <row r="3347" spans="1:6" x14ac:dyDescent="0.25">
      <c r="A3347" s="62" t="s">
        <v>4398</v>
      </c>
      <c r="B3347" s="96">
        <v>460708</v>
      </c>
      <c r="C3347" s="96" t="str">
        <f t="shared" si="321"/>
        <v>CPOS460708</v>
      </c>
      <c r="D3347" s="95" t="s">
        <v>3391</v>
      </c>
      <c r="E3347" s="63" t="s">
        <v>110</v>
      </c>
      <c r="F3347" s="64">
        <v>140.97</v>
      </c>
    </row>
    <row r="3348" spans="1:6" x14ac:dyDescent="0.25">
      <c r="A3348" s="62" t="s">
        <v>4398</v>
      </c>
      <c r="B3348" s="96">
        <v>460709</v>
      </c>
      <c r="C3348" s="96" t="str">
        <f t="shared" si="321"/>
        <v>CPOS460709</v>
      </c>
      <c r="D3348" s="95" t="s">
        <v>3392</v>
      </c>
      <c r="E3348" s="63" t="s">
        <v>110</v>
      </c>
      <c r="F3348" s="64">
        <v>183.02</v>
      </c>
    </row>
    <row r="3349" spans="1:6" x14ac:dyDescent="0.25">
      <c r="A3349" s="62" t="s">
        <v>4398</v>
      </c>
      <c r="B3349" s="96">
        <v>460710</v>
      </c>
      <c r="C3349" s="96" t="str">
        <f t="shared" si="321"/>
        <v>CPOS460710</v>
      </c>
      <c r="D3349" s="95" t="s">
        <v>3393</v>
      </c>
      <c r="E3349" s="63" t="s">
        <v>110</v>
      </c>
      <c r="F3349" s="64">
        <v>245.72</v>
      </c>
    </row>
    <row r="3350" spans="1:6" x14ac:dyDescent="0.25">
      <c r="D3350" s="94" t="s">
        <v>3394</v>
      </c>
    </row>
    <row r="3351" spans="1:6" x14ac:dyDescent="0.25">
      <c r="A3351" s="62" t="s">
        <v>4398</v>
      </c>
      <c r="B3351" s="96">
        <v>460801</v>
      </c>
      <c r="C3351" s="96" t="str">
        <f t="shared" ref="C3351:C3360" si="322">A3351&amp;B3351</f>
        <v>CPOS460801</v>
      </c>
      <c r="D3351" s="95" t="s">
        <v>3395</v>
      </c>
      <c r="E3351" s="63" t="s">
        <v>110</v>
      </c>
      <c r="F3351" s="64">
        <v>64.709999999999994</v>
      </c>
    </row>
    <row r="3352" spans="1:6" x14ac:dyDescent="0.25">
      <c r="A3352" s="62" t="s">
        <v>4398</v>
      </c>
      <c r="B3352" s="96">
        <v>460802</v>
      </c>
      <c r="C3352" s="96" t="str">
        <f t="shared" si="322"/>
        <v>CPOS460802</v>
      </c>
      <c r="D3352" s="95" t="s">
        <v>3396</v>
      </c>
      <c r="E3352" s="63" t="s">
        <v>110</v>
      </c>
      <c r="F3352" s="64">
        <v>71.59</v>
      </c>
    </row>
    <row r="3353" spans="1:6" x14ac:dyDescent="0.25">
      <c r="A3353" s="62" t="s">
        <v>4398</v>
      </c>
      <c r="B3353" s="96">
        <v>460803</v>
      </c>
      <c r="C3353" s="96" t="str">
        <f t="shared" si="322"/>
        <v>CPOS460803</v>
      </c>
      <c r="D3353" s="95" t="s">
        <v>3397</v>
      </c>
      <c r="E3353" s="63" t="s">
        <v>110</v>
      </c>
      <c r="F3353" s="64">
        <v>86.28</v>
      </c>
    </row>
    <row r="3354" spans="1:6" x14ac:dyDescent="0.25">
      <c r="A3354" s="62" t="s">
        <v>4398</v>
      </c>
      <c r="B3354" s="96">
        <v>460804</v>
      </c>
      <c r="C3354" s="96" t="str">
        <f t="shared" si="322"/>
        <v>CPOS460804</v>
      </c>
      <c r="D3354" s="95" t="s">
        <v>3398</v>
      </c>
      <c r="E3354" s="63" t="s">
        <v>110</v>
      </c>
      <c r="F3354" s="64">
        <v>96.43</v>
      </c>
    </row>
    <row r="3355" spans="1:6" x14ac:dyDescent="0.25">
      <c r="A3355" s="62" t="s">
        <v>4398</v>
      </c>
      <c r="B3355" s="96">
        <v>460805</v>
      </c>
      <c r="C3355" s="96" t="str">
        <f t="shared" si="322"/>
        <v>CPOS460805</v>
      </c>
      <c r="D3355" s="95" t="s">
        <v>3399</v>
      </c>
      <c r="E3355" s="63" t="s">
        <v>110</v>
      </c>
      <c r="F3355" s="64">
        <v>114.21000000000001</v>
      </c>
    </row>
    <row r="3356" spans="1:6" x14ac:dyDescent="0.25">
      <c r="A3356" s="62" t="s">
        <v>4398</v>
      </c>
      <c r="B3356" s="96">
        <v>460806</v>
      </c>
      <c r="C3356" s="96" t="str">
        <f t="shared" si="322"/>
        <v>CPOS460806</v>
      </c>
      <c r="D3356" s="95" t="s">
        <v>3400</v>
      </c>
      <c r="E3356" s="63" t="s">
        <v>110</v>
      </c>
      <c r="F3356" s="64">
        <v>55.660000000000004</v>
      </c>
    </row>
    <row r="3357" spans="1:6" x14ac:dyDescent="0.25">
      <c r="A3357" s="62" t="s">
        <v>4398</v>
      </c>
      <c r="B3357" s="96">
        <v>460807</v>
      </c>
      <c r="C3357" s="96" t="str">
        <f t="shared" si="322"/>
        <v>CPOS460807</v>
      </c>
      <c r="D3357" s="95" t="s">
        <v>3401</v>
      </c>
      <c r="E3357" s="63" t="s">
        <v>110</v>
      </c>
      <c r="F3357" s="64">
        <v>162.52000000000001</v>
      </c>
    </row>
    <row r="3358" spans="1:6" x14ac:dyDescent="0.25">
      <c r="A3358" s="62" t="s">
        <v>4398</v>
      </c>
      <c r="B3358" s="96">
        <v>460808</v>
      </c>
      <c r="C3358" s="96" t="str">
        <f t="shared" si="322"/>
        <v>CPOS460808</v>
      </c>
      <c r="D3358" s="95" t="s">
        <v>3402</v>
      </c>
      <c r="E3358" s="63" t="s">
        <v>110</v>
      </c>
      <c r="F3358" s="64">
        <v>189.33</v>
      </c>
    </row>
    <row r="3359" spans="1:6" x14ac:dyDescent="0.25">
      <c r="A3359" s="62" t="s">
        <v>4398</v>
      </c>
      <c r="B3359" s="96">
        <v>460810</v>
      </c>
      <c r="C3359" s="96" t="str">
        <f t="shared" si="322"/>
        <v>CPOS460810</v>
      </c>
      <c r="D3359" s="95" t="s">
        <v>3403</v>
      </c>
      <c r="E3359" s="63" t="s">
        <v>110</v>
      </c>
      <c r="F3359" s="64">
        <v>240.47</v>
      </c>
    </row>
    <row r="3360" spans="1:6" x14ac:dyDescent="0.25">
      <c r="A3360" s="62" t="s">
        <v>4398</v>
      </c>
      <c r="B3360" s="96">
        <v>460811</v>
      </c>
      <c r="C3360" s="96" t="str">
        <f t="shared" si="322"/>
        <v>CPOS460811</v>
      </c>
      <c r="D3360" s="95" t="s">
        <v>3404</v>
      </c>
      <c r="E3360" s="63" t="s">
        <v>110</v>
      </c>
      <c r="F3360" s="64">
        <v>377.88</v>
      </c>
    </row>
    <row r="3361" spans="1:6" x14ac:dyDescent="0.25">
      <c r="D3361" s="94" t="s">
        <v>3405</v>
      </c>
    </row>
    <row r="3362" spans="1:6" x14ac:dyDescent="0.25">
      <c r="A3362" s="62" t="s">
        <v>4398</v>
      </c>
      <c r="B3362" s="96">
        <v>460905</v>
      </c>
      <c r="C3362" s="96" t="str">
        <f t="shared" ref="C3362:C3392" si="323">A3362&amp;B3362</f>
        <v>CPOS460905</v>
      </c>
      <c r="D3362" s="95" t="s">
        <v>3406</v>
      </c>
      <c r="E3362" s="63" t="s">
        <v>58</v>
      </c>
      <c r="F3362" s="64">
        <v>52.99</v>
      </c>
    </row>
    <row r="3363" spans="1:6" x14ac:dyDescent="0.25">
      <c r="A3363" s="62" t="s">
        <v>4398</v>
      </c>
      <c r="B3363" s="96">
        <v>460906</v>
      </c>
      <c r="C3363" s="96" t="str">
        <f t="shared" si="323"/>
        <v>CPOS460906</v>
      </c>
      <c r="D3363" s="95" t="s">
        <v>3407</v>
      </c>
      <c r="E3363" s="63" t="s">
        <v>58</v>
      </c>
      <c r="F3363" s="64">
        <v>68.64</v>
      </c>
    </row>
    <row r="3364" spans="1:6" x14ac:dyDescent="0.25">
      <c r="A3364" s="62" t="s">
        <v>4398</v>
      </c>
      <c r="B3364" s="96">
        <v>460907</v>
      </c>
      <c r="C3364" s="96" t="str">
        <f t="shared" si="323"/>
        <v>CPOS460907</v>
      </c>
      <c r="D3364" s="95" t="s">
        <v>3408</v>
      </c>
      <c r="E3364" s="63" t="s">
        <v>58</v>
      </c>
      <c r="F3364" s="64">
        <v>88.26</v>
      </c>
    </row>
    <row r="3365" spans="1:6" x14ac:dyDescent="0.25">
      <c r="A3365" s="62" t="s">
        <v>4398</v>
      </c>
      <c r="B3365" s="96">
        <v>460908</v>
      </c>
      <c r="C3365" s="96" t="str">
        <f t="shared" si="323"/>
        <v>CPOS460908</v>
      </c>
      <c r="D3365" s="95" t="s">
        <v>3409</v>
      </c>
      <c r="E3365" s="63" t="s">
        <v>58</v>
      </c>
      <c r="F3365" s="64">
        <v>144.4</v>
      </c>
    </row>
    <row r="3366" spans="1:6" x14ac:dyDescent="0.25">
      <c r="A3366" s="62" t="s">
        <v>4398</v>
      </c>
      <c r="B3366" s="96">
        <v>460910</v>
      </c>
      <c r="C3366" s="96" t="str">
        <f t="shared" si="323"/>
        <v>CPOS460910</v>
      </c>
      <c r="D3366" s="95" t="s">
        <v>3410</v>
      </c>
      <c r="E3366" s="63" t="s">
        <v>58</v>
      </c>
      <c r="F3366" s="64">
        <v>68.319999999999993</v>
      </c>
    </row>
    <row r="3367" spans="1:6" x14ac:dyDescent="0.25">
      <c r="A3367" s="62" t="s">
        <v>4398</v>
      </c>
      <c r="B3367" s="96">
        <v>460911</v>
      </c>
      <c r="C3367" s="96" t="str">
        <f t="shared" si="323"/>
        <v>CPOS460911</v>
      </c>
      <c r="D3367" s="95" t="s">
        <v>3411</v>
      </c>
      <c r="E3367" s="63" t="s">
        <v>58</v>
      </c>
      <c r="F3367" s="64">
        <v>88.73</v>
      </c>
    </row>
    <row r="3368" spans="1:6" x14ac:dyDescent="0.25">
      <c r="A3368" s="62" t="s">
        <v>4398</v>
      </c>
      <c r="B3368" s="96">
        <v>460912</v>
      </c>
      <c r="C3368" s="96" t="str">
        <f t="shared" si="323"/>
        <v>CPOS460912</v>
      </c>
      <c r="D3368" s="95" t="s">
        <v>3412</v>
      </c>
      <c r="E3368" s="63" t="s">
        <v>58</v>
      </c>
      <c r="F3368" s="64">
        <v>123.41</v>
      </c>
    </row>
    <row r="3369" spans="1:6" x14ac:dyDescent="0.25">
      <c r="A3369" s="62" t="s">
        <v>4398</v>
      </c>
      <c r="B3369" s="96">
        <v>460913</v>
      </c>
      <c r="C3369" s="96" t="str">
        <f t="shared" si="323"/>
        <v>CPOS460913</v>
      </c>
      <c r="D3369" s="95" t="s">
        <v>3413</v>
      </c>
      <c r="E3369" s="63" t="s">
        <v>58</v>
      </c>
      <c r="F3369" s="64">
        <v>201.68</v>
      </c>
    </row>
    <row r="3370" spans="1:6" x14ac:dyDescent="0.25">
      <c r="A3370" s="62" t="s">
        <v>4398</v>
      </c>
      <c r="B3370" s="96">
        <v>460915</v>
      </c>
      <c r="C3370" s="96" t="str">
        <f t="shared" si="323"/>
        <v>CPOS460915</v>
      </c>
      <c r="D3370" s="95" t="s">
        <v>3414</v>
      </c>
      <c r="E3370" s="63" t="s">
        <v>58</v>
      </c>
      <c r="F3370" s="64">
        <v>50.370000000000005</v>
      </c>
    </row>
    <row r="3371" spans="1:6" x14ac:dyDescent="0.25">
      <c r="A3371" s="62" t="s">
        <v>4398</v>
      </c>
      <c r="B3371" s="96">
        <v>460916</v>
      </c>
      <c r="C3371" s="96" t="str">
        <f t="shared" si="323"/>
        <v>CPOS460916</v>
      </c>
      <c r="D3371" s="95" t="s">
        <v>3415</v>
      </c>
      <c r="E3371" s="63" t="s">
        <v>58</v>
      </c>
      <c r="F3371" s="64">
        <v>57.45</v>
      </c>
    </row>
    <row r="3372" spans="1:6" x14ac:dyDescent="0.25">
      <c r="A3372" s="62" t="s">
        <v>4398</v>
      </c>
      <c r="B3372" s="96">
        <v>460917</v>
      </c>
      <c r="C3372" s="96" t="str">
        <f t="shared" si="323"/>
        <v>CPOS460917</v>
      </c>
      <c r="D3372" s="95" t="s">
        <v>3416</v>
      </c>
      <c r="E3372" s="63" t="s">
        <v>58</v>
      </c>
      <c r="F3372" s="64">
        <v>75.22</v>
      </c>
    </row>
    <row r="3373" spans="1:6" x14ac:dyDescent="0.25">
      <c r="A3373" s="62" t="s">
        <v>4398</v>
      </c>
      <c r="B3373" s="96">
        <v>460918</v>
      </c>
      <c r="C3373" s="96" t="str">
        <f t="shared" si="323"/>
        <v>CPOS460918</v>
      </c>
      <c r="D3373" s="95" t="s">
        <v>3417</v>
      </c>
      <c r="E3373" s="63" t="s">
        <v>58</v>
      </c>
      <c r="F3373" s="64">
        <v>97.87</v>
      </c>
    </row>
    <row r="3374" spans="1:6" x14ac:dyDescent="0.25">
      <c r="A3374" s="62" t="s">
        <v>4398</v>
      </c>
      <c r="B3374" s="96">
        <v>460920</v>
      </c>
      <c r="C3374" s="96" t="str">
        <f t="shared" si="323"/>
        <v>CPOS460920</v>
      </c>
      <c r="D3374" s="95" t="s">
        <v>3418</v>
      </c>
      <c r="E3374" s="63" t="s">
        <v>58</v>
      </c>
      <c r="F3374" s="64">
        <v>37.14</v>
      </c>
    </row>
    <row r="3375" spans="1:6" x14ac:dyDescent="0.25">
      <c r="A3375" s="62" t="s">
        <v>4398</v>
      </c>
      <c r="B3375" s="96">
        <v>460921</v>
      </c>
      <c r="C3375" s="96" t="str">
        <f t="shared" si="323"/>
        <v>CPOS460921</v>
      </c>
      <c r="D3375" s="95" t="s">
        <v>3419</v>
      </c>
      <c r="E3375" s="63" t="s">
        <v>58</v>
      </c>
      <c r="F3375" s="64">
        <v>44.54</v>
      </c>
    </row>
    <row r="3376" spans="1:6" x14ac:dyDescent="0.25">
      <c r="A3376" s="62" t="s">
        <v>4398</v>
      </c>
      <c r="B3376" s="96">
        <v>460923</v>
      </c>
      <c r="C3376" s="96" t="str">
        <f t="shared" si="323"/>
        <v>CPOS460923</v>
      </c>
      <c r="D3376" s="95" t="s">
        <v>3420</v>
      </c>
      <c r="E3376" s="63" t="s">
        <v>58</v>
      </c>
      <c r="F3376" s="64">
        <v>85.22</v>
      </c>
    </row>
    <row r="3377" spans="1:6" x14ac:dyDescent="0.25">
      <c r="A3377" s="62" t="s">
        <v>4398</v>
      </c>
      <c r="B3377" s="96">
        <v>460924</v>
      </c>
      <c r="C3377" s="96" t="str">
        <f t="shared" si="323"/>
        <v>CPOS460924</v>
      </c>
      <c r="D3377" s="95" t="s">
        <v>3421</v>
      </c>
      <c r="E3377" s="63" t="s">
        <v>58</v>
      </c>
      <c r="F3377" s="64">
        <v>113.62</v>
      </c>
    </row>
    <row r="3378" spans="1:6" x14ac:dyDescent="0.25">
      <c r="A3378" s="62" t="s">
        <v>4398</v>
      </c>
      <c r="B3378" s="96">
        <v>460925</v>
      </c>
      <c r="C3378" s="96" t="str">
        <f t="shared" si="323"/>
        <v>CPOS460925</v>
      </c>
      <c r="D3378" s="95" t="s">
        <v>3422</v>
      </c>
      <c r="E3378" s="63" t="s">
        <v>58</v>
      </c>
      <c r="F3378" s="64">
        <v>122.91</v>
      </c>
    </row>
    <row r="3379" spans="1:6" x14ac:dyDescent="0.25">
      <c r="A3379" s="62" t="s">
        <v>4398</v>
      </c>
      <c r="B3379" s="96">
        <v>460926</v>
      </c>
      <c r="C3379" s="96" t="str">
        <f t="shared" si="323"/>
        <v>CPOS460926</v>
      </c>
      <c r="D3379" s="95" t="s">
        <v>3423</v>
      </c>
      <c r="E3379" s="63" t="s">
        <v>58</v>
      </c>
      <c r="F3379" s="64">
        <v>135.93</v>
      </c>
    </row>
    <row r="3380" spans="1:6" x14ac:dyDescent="0.25">
      <c r="A3380" s="62" t="s">
        <v>4398</v>
      </c>
      <c r="B3380" s="96">
        <v>460927</v>
      </c>
      <c r="C3380" s="96" t="str">
        <f t="shared" si="323"/>
        <v>CPOS460927</v>
      </c>
      <c r="D3380" s="95" t="s">
        <v>3424</v>
      </c>
      <c r="E3380" s="63" t="s">
        <v>58</v>
      </c>
      <c r="F3380" s="64">
        <v>147.71</v>
      </c>
    </row>
    <row r="3381" spans="1:6" x14ac:dyDescent="0.25">
      <c r="A3381" s="62" t="s">
        <v>4398</v>
      </c>
      <c r="B3381" s="96">
        <v>460928</v>
      </c>
      <c r="C3381" s="96" t="str">
        <f t="shared" si="323"/>
        <v>CPOS460928</v>
      </c>
      <c r="D3381" s="95" t="s">
        <v>3425</v>
      </c>
      <c r="E3381" s="63" t="s">
        <v>58</v>
      </c>
      <c r="F3381" s="64">
        <v>170.11</v>
      </c>
    </row>
    <row r="3382" spans="1:6" x14ac:dyDescent="0.25">
      <c r="A3382" s="62" t="s">
        <v>4398</v>
      </c>
      <c r="B3382" s="96">
        <v>460929</v>
      </c>
      <c r="C3382" s="96" t="str">
        <f t="shared" si="323"/>
        <v>CPOS460929</v>
      </c>
      <c r="D3382" s="95" t="s">
        <v>3426</v>
      </c>
      <c r="E3382" s="63" t="s">
        <v>58</v>
      </c>
      <c r="F3382" s="64">
        <v>194.05</v>
      </c>
    </row>
    <row r="3383" spans="1:6" x14ac:dyDescent="0.25">
      <c r="A3383" s="62" t="s">
        <v>4398</v>
      </c>
      <c r="B3383" s="96">
        <v>460930</v>
      </c>
      <c r="C3383" s="96" t="str">
        <f t="shared" si="323"/>
        <v>CPOS460930</v>
      </c>
      <c r="D3383" s="95" t="s">
        <v>3427</v>
      </c>
      <c r="E3383" s="63" t="s">
        <v>58</v>
      </c>
      <c r="F3383" s="64">
        <v>195.85</v>
      </c>
    </row>
    <row r="3384" spans="1:6" x14ac:dyDescent="0.25">
      <c r="A3384" s="62" t="s">
        <v>4398</v>
      </c>
      <c r="B3384" s="96">
        <v>460932</v>
      </c>
      <c r="C3384" s="96" t="str">
        <f t="shared" si="323"/>
        <v>CPOS460932</v>
      </c>
      <c r="D3384" s="95" t="s">
        <v>3428</v>
      </c>
      <c r="E3384" s="63" t="s">
        <v>58</v>
      </c>
      <c r="F3384" s="64">
        <v>77.98</v>
      </c>
    </row>
    <row r="3385" spans="1:6" x14ac:dyDescent="0.25">
      <c r="A3385" s="62" t="s">
        <v>4398</v>
      </c>
      <c r="B3385" s="96">
        <v>460933</v>
      </c>
      <c r="C3385" s="96" t="str">
        <f t="shared" si="323"/>
        <v>CPOS460933</v>
      </c>
      <c r="D3385" s="95" t="s">
        <v>3429</v>
      </c>
      <c r="E3385" s="63" t="s">
        <v>58</v>
      </c>
      <c r="F3385" s="64">
        <v>99.9</v>
      </c>
    </row>
    <row r="3386" spans="1:6" x14ac:dyDescent="0.25">
      <c r="A3386" s="62" t="s">
        <v>4398</v>
      </c>
      <c r="B3386" s="96">
        <v>460934</v>
      </c>
      <c r="C3386" s="96" t="str">
        <f t="shared" si="323"/>
        <v>CPOS460934</v>
      </c>
      <c r="D3386" s="95" t="s">
        <v>3430</v>
      </c>
      <c r="E3386" s="63" t="s">
        <v>58</v>
      </c>
      <c r="F3386" s="64">
        <v>101.63</v>
      </c>
    </row>
    <row r="3387" spans="1:6" x14ac:dyDescent="0.25">
      <c r="A3387" s="62" t="s">
        <v>4398</v>
      </c>
      <c r="B3387" s="96">
        <v>460935</v>
      </c>
      <c r="C3387" s="96" t="str">
        <f t="shared" si="323"/>
        <v>CPOS460935</v>
      </c>
      <c r="D3387" s="95" t="s">
        <v>3431</v>
      </c>
      <c r="E3387" s="63" t="s">
        <v>58</v>
      </c>
      <c r="F3387" s="64">
        <v>109.36</v>
      </c>
    </row>
    <row r="3388" spans="1:6" x14ac:dyDescent="0.25">
      <c r="A3388" s="62" t="s">
        <v>4398</v>
      </c>
      <c r="B3388" s="96">
        <v>460936</v>
      </c>
      <c r="C3388" s="96" t="str">
        <f t="shared" si="323"/>
        <v>CPOS460936</v>
      </c>
      <c r="D3388" s="95" t="s">
        <v>3432</v>
      </c>
      <c r="E3388" s="63" t="s">
        <v>58</v>
      </c>
      <c r="F3388" s="64">
        <v>122.34</v>
      </c>
    </row>
    <row r="3389" spans="1:6" x14ac:dyDescent="0.25">
      <c r="A3389" s="62" t="s">
        <v>4398</v>
      </c>
      <c r="B3389" s="96">
        <v>460937</v>
      </c>
      <c r="C3389" s="96" t="str">
        <f t="shared" si="323"/>
        <v>CPOS460937</v>
      </c>
      <c r="D3389" s="95" t="s">
        <v>3433</v>
      </c>
      <c r="E3389" s="63" t="s">
        <v>58</v>
      </c>
      <c r="F3389" s="64">
        <v>145.44</v>
      </c>
    </row>
    <row r="3390" spans="1:6" x14ac:dyDescent="0.25">
      <c r="A3390" s="62" t="s">
        <v>4398</v>
      </c>
      <c r="B3390" s="96">
        <v>460940</v>
      </c>
      <c r="C3390" s="96" t="str">
        <f t="shared" si="323"/>
        <v>CPOS460940</v>
      </c>
      <c r="D3390" s="95" t="s">
        <v>3434</v>
      </c>
      <c r="E3390" s="63" t="s">
        <v>58</v>
      </c>
      <c r="F3390" s="64">
        <v>42.04</v>
      </c>
    </row>
    <row r="3391" spans="1:6" x14ac:dyDescent="0.25">
      <c r="A3391" s="62" t="s">
        <v>4398</v>
      </c>
      <c r="B3391" s="96">
        <v>460941</v>
      </c>
      <c r="C3391" s="96" t="str">
        <f t="shared" si="323"/>
        <v>CPOS460941</v>
      </c>
      <c r="D3391" s="95" t="s">
        <v>3435</v>
      </c>
      <c r="E3391" s="63" t="s">
        <v>58</v>
      </c>
      <c r="F3391" s="64">
        <v>44.72</v>
      </c>
    </row>
    <row r="3392" spans="1:6" x14ac:dyDescent="0.25">
      <c r="A3392" s="62" t="s">
        <v>4398</v>
      </c>
      <c r="B3392" s="96">
        <v>460942</v>
      </c>
      <c r="C3392" s="96" t="str">
        <f t="shared" si="323"/>
        <v>CPOS460942</v>
      </c>
      <c r="D3392" s="95" t="s">
        <v>3436</v>
      </c>
      <c r="E3392" s="63" t="s">
        <v>58</v>
      </c>
      <c r="F3392" s="64">
        <v>119.28</v>
      </c>
    </row>
    <row r="3393" spans="1:6" x14ac:dyDescent="0.25">
      <c r="D3393" s="94" t="s">
        <v>3437</v>
      </c>
    </row>
    <row r="3394" spans="1:6" x14ac:dyDescent="0.25">
      <c r="A3394" s="62" t="s">
        <v>4398</v>
      </c>
      <c r="B3394" s="96">
        <v>461001</v>
      </c>
      <c r="C3394" s="96" t="str">
        <f t="shared" ref="C3394:C3408" si="324">A3394&amp;B3394</f>
        <v>CPOS461001</v>
      </c>
      <c r="D3394" s="95" t="s">
        <v>3438</v>
      </c>
      <c r="E3394" s="63" t="s">
        <v>110</v>
      </c>
      <c r="F3394" s="64">
        <v>38.92</v>
      </c>
    </row>
    <row r="3395" spans="1:6" x14ac:dyDescent="0.25">
      <c r="A3395" s="62" t="s">
        <v>4398</v>
      </c>
      <c r="B3395" s="96">
        <v>461002</v>
      </c>
      <c r="C3395" s="96" t="str">
        <f t="shared" si="324"/>
        <v>CPOS461002</v>
      </c>
      <c r="D3395" s="95" t="s">
        <v>3439</v>
      </c>
      <c r="E3395" s="63" t="s">
        <v>110</v>
      </c>
      <c r="F3395" s="64">
        <v>56.54</v>
      </c>
    </row>
    <row r="3396" spans="1:6" x14ac:dyDescent="0.25">
      <c r="A3396" s="62" t="s">
        <v>4398</v>
      </c>
      <c r="B3396" s="96">
        <v>461003</v>
      </c>
      <c r="C3396" s="96" t="str">
        <f t="shared" si="324"/>
        <v>CPOS461003</v>
      </c>
      <c r="D3396" s="95" t="s">
        <v>3440</v>
      </c>
      <c r="E3396" s="63" t="s">
        <v>110</v>
      </c>
      <c r="F3396" s="64">
        <v>65.88</v>
      </c>
    </row>
    <row r="3397" spans="1:6" x14ac:dyDescent="0.25">
      <c r="A3397" s="62" t="s">
        <v>4398</v>
      </c>
      <c r="B3397" s="96">
        <v>461004</v>
      </c>
      <c r="C3397" s="96" t="str">
        <f t="shared" si="324"/>
        <v>CPOS461004</v>
      </c>
      <c r="D3397" s="95" t="s">
        <v>3441</v>
      </c>
      <c r="E3397" s="63" t="s">
        <v>110</v>
      </c>
      <c r="F3397" s="64">
        <v>96.45</v>
      </c>
    </row>
    <row r="3398" spans="1:6" x14ac:dyDescent="0.25">
      <c r="A3398" s="62" t="s">
        <v>4398</v>
      </c>
      <c r="B3398" s="96">
        <v>461005</v>
      </c>
      <c r="C3398" s="96" t="str">
        <f t="shared" si="324"/>
        <v>CPOS461005</v>
      </c>
      <c r="D3398" s="95" t="s">
        <v>3442</v>
      </c>
      <c r="E3398" s="63" t="s">
        <v>110</v>
      </c>
      <c r="F3398" s="64">
        <v>107.44</v>
      </c>
    </row>
    <row r="3399" spans="1:6" x14ac:dyDescent="0.25">
      <c r="A3399" s="62" t="s">
        <v>4398</v>
      </c>
      <c r="B3399" s="96">
        <v>461006</v>
      </c>
      <c r="C3399" s="96" t="str">
        <f t="shared" si="324"/>
        <v>CPOS461006</v>
      </c>
      <c r="D3399" s="95" t="s">
        <v>3443</v>
      </c>
      <c r="E3399" s="63" t="s">
        <v>110</v>
      </c>
      <c r="F3399" s="64">
        <v>149.01</v>
      </c>
    </row>
    <row r="3400" spans="1:6" x14ac:dyDescent="0.25">
      <c r="A3400" s="62" t="s">
        <v>4398</v>
      </c>
      <c r="B3400" s="96">
        <v>461007</v>
      </c>
      <c r="C3400" s="96" t="str">
        <f t="shared" si="324"/>
        <v>CPOS461007</v>
      </c>
      <c r="D3400" s="95" t="s">
        <v>3444</v>
      </c>
      <c r="E3400" s="63" t="s">
        <v>110</v>
      </c>
      <c r="F3400" s="64">
        <v>195.44</v>
      </c>
    </row>
    <row r="3401" spans="1:6" x14ac:dyDescent="0.25">
      <c r="A3401" s="62" t="s">
        <v>4398</v>
      </c>
      <c r="B3401" s="96">
        <v>461008</v>
      </c>
      <c r="C3401" s="96" t="str">
        <f t="shared" si="324"/>
        <v>CPOS461008</v>
      </c>
      <c r="D3401" s="95" t="s">
        <v>3445</v>
      </c>
      <c r="E3401" s="63" t="s">
        <v>110</v>
      </c>
      <c r="F3401" s="64">
        <v>258.22000000000003</v>
      </c>
    </row>
    <row r="3402" spans="1:6" x14ac:dyDescent="0.25">
      <c r="A3402" s="62" t="s">
        <v>4398</v>
      </c>
      <c r="B3402" s="96">
        <v>461009</v>
      </c>
      <c r="C3402" s="96" t="str">
        <f t="shared" si="324"/>
        <v>CPOS461009</v>
      </c>
      <c r="D3402" s="95" t="s">
        <v>3446</v>
      </c>
      <c r="E3402" s="63" t="s">
        <v>110</v>
      </c>
      <c r="F3402" s="64">
        <v>366.15000000000003</v>
      </c>
    </row>
    <row r="3403" spans="1:6" x14ac:dyDescent="0.25">
      <c r="A3403" s="62" t="s">
        <v>4398</v>
      </c>
      <c r="B3403" s="96">
        <v>461020</v>
      </c>
      <c r="C3403" s="96" t="str">
        <f t="shared" si="324"/>
        <v>CPOS461020</v>
      </c>
      <c r="D3403" s="95" t="s">
        <v>3447</v>
      </c>
      <c r="E3403" s="63" t="s">
        <v>110</v>
      </c>
      <c r="F3403" s="64">
        <v>40.94</v>
      </c>
    </row>
    <row r="3404" spans="1:6" x14ac:dyDescent="0.25">
      <c r="A3404" s="62" t="s">
        <v>4398</v>
      </c>
      <c r="B3404" s="96">
        <v>461021</v>
      </c>
      <c r="C3404" s="96" t="str">
        <f t="shared" si="324"/>
        <v>CPOS461021</v>
      </c>
      <c r="D3404" s="95" t="s">
        <v>3448</v>
      </c>
      <c r="E3404" s="63" t="s">
        <v>110</v>
      </c>
      <c r="F3404" s="64">
        <v>49.18</v>
      </c>
    </row>
    <row r="3405" spans="1:6" x14ac:dyDescent="0.25">
      <c r="A3405" s="62" t="s">
        <v>4398</v>
      </c>
      <c r="B3405" s="96">
        <v>461022</v>
      </c>
      <c r="C3405" s="96" t="str">
        <f t="shared" si="324"/>
        <v>CPOS461022</v>
      </c>
      <c r="D3405" s="95" t="s">
        <v>3449</v>
      </c>
      <c r="E3405" s="63" t="s">
        <v>110</v>
      </c>
      <c r="F3405" s="64">
        <v>71.44</v>
      </c>
    </row>
    <row r="3406" spans="1:6" x14ac:dyDescent="0.25">
      <c r="A3406" s="62" t="s">
        <v>4398</v>
      </c>
      <c r="B3406" s="96">
        <v>461023</v>
      </c>
      <c r="C3406" s="96" t="str">
        <f t="shared" si="324"/>
        <v>CPOS461023</v>
      </c>
      <c r="D3406" s="95" t="s">
        <v>3450</v>
      </c>
      <c r="E3406" s="63" t="s">
        <v>110</v>
      </c>
      <c r="F3406" s="64">
        <v>83.79</v>
      </c>
    </row>
    <row r="3407" spans="1:6" x14ac:dyDescent="0.25">
      <c r="A3407" s="62" t="s">
        <v>4398</v>
      </c>
      <c r="B3407" s="96">
        <v>461024</v>
      </c>
      <c r="C3407" s="96" t="str">
        <f t="shared" si="324"/>
        <v>CPOS461024</v>
      </c>
      <c r="D3407" s="95" t="s">
        <v>3451</v>
      </c>
      <c r="E3407" s="63" t="s">
        <v>110</v>
      </c>
      <c r="F3407" s="64">
        <v>118.52</v>
      </c>
    </row>
    <row r="3408" spans="1:6" x14ac:dyDescent="0.25">
      <c r="A3408" s="62" t="s">
        <v>4398</v>
      </c>
      <c r="B3408" s="96">
        <v>461025</v>
      </c>
      <c r="C3408" s="96" t="str">
        <f t="shared" si="324"/>
        <v>CPOS461025</v>
      </c>
      <c r="D3408" s="95" t="s">
        <v>3452</v>
      </c>
      <c r="E3408" s="63" t="s">
        <v>110</v>
      </c>
      <c r="F3408" s="64">
        <v>162.86000000000001</v>
      </c>
    </row>
    <row r="3409" spans="1:6" x14ac:dyDescent="0.25">
      <c r="D3409" s="94" t="s">
        <v>3453</v>
      </c>
    </row>
    <row r="3410" spans="1:6" x14ac:dyDescent="0.25">
      <c r="A3410" s="62" t="s">
        <v>4398</v>
      </c>
      <c r="B3410" s="96">
        <v>461201</v>
      </c>
      <c r="C3410" s="96" t="str">
        <f t="shared" ref="C3410:C3442" si="325">A3410&amp;B3410</f>
        <v>CPOS461201</v>
      </c>
      <c r="D3410" s="95" t="s">
        <v>3454</v>
      </c>
      <c r="E3410" s="63" t="s">
        <v>110</v>
      </c>
      <c r="F3410" s="64">
        <v>51.02</v>
      </c>
    </row>
    <row r="3411" spans="1:6" x14ac:dyDescent="0.25">
      <c r="A3411" s="62" t="s">
        <v>4398</v>
      </c>
      <c r="B3411" s="96">
        <v>461202</v>
      </c>
      <c r="C3411" s="96" t="str">
        <f t="shared" si="325"/>
        <v>CPOS461202</v>
      </c>
      <c r="D3411" s="95" t="s">
        <v>3455</v>
      </c>
      <c r="E3411" s="63" t="s">
        <v>110</v>
      </c>
      <c r="F3411" s="64">
        <v>62.53</v>
      </c>
    </row>
    <row r="3412" spans="1:6" x14ac:dyDescent="0.25">
      <c r="A3412" s="62" t="s">
        <v>4398</v>
      </c>
      <c r="B3412" s="96">
        <v>461203</v>
      </c>
      <c r="C3412" s="96" t="str">
        <f t="shared" si="325"/>
        <v>CPOS461203</v>
      </c>
      <c r="D3412" s="95" t="s">
        <v>3456</v>
      </c>
      <c r="E3412" s="63" t="s">
        <v>110</v>
      </c>
      <c r="F3412" s="64">
        <v>86.14</v>
      </c>
    </row>
    <row r="3413" spans="1:6" x14ac:dyDescent="0.25">
      <c r="A3413" s="62" t="s">
        <v>4398</v>
      </c>
      <c r="B3413" s="96">
        <v>461204</v>
      </c>
      <c r="C3413" s="96" t="str">
        <f t="shared" si="325"/>
        <v>CPOS461204</v>
      </c>
      <c r="D3413" s="95" t="s">
        <v>3457</v>
      </c>
      <c r="E3413" s="63" t="s">
        <v>110</v>
      </c>
      <c r="F3413" s="64">
        <v>104.5</v>
      </c>
    </row>
    <row r="3414" spans="1:6" x14ac:dyDescent="0.25">
      <c r="A3414" s="62" t="s">
        <v>4398</v>
      </c>
      <c r="B3414" s="96">
        <v>461205</v>
      </c>
      <c r="C3414" s="96" t="str">
        <f t="shared" si="325"/>
        <v>CPOS461205</v>
      </c>
      <c r="D3414" s="95" t="s">
        <v>3458</v>
      </c>
      <c r="E3414" s="63" t="s">
        <v>110</v>
      </c>
      <c r="F3414" s="64">
        <v>52.7</v>
      </c>
    </row>
    <row r="3415" spans="1:6" x14ac:dyDescent="0.25">
      <c r="A3415" s="62" t="s">
        <v>4398</v>
      </c>
      <c r="B3415" s="96">
        <v>461206</v>
      </c>
      <c r="C3415" s="96" t="str">
        <f t="shared" si="325"/>
        <v>CPOS461206</v>
      </c>
      <c r="D3415" s="95" t="s">
        <v>3459</v>
      </c>
      <c r="E3415" s="63" t="s">
        <v>110</v>
      </c>
      <c r="F3415" s="64">
        <v>65.209999999999994</v>
      </c>
    </row>
    <row r="3416" spans="1:6" x14ac:dyDescent="0.25">
      <c r="A3416" s="62" t="s">
        <v>4398</v>
      </c>
      <c r="B3416" s="96">
        <v>461207</v>
      </c>
      <c r="C3416" s="96" t="str">
        <f t="shared" si="325"/>
        <v>CPOS461207</v>
      </c>
      <c r="D3416" s="95" t="s">
        <v>3460</v>
      </c>
      <c r="E3416" s="63" t="s">
        <v>110</v>
      </c>
      <c r="F3416" s="64">
        <v>89.55</v>
      </c>
    </row>
    <row r="3417" spans="1:6" x14ac:dyDescent="0.25">
      <c r="A3417" s="62" t="s">
        <v>4398</v>
      </c>
      <c r="B3417" s="96">
        <v>461208</v>
      </c>
      <c r="C3417" s="96" t="str">
        <f t="shared" si="325"/>
        <v>CPOS461208</v>
      </c>
      <c r="D3417" s="95" t="s">
        <v>3461</v>
      </c>
      <c r="E3417" s="63" t="s">
        <v>110</v>
      </c>
      <c r="F3417" s="64">
        <v>113.52</v>
      </c>
    </row>
    <row r="3418" spans="1:6" x14ac:dyDescent="0.25">
      <c r="A3418" s="62" t="s">
        <v>4398</v>
      </c>
      <c r="B3418" s="96">
        <v>461209</v>
      </c>
      <c r="C3418" s="96" t="str">
        <f t="shared" si="325"/>
        <v>CPOS461209</v>
      </c>
      <c r="D3418" s="95" t="s">
        <v>3462</v>
      </c>
      <c r="E3418" s="63" t="s">
        <v>110</v>
      </c>
      <c r="F3418" s="64">
        <v>166.20000000000002</v>
      </c>
    </row>
    <row r="3419" spans="1:6" x14ac:dyDescent="0.25">
      <c r="A3419" s="62" t="s">
        <v>4398</v>
      </c>
      <c r="B3419" s="96">
        <v>461210</v>
      </c>
      <c r="C3419" s="96" t="str">
        <f t="shared" si="325"/>
        <v>CPOS461210</v>
      </c>
      <c r="D3419" s="95" t="s">
        <v>3463</v>
      </c>
      <c r="E3419" s="63" t="s">
        <v>110</v>
      </c>
      <c r="F3419" s="64">
        <v>203.87</v>
      </c>
    </row>
    <row r="3420" spans="1:6" x14ac:dyDescent="0.25">
      <c r="A3420" s="62" t="s">
        <v>4398</v>
      </c>
      <c r="B3420" s="96">
        <v>461211</v>
      </c>
      <c r="C3420" s="96" t="str">
        <f t="shared" si="325"/>
        <v>CPOS461211</v>
      </c>
      <c r="D3420" s="95" t="s">
        <v>3464</v>
      </c>
      <c r="E3420" s="63" t="s">
        <v>110</v>
      </c>
      <c r="F3420" s="64">
        <v>272.33999999999997</v>
      </c>
    </row>
    <row r="3421" spans="1:6" x14ac:dyDescent="0.25">
      <c r="A3421" s="62" t="s">
        <v>4398</v>
      </c>
      <c r="B3421" s="96">
        <v>461212</v>
      </c>
      <c r="C3421" s="96" t="str">
        <f t="shared" si="325"/>
        <v>CPOS461212</v>
      </c>
      <c r="D3421" s="95" t="s">
        <v>3465</v>
      </c>
      <c r="E3421" s="63" t="s">
        <v>110</v>
      </c>
      <c r="F3421" s="64">
        <v>282.55</v>
      </c>
    </row>
    <row r="3422" spans="1:6" x14ac:dyDescent="0.25">
      <c r="A3422" s="62" t="s">
        <v>4398</v>
      </c>
      <c r="B3422" s="96">
        <v>461214</v>
      </c>
      <c r="C3422" s="96" t="str">
        <f t="shared" si="325"/>
        <v>CPOS461214</v>
      </c>
      <c r="D3422" s="95" t="s">
        <v>3466</v>
      </c>
      <c r="E3422" s="63" t="s">
        <v>110</v>
      </c>
      <c r="F3422" s="64">
        <v>420.7</v>
      </c>
    </row>
    <row r="3423" spans="1:6" x14ac:dyDescent="0.25">
      <c r="A3423" s="62" t="s">
        <v>4398</v>
      </c>
      <c r="B3423" s="96">
        <v>461215</v>
      </c>
      <c r="C3423" s="96" t="str">
        <f t="shared" si="325"/>
        <v>CPOS461215</v>
      </c>
      <c r="D3423" s="95" t="s">
        <v>3467</v>
      </c>
      <c r="E3423" s="63" t="s">
        <v>110</v>
      </c>
      <c r="F3423" s="64">
        <v>118.88</v>
      </c>
    </row>
    <row r="3424" spans="1:6" x14ac:dyDescent="0.25">
      <c r="A3424" s="62" t="s">
        <v>4398</v>
      </c>
      <c r="B3424" s="96">
        <v>461216</v>
      </c>
      <c r="C3424" s="96" t="str">
        <f t="shared" si="325"/>
        <v>CPOS461216</v>
      </c>
      <c r="D3424" s="95" t="s">
        <v>3468</v>
      </c>
      <c r="E3424" s="63" t="s">
        <v>110</v>
      </c>
      <c r="F3424" s="64">
        <v>206.67000000000002</v>
      </c>
    </row>
    <row r="3425" spans="1:6" x14ac:dyDescent="0.25">
      <c r="A3425" s="62" t="s">
        <v>4398</v>
      </c>
      <c r="B3425" s="96">
        <v>461217</v>
      </c>
      <c r="C3425" s="96" t="str">
        <f t="shared" si="325"/>
        <v>CPOS461217</v>
      </c>
      <c r="D3425" s="95" t="s">
        <v>3469</v>
      </c>
      <c r="E3425" s="63" t="s">
        <v>110</v>
      </c>
      <c r="F3425" s="64">
        <v>293.70999999999998</v>
      </c>
    </row>
    <row r="3426" spans="1:6" x14ac:dyDescent="0.25">
      <c r="A3426" s="62" t="s">
        <v>4398</v>
      </c>
      <c r="B3426" s="96">
        <v>461218</v>
      </c>
      <c r="C3426" s="96" t="str">
        <f t="shared" si="325"/>
        <v>CPOS461218</v>
      </c>
      <c r="D3426" s="95" t="s">
        <v>3470</v>
      </c>
      <c r="E3426" s="63" t="s">
        <v>110</v>
      </c>
      <c r="F3426" s="64">
        <v>159.59</v>
      </c>
    </row>
    <row r="3427" spans="1:6" x14ac:dyDescent="0.25">
      <c r="A3427" s="62" t="s">
        <v>4398</v>
      </c>
      <c r="B3427" s="96">
        <v>461219</v>
      </c>
      <c r="C3427" s="96" t="str">
        <f t="shared" si="325"/>
        <v>CPOS461219</v>
      </c>
      <c r="D3427" s="95" t="s">
        <v>3471</v>
      </c>
      <c r="E3427" s="63" t="s">
        <v>110</v>
      </c>
      <c r="F3427" s="64">
        <v>260.83</v>
      </c>
    </row>
    <row r="3428" spans="1:6" x14ac:dyDescent="0.25">
      <c r="A3428" s="62" t="s">
        <v>4398</v>
      </c>
      <c r="B3428" s="96">
        <v>461220</v>
      </c>
      <c r="C3428" s="96" t="str">
        <f t="shared" si="325"/>
        <v>CPOS461220</v>
      </c>
      <c r="D3428" s="95" t="s">
        <v>3472</v>
      </c>
      <c r="E3428" s="63" t="s">
        <v>110</v>
      </c>
      <c r="F3428" s="64">
        <v>371.87</v>
      </c>
    </row>
    <row r="3429" spans="1:6" x14ac:dyDescent="0.25">
      <c r="A3429" s="62" t="s">
        <v>4398</v>
      </c>
      <c r="B3429" s="96">
        <v>461221</v>
      </c>
      <c r="C3429" s="96" t="str">
        <f t="shared" si="325"/>
        <v>CPOS461221</v>
      </c>
      <c r="D3429" s="95" t="s">
        <v>3473</v>
      </c>
      <c r="E3429" s="63" t="s">
        <v>110</v>
      </c>
      <c r="F3429" s="64">
        <v>39.04</v>
      </c>
    </row>
    <row r="3430" spans="1:6" x14ac:dyDescent="0.25">
      <c r="A3430" s="62" t="s">
        <v>4398</v>
      </c>
      <c r="B3430" s="96">
        <v>461222</v>
      </c>
      <c r="C3430" s="96" t="str">
        <f t="shared" si="325"/>
        <v>CPOS461222</v>
      </c>
      <c r="D3430" s="95" t="s">
        <v>3474</v>
      </c>
      <c r="E3430" s="63" t="s">
        <v>110</v>
      </c>
      <c r="F3430" s="64">
        <v>49.03</v>
      </c>
    </row>
    <row r="3431" spans="1:6" x14ac:dyDescent="0.25">
      <c r="A3431" s="62" t="s">
        <v>4398</v>
      </c>
      <c r="B3431" s="96">
        <v>461223</v>
      </c>
      <c r="C3431" s="96" t="str">
        <f t="shared" si="325"/>
        <v>CPOS461223</v>
      </c>
      <c r="D3431" s="95" t="s">
        <v>3475</v>
      </c>
      <c r="E3431" s="63" t="s">
        <v>110</v>
      </c>
      <c r="F3431" s="64">
        <v>65.099999999999994</v>
      </c>
    </row>
    <row r="3432" spans="1:6" x14ac:dyDescent="0.25">
      <c r="A3432" s="62" t="s">
        <v>4398</v>
      </c>
      <c r="B3432" s="96">
        <v>461224</v>
      </c>
      <c r="C3432" s="96" t="str">
        <f t="shared" si="325"/>
        <v>CPOS461224</v>
      </c>
      <c r="D3432" s="95" t="s">
        <v>3476</v>
      </c>
      <c r="E3432" s="63" t="s">
        <v>110</v>
      </c>
      <c r="F3432" s="64">
        <v>84.63</v>
      </c>
    </row>
    <row r="3433" spans="1:6" x14ac:dyDescent="0.25">
      <c r="A3433" s="62" t="s">
        <v>4398</v>
      </c>
      <c r="B3433" s="96">
        <v>461225</v>
      </c>
      <c r="C3433" s="96" t="str">
        <f t="shared" si="325"/>
        <v>CPOS461225</v>
      </c>
      <c r="D3433" s="95" t="s">
        <v>3477</v>
      </c>
      <c r="E3433" s="63" t="s">
        <v>110</v>
      </c>
      <c r="F3433" s="64">
        <v>661.67</v>
      </c>
    </row>
    <row r="3434" spans="1:6" x14ac:dyDescent="0.25">
      <c r="A3434" s="62" t="s">
        <v>4398</v>
      </c>
      <c r="B3434" s="96">
        <v>461226</v>
      </c>
      <c r="C3434" s="96" t="str">
        <f t="shared" si="325"/>
        <v>CPOS461226</v>
      </c>
      <c r="D3434" s="95" t="s">
        <v>3478</v>
      </c>
      <c r="E3434" s="63" t="s">
        <v>110</v>
      </c>
      <c r="F3434" s="64">
        <v>77.78</v>
      </c>
    </row>
    <row r="3435" spans="1:6" x14ac:dyDescent="0.25">
      <c r="A3435" s="62" t="s">
        <v>4398</v>
      </c>
      <c r="B3435" s="96">
        <v>461227</v>
      </c>
      <c r="C3435" s="96" t="str">
        <f t="shared" si="325"/>
        <v>CPOS461227</v>
      </c>
      <c r="D3435" s="95" t="s">
        <v>3479</v>
      </c>
      <c r="E3435" s="63" t="s">
        <v>110</v>
      </c>
      <c r="F3435" s="64">
        <v>76.510000000000005</v>
      </c>
    </row>
    <row r="3436" spans="1:6" x14ac:dyDescent="0.25">
      <c r="A3436" s="62" t="s">
        <v>4398</v>
      </c>
      <c r="B3436" s="96">
        <v>461228</v>
      </c>
      <c r="C3436" s="96" t="str">
        <f t="shared" si="325"/>
        <v>CPOS461228</v>
      </c>
      <c r="D3436" s="95" t="s">
        <v>3480</v>
      </c>
      <c r="E3436" s="63" t="s">
        <v>110</v>
      </c>
      <c r="F3436" s="64">
        <v>97.79</v>
      </c>
    </row>
    <row r="3437" spans="1:6" x14ac:dyDescent="0.25">
      <c r="A3437" s="62" t="s">
        <v>4398</v>
      </c>
      <c r="B3437" s="96">
        <v>461229</v>
      </c>
      <c r="C3437" s="96" t="str">
        <f t="shared" si="325"/>
        <v>CPOS461229</v>
      </c>
      <c r="D3437" s="95" t="s">
        <v>3481</v>
      </c>
      <c r="E3437" s="63" t="s">
        <v>110</v>
      </c>
      <c r="F3437" s="64">
        <v>202.68</v>
      </c>
    </row>
    <row r="3438" spans="1:6" x14ac:dyDescent="0.25">
      <c r="A3438" s="62" t="s">
        <v>4398</v>
      </c>
      <c r="B3438" s="96">
        <v>461230</v>
      </c>
      <c r="C3438" s="96" t="str">
        <f t="shared" si="325"/>
        <v>CPOS461230</v>
      </c>
      <c r="D3438" s="95" t="s">
        <v>3482</v>
      </c>
      <c r="E3438" s="63" t="s">
        <v>110</v>
      </c>
      <c r="F3438" s="64">
        <v>106.16</v>
      </c>
    </row>
    <row r="3439" spans="1:6" x14ac:dyDescent="0.25">
      <c r="A3439" s="62" t="s">
        <v>4398</v>
      </c>
      <c r="B3439" s="96">
        <v>461231</v>
      </c>
      <c r="C3439" s="96" t="str">
        <f t="shared" si="325"/>
        <v>CPOS461231</v>
      </c>
      <c r="D3439" s="95" t="s">
        <v>3483</v>
      </c>
      <c r="E3439" s="63" t="s">
        <v>110</v>
      </c>
      <c r="F3439" s="64">
        <v>275.25</v>
      </c>
    </row>
    <row r="3440" spans="1:6" x14ac:dyDescent="0.25">
      <c r="A3440" s="62" t="s">
        <v>4398</v>
      </c>
      <c r="B3440" s="96">
        <v>461232</v>
      </c>
      <c r="C3440" s="96" t="str">
        <f t="shared" si="325"/>
        <v>CPOS461232</v>
      </c>
      <c r="D3440" s="95" t="s">
        <v>3484</v>
      </c>
      <c r="E3440" s="63" t="s">
        <v>110</v>
      </c>
      <c r="F3440" s="64">
        <v>70.45</v>
      </c>
    </row>
    <row r="3441" spans="1:6" x14ac:dyDescent="0.25">
      <c r="A3441" s="62" t="s">
        <v>4398</v>
      </c>
      <c r="B3441" s="96">
        <v>461233</v>
      </c>
      <c r="C3441" s="96" t="str">
        <f t="shared" si="325"/>
        <v>CPOS461233</v>
      </c>
      <c r="D3441" s="95" t="s">
        <v>3485</v>
      </c>
      <c r="E3441" s="63" t="s">
        <v>110</v>
      </c>
      <c r="F3441" s="64">
        <v>71.489999999999995</v>
      </c>
    </row>
    <row r="3442" spans="1:6" x14ac:dyDescent="0.25">
      <c r="A3442" s="62" t="s">
        <v>4398</v>
      </c>
      <c r="B3442" s="96">
        <v>461234</v>
      </c>
      <c r="C3442" s="96" t="str">
        <f t="shared" si="325"/>
        <v>CPOS461234</v>
      </c>
      <c r="D3442" s="95" t="s">
        <v>3486</v>
      </c>
      <c r="E3442" s="63" t="s">
        <v>110</v>
      </c>
      <c r="F3442" s="64">
        <v>20.09</v>
      </c>
    </row>
    <row r="3443" spans="1:6" x14ac:dyDescent="0.25">
      <c r="D3443" s="94" t="s">
        <v>3487</v>
      </c>
    </row>
    <row r="3444" spans="1:6" ht="30" x14ac:dyDescent="0.25">
      <c r="A3444" s="62" t="s">
        <v>4398</v>
      </c>
      <c r="B3444" s="96">
        <v>461301</v>
      </c>
      <c r="C3444" s="96" t="str">
        <f t="shared" ref="C3444:C3449" si="326">A3444&amp;B3444</f>
        <v>CPOS461301</v>
      </c>
      <c r="D3444" s="95" t="s">
        <v>3488</v>
      </c>
      <c r="E3444" s="63" t="s">
        <v>110</v>
      </c>
      <c r="F3444" s="64">
        <v>11.49</v>
      </c>
    </row>
    <row r="3445" spans="1:6" ht="30" x14ac:dyDescent="0.25">
      <c r="A3445" s="62" t="s">
        <v>4398</v>
      </c>
      <c r="B3445" s="96">
        <v>461302</v>
      </c>
      <c r="C3445" s="96" t="str">
        <f t="shared" si="326"/>
        <v>CPOS461302</v>
      </c>
      <c r="D3445" s="95" t="s">
        <v>3489</v>
      </c>
      <c r="E3445" s="63" t="s">
        <v>110</v>
      </c>
      <c r="F3445" s="64">
        <v>14.1</v>
      </c>
    </row>
    <row r="3446" spans="1:6" ht="30" x14ac:dyDescent="0.25">
      <c r="A3446" s="62" t="s">
        <v>4398</v>
      </c>
      <c r="B3446" s="96">
        <v>461303</v>
      </c>
      <c r="C3446" s="96" t="str">
        <f t="shared" si="326"/>
        <v>CPOS461303</v>
      </c>
      <c r="D3446" s="95" t="s">
        <v>3490</v>
      </c>
      <c r="E3446" s="63" t="s">
        <v>110</v>
      </c>
      <c r="F3446" s="64">
        <v>53.89</v>
      </c>
    </row>
    <row r="3447" spans="1:6" ht="30" x14ac:dyDescent="0.25">
      <c r="A3447" s="62" t="s">
        <v>4398</v>
      </c>
      <c r="B3447" s="96">
        <v>461304</v>
      </c>
      <c r="C3447" s="96" t="str">
        <f t="shared" si="326"/>
        <v>CPOS461304</v>
      </c>
      <c r="D3447" s="95" t="s">
        <v>3491</v>
      </c>
      <c r="E3447" s="63" t="s">
        <v>110</v>
      </c>
      <c r="F3447" s="64">
        <v>10.17</v>
      </c>
    </row>
    <row r="3448" spans="1:6" ht="30" x14ac:dyDescent="0.25">
      <c r="A3448" s="62" t="s">
        <v>4398</v>
      </c>
      <c r="B3448" s="96">
        <v>461305</v>
      </c>
      <c r="C3448" s="96" t="str">
        <f t="shared" si="326"/>
        <v>CPOS461305</v>
      </c>
      <c r="D3448" s="95" t="s">
        <v>3492</v>
      </c>
      <c r="E3448" s="63" t="s">
        <v>110</v>
      </c>
      <c r="F3448" s="64">
        <v>31.59</v>
      </c>
    </row>
    <row r="3449" spans="1:6" ht="30" x14ac:dyDescent="0.25">
      <c r="A3449" s="62" t="s">
        <v>4398</v>
      </c>
      <c r="B3449" s="96">
        <v>461306</v>
      </c>
      <c r="C3449" s="96" t="str">
        <f t="shared" si="326"/>
        <v>CPOS461306</v>
      </c>
      <c r="D3449" s="95" t="s">
        <v>3493</v>
      </c>
      <c r="E3449" s="63" t="s">
        <v>110</v>
      </c>
      <c r="F3449" s="64">
        <v>64.22</v>
      </c>
    </row>
    <row r="3450" spans="1:6" x14ac:dyDescent="0.25">
      <c r="D3450" s="94" t="s">
        <v>3494</v>
      </c>
    </row>
    <row r="3451" spans="1:6" ht="30" x14ac:dyDescent="0.25">
      <c r="A3451" s="62" t="s">
        <v>4398</v>
      </c>
      <c r="B3451" s="96">
        <v>461402</v>
      </c>
      <c r="C3451" s="96" t="str">
        <f t="shared" ref="C3451:C3462" si="327">A3451&amp;B3451</f>
        <v>CPOS461402</v>
      </c>
      <c r="D3451" s="95" t="s">
        <v>3495</v>
      </c>
      <c r="E3451" s="63" t="s">
        <v>110</v>
      </c>
      <c r="F3451" s="64">
        <v>226.37</v>
      </c>
    </row>
    <row r="3452" spans="1:6" ht="30" x14ac:dyDescent="0.25">
      <c r="A3452" s="62" t="s">
        <v>4398</v>
      </c>
      <c r="B3452" s="96">
        <v>461403</v>
      </c>
      <c r="C3452" s="96" t="str">
        <f t="shared" si="327"/>
        <v>CPOS461403</v>
      </c>
      <c r="D3452" s="95" t="s">
        <v>3496</v>
      </c>
      <c r="E3452" s="63" t="s">
        <v>110</v>
      </c>
      <c r="F3452" s="64">
        <v>271.62</v>
      </c>
    </row>
    <row r="3453" spans="1:6" ht="30" x14ac:dyDescent="0.25">
      <c r="A3453" s="62" t="s">
        <v>4398</v>
      </c>
      <c r="B3453" s="96">
        <v>461404</v>
      </c>
      <c r="C3453" s="96" t="str">
        <f t="shared" si="327"/>
        <v>CPOS461404</v>
      </c>
      <c r="D3453" s="95" t="s">
        <v>3497</v>
      </c>
      <c r="E3453" s="63" t="s">
        <v>110</v>
      </c>
      <c r="F3453" s="64">
        <v>325.35000000000002</v>
      </c>
    </row>
    <row r="3454" spans="1:6" ht="30" x14ac:dyDescent="0.25">
      <c r="A3454" s="62" t="s">
        <v>4398</v>
      </c>
      <c r="B3454" s="96">
        <v>461405</v>
      </c>
      <c r="C3454" s="96" t="str">
        <f t="shared" si="327"/>
        <v>CPOS461405</v>
      </c>
      <c r="D3454" s="95" t="s">
        <v>3498</v>
      </c>
      <c r="E3454" s="63" t="s">
        <v>110</v>
      </c>
      <c r="F3454" s="64">
        <v>443.87</v>
      </c>
    </row>
    <row r="3455" spans="1:6" ht="30" x14ac:dyDescent="0.25">
      <c r="A3455" s="62" t="s">
        <v>4398</v>
      </c>
      <c r="B3455" s="96">
        <v>461406</v>
      </c>
      <c r="C3455" s="96" t="str">
        <f t="shared" si="327"/>
        <v>CPOS461406</v>
      </c>
      <c r="D3455" s="95" t="s">
        <v>3499</v>
      </c>
      <c r="E3455" s="63" t="s">
        <v>110</v>
      </c>
      <c r="F3455" s="64">
        <v>379.85</v>
      </c>
    </row>
    <row r="3456" spans="1:6" x14ac:dyDescent="0.25">
      <c r="A3456" s="62" t="s">
        <v>4398</v>
      </c>
      <c r="B3456" s="96">
        <v>461449</v>
      </c>
      <c r="C3456" s="96" t="str">
        <f t="shared" si="327"/>
        <v>CPOS461449</v>
      </c>
      <c r="D3456" s="95" t="s">
        <v>3500</v>
      </c>
      <c r="E3456" s="63" t="s">
        <v>110</v>
      </c>
      <c r="F3456" s="64">
        <v>192.43</v>
      </c>
    </row>
    <row r="3457" spans="1:6" ht="30" x14ac:dyDescent="0.25">
      <c r="A3457" s="62" t="s">
        <v>4398</v>
      </c>
      <c r="B3457" s="96">
        <v>461451</v>
      </c>
      <c r="C3457" s="96" t="str">
        <f t="shared" si="327"/>
        <v>CPOS461451</v>
      </c>
      <c r="D3457" s="95" t="s">
        <v>3501</v>
      </c>
      <c r="E3457" s="63" t="s">
        <v>110</v>
      </c>
      <c r="F3457" s="64">
        <v>197.25</v>
      </c>
    </row>
    <row r="3458" spans="1:6" x14ac:dyDescent="0.25">
      <c r="A3458" s="62" t="s">
        <v>4398</v>
      </c>
      <c r="B3458" s="96">
        <v>461452</v>
      </c>
      <c r="C3458" s="96" t="str">
        <f t="shared" si="327"/>
        <v>CPOS461452</v>
      </c>
      <c r="D3458" s="95" t="s">
        <v>3502</v>
      </c>
      <c r="E3458" s="63" t="s">
        <v>110</v>
      </c>
      <c r="F3458" s="64">
        <v>243.23000000000002</v>
      </c>
    </row>
    <row r="3459" spans="1:6" ht="30" x14ac:dyDescent="0.25">
      <c r="A3459" s="62" t="s">
        <v>4398</v>
      </c>
      <c r="B3459" s="96">
        <v>461453</v>
      </c>
      <c r="C3459" s="96" t="str">
        <f t="shared" si="327"/>
        <v>CPOS461453</v>
      </c>
      <c r="D3459" s="95" t="s">
        <v>3503</v>
      </c>
      <c r="E3459" s="63" t="s">
        <v>110</v>
      </c>
      <c r="F3459" s="64">
        <v>300.51</v>
      </c>
    </row>
    <row r="3460" spans="1:6" ht="30" x14ac:dyDescent="0.25">
      <c r="A3460" s="62" t="s">
        <v>4398</v>
      </c>
      <c r="B3460" s="96">
        <v>461454</v>
      </c>
      <c r="C3460" s="96" t="str">
        <f t="shared" si="327"/>
        <v>CPOS461454</v>
      </c>
      <c r="D3460" s="95" t="s">
        <v>3504</v>
      </c>
      <c r="E3460" s="63" t="s">
        <v>110</v>
      </c>
      <c r="F3460" s="64">
        <v>377.04</v>
      </c>
    </row>
    <row r="3461" spans="1:6" ht="30" x14ac:dyDescent="0.25">
      <c r="A3461" s="62" t="s">
        <v>4398</v>
      </c>
      <c r="B3461" s="96">
        <v>461455</v>
      </c>
      <c r="C3461" s="96" t="str">
        <f t="shared" si="327"/>
        <v>CPOS461455</v>
      </c>
      <c r="D3461" s="95" t="s">
        <v>3505</v>
      </c>
      <c r="E3461" s="63" t="s">
        <v>110</v>
      </c>
      <c r="F3461" s="64">
        <v>438.24</v>
      </c>
    </row>
    <row r="3462" spans="1:6" ht="30" x14ac:dyDescent="0.25">
      <c r="A3462" s="62" t="s">
        <v>4398</v>
      </c>
      <c r="B3462" s="96">
        <v>461456</v>
      </c>
      <c r="C3462" s="96" t="str">
        <f t="shared" si="327"/>
        <v>CPOS461456</v>
      </c>
      <c r="D3462" s="95" t="s">
        <v>3506</v>
      </c>
      <c r="E3462" s="63" t="s">
        <v>110</v>
      </c>
      <c r="F3462" s="64">
        <v>520.67999999999995</v>
      </c>
    </row>
    <row r="3463" spans="1:6" x14ac:dyDescent="0.25">
      <c r="D3463" s="94" t="s">
        <v>3507</v>
      </c>
    </row>
    <row r="3464" spans="1:6" ht="30" x14ac:dyDescent="0.25">
      <c r="A3464" s="62" t="s">
        <v>4398</v>
      </c>
      <c r="B3464" s="96">
        <v>461801</v>
      </c>
      <c r="C3464" s="96" t="str">
        <f t="shared" ref="C3464:C3487" si="328">A3464&amp;B3464</f>
        <v>CPOS461801</v>
      </c>
      <c r="D3464" s="95" t="s">
        <v>3508</v>
      </c>
      <c r="E3464" s="63" t="s">
        <v>110</v>
      </c>
      <c r="F3464" s="64">
        <v>341.78000000000003</v>
      </c>
    </row>
    <row r="3465" spans="1:6" ht="30" x14ac:dyDescent="0.25">
      <c r="A3465" s="62" t="s">
        <v>4398</v>
      </c>
      <c r="B3465" s="96">
        <v>461802</v>
      </c>
      <c r="C3465" s="96" t="str">
        <f t="shared" si="328"/>
        <v>CPOS461802</v>
      </c>
      <c r="D3465" s="95" t="s">
        <v>3509</v>
      </c>
      <c r="E3465" s="63" t="s">
        <v>110</v>
      </c>
      <c r="F3465" s="64">
        <v>327.26</v>
      </c>
    </row>
    <row r="3466" spans="1:6" ht="30" x14ac:dyDescent="0.25">
      <c r="A3466" s="62" t="s">
        <v>4398</v>
      </c>
      <c r="B3466" s="96">
        <v>461803</v>
      </c>
      <c r="C3466" s="96" t="str">
        <f t="shared" si="328"/>
        <v>CPOS461803</v>
      </c>
      <c r="D3466" s="95" t="s">
        <v>3510</v>
      </c>
      <c r="E3466" s="63" t="s">
        <v>110</v>
      </c>
      <c r="F3466" s="64">
        <v>390.71000000000004</v>
      </c>
    </row>
    <row r="3467" spans="1:6" ht="30" x14ac:dyDescent="0.25">
      <c r="A3467" s="62" t="s">
        <v>4398</v>
      </c>
      <c r="B3467" s="96">
        <v>461804</v>
      </c>
      <c r="C3467" s="96" t="str">
        <f t="shared" si="328"/>
        <v>CPOS461804</v>
      </c>
      <c r="D3467" s="95" t="s">
        <v>3511</v>
      </c>
      <c r="E3467" s="63" t="s">
        <v>110</v>
      </c>
      <c r="F3467" s="64">
        <v>477.35</v>
      </c>
    </row>
    <row r="3468" spans="1:6" ht="30" x14ac:dyDescent="0.25">
      <c r="A3468" s="62" t="s">
        <v>4398</v>
      </c>
      <c r="B3468" s="96">
        <v>461805</v>
      </c>
      <c r="C3468" s="96" t="str">
        <f t="shared" si="328"/>
        <v>CPOS461805</v>
      </c>
      <c r="D3468" s="95" t="s">
        <v>3512</v>
      </c>
      <c r="E3468" s="63" t="s">
        <v>110</v>
      </c>
      <c r="F3468" s="64">
        <v>578.71</v>
      </c>
    </row>
    <row r="3469" spans="1:6" ht="30" x14ac:dyDescent="0.25">
      <c r="A3469" s="62" t="s">
        <v>4398</v>
      </c>
      <c r="B3469" s="96">
        <v>461806</v>
      </c>
      <c r="C3469" s="96" t="str">
        <f t="shared" si="328"/>
        <v>CPOS461806</v>
      </c>
      <c r="D3469" s="95" t="s">
        <v>3513</v>
      </c>
      <c r="E3469" s="63" t="s">
        <v>110</v>
      </c>
      <c r="F3469" s="64">
        <v>681.13</v>
      </c>
    </row>
    <row r="3470" spans="1:6" ht="30" x14ac:dyDescent="0.25">
      <c r="A3470" s="62" t="s">
        <v>4398</v>
      </c>
      <c r="B3470" s="96">
        <v>461807</v>
      </c>
      <c r="C3470" s="96" t="str">
        <f t="shared" si="328"/>
        <v>CPOS461807</v>
      </c>
      <c r="D3470" s="95" t="s">
        <v>3514</v>
      </c>
      <c r="E3470" s="63" t="s">
        <v>110</v>
      </c>
      <c r="F3470" s="64">
        <v>823.09</v>
      </c>
    </row>
    <row r="3471" spans="1:6" ht="30" x14ac:dyDescent="0.25">
      <c r="A3471" s="62" t="s">
        <v>4398</v>
      </c>
      <c r="B3471" s="96">
        <v>461808</v>
      </c>
      <c r="C3471" s="96" t="str">
        <f t="shared" si="328"/>
        <v>CPOS461808</v>
      </c>
      <c r="D3471" s="95" t="s">
        <v>3515</v>
      </c>
      <c r="E3471" s="63" t="s">
        <v>110</v>
      </c>
      <c r="F3471" s="64">
        <v>911.87</v>
      </c>
    </row>
    <row r="3472" spans="1:6" x14ac:dyDescent="0.25">
      <c r="A3472" s="62" t="s">
        <v>4398</v>
      </c>
      <c r="B3472" s="96">
        <v>461809</v>
      </c>
      <c r="C3472" s="96" t="str">
        <f t="shared" si="328"/>
        <v>CPOS461809</v>
      </c>
      <c r="D3472" s="95" t="s">
        <v>3516</v>
      </c>
      <c r="E3472" s="63" t="s">
        <v>58</v>
      </c>
      <c r="F3472" s="64">
        <v>87.16</v>
      </c>
    </row>
    <row r="3473" spans="1:6" x14ac:dyDescent="0.25">
      <c r="A3473" s="62" t="s">
        <v>4398</v>
      </c>
      <c r="B3473" s="96">
        <v>461810</v>
      </c>
      <c r="C3473" s="96" t="str">
        <f t="shared" si="328"/>
        <v>CPOS461810</v>
      </c>
      <c r="D3473" s="95" t="s">
        <v>3517</v>
      </c>
      <c r="E3473" s="63" t="s">
        <v>58</v>
      </c>
      <c r="F3473" s="64">
        <v>114.27</v>
      </c>
    </row>
    <row r="3474" spans="1:6" x14ac:dyDescent="0.25">
      <c r="A3474" s="62" t="s">
        <v>4398</v>
      </c>
      <c r="B3474" s="96">
        <v>461811</v>
      </c>
      <c r="C3474" s="96" t="str">
        <f t="shared" si="328"/>
        <v>CPOS461811</v>
      </c>
      <c r="D3474" s="95" t="s">
        <v>3518</v>
      </c>
      <c r="E3474" s="63" t="s">
        <v>58</v>
      </c>
      <c r="F3474" s="64">
        <v>149.36000000000001</v>
      </c>
    </row>
    <row r="3475" spans="1:6" x14ac:dyDescent="0.25">
      <c r="A3475" s="62" t="s">
        <v>4398</v>
      </c>
      <c r="B3475" s="96">
        <v>461812</v>
      </c>
      <c r="C3475" s="96" t="str">
        <f t="shared" si="328"/>
        <v>CPOS461812</v>
      </c>
      <c r="D3475" s="95" t="s">
        <v>3519</v>
      </c>
      <c r="E3475" s="63" t="s">
        <v>58</v>
      </c>
      <c r="F3475" s="64">
        <v>175.85</v>
      </c>
    </row>
    <row r="3476" spans="1:6" x14ac:dyDescent="0.25">
      <c r="A3476" s="62" t="s">
        <v>4398</v>
      </c>
      <c r="B3476" s="96">
        <v>461813</v>
      </c>
      <c r="C3476" s="96" t="str">
        <f t="shared" si="328"/>
        <v>CPOS461813</v>
      </c>
      <c r="D3476" s="95" t="s">
        <v>3520</v>
      </c>
      <c r="E3476" s="63" t="s">
        <v>58</v>
      </c>
      <c r="F3476" s="64">
        <v>234.77</v>
      </c>
    </row>
    <row r="3477" spans="1:6" x14ac:dyDescent="0.25">
      <c r="A3477" s="62" t="s">
        <v>4398</v>
      </c>
      <c r="B3477" s="96">
        <v>461814</v>
      </c>
      <c r="C3477" s="96" t="str">
        <f t="shared" si="328"/>
        <v>CPOS461814</v>
      </c>
      <c r="D3477" s="95" t="s">
        <v>3521</v>
      </c>
      <c r="E3477" s="63" t="s">
        <v>58</v>
      </c>
      <c r="F3477" s="64">
        <v>284</v>
      </c>
    </row>
    <row r="3478" spans="1:6" x14ac:dyDescent="0.25">
      <c r="A3478" s="62" t="s">
        <v>4398</v>
      </c>
      <c r="B3478" s="96">
        <v>461815</v>
      </c>
      <c r="C3478" s="96" t="str">
        <f t="shared" si="328"/>
        <v>CPOS461815</v>
      </c>
      <c r="D3478" s="95" t="s">
        <v>3522</v>
      </c>
      <c r="E3478" s="63" t="s">
        <v>58</v>
      </c>
      <c r="F3478" s="64">
        <v>411.89</v>
      </c>
    </row>
    <row r="3479" spans="1:6" x14ac:dyDescent="0.25">
      <c r="A3479" s="62" t="s">
        <v>4398</v>
      </c>
      <c r="B3479" s="96">
        <v>461816</v>
      </c>
      <c r="C3479" s="96" t="str">
        <f t="shared" si="328"/>
        <v>CPOS461816</v>
      </c>
      <c r="D3479" s="95" t="s">
        <v>3523</v>
      </c>
      <c r="E3479" s="63" t="s">
        <v>58</v>
      </c>
      <c r="F3479" s="64">
        <v>480.71000000000004</v>
      </c>
    </row>
    <row r="3480" spans="1:6" x14ac:dyDescent="0.25">
      <c r="A3480" s="62" t="s">
        <v>4398</v>
      </c>
      <c r="B3480" s="96">
        <v>461817</v>
      </c>
      <c r="C3480" s="96" t="str">
        <f t="shared" si="328"/>
        <v>CPOS461817</v>
      </c>
      <c r="D3480" s="95" t="s">
        <v>3524</v>
      </c>
      <c r="E3480" s="63" t="s">
        <v>58</v>
      </c>
      <c r="F3480" s="64">
        <v>187.24</v>
      </c>
    </row>
    <row r="3481" spans="1:6" x14ac:dyDescent="0.25">
      <c r="A3481" s="62" t="s">
        <v>4398</v>
      </c>
      <c r="B3481" s="96">
        <v>461818</v>
      </c>
      <c r="C3481" s="96" t="str">
        <f t="shared" si="328"/>
        <v>CPOS461818</v>
      </c>
      <c r="D3481" s="95" t="s">
        <v>3525</v>
      </c>
      <c r="E3481" s="63" t="s">
        <v>58</v>
      </c>
      <c r="F3481" s="64">
        <v>214.9</v>
      </c>
    </row>
    <row r="3482" spans="1:6" x14ac:dyDescent="0.25">
      <c r="A3482" s="62" t="s">
        <v>4398</v>
      </c>
      <c r="B3482" s="96">
        <v>461819</v>
      </c>
      <c r="C3482" s="96" t="str">
        <f t="shared" si="328"/>
        <v>CPOS461819</v>
      </c>
      <c r="D3482" s="95" t="s">
        <v>3526</v>
      </c>
      <c r="E3482" s="63" t="s">
        <v>58</v>
      </c>
      <c r="F3482" s="64">
        <v>334.74</v>
      </c>
    </row>
    <row r="3483" spans="1:6" ht="30" x14ac:dyDescent="0.25">
      <c r="A3483" s="62" t="s">
        <v>4398</v>
      </c>
      <c r="B3483" s="96">
        <v>461841</v>
      </c>
      <c r="C3483" s="96" t="str">
        <f t="shared" si="328"/>
        <v>CPOS461841</v>
      </c>
      <c r="D3483" s="95" t="s">
        <v>3527</v>
      </c>
      <c r="E3483" s="63" t="s">
        <v>58</v>
      </c>
      <c r="F3483" s="64">
        <v>248.53</v>
      </c>
    </row>
    <row r="3484" spans="1:6" ht="30" x14ac:dyDescent="0.25">
      <c r="A3484" s="62" t="s">
        <v>4398</v>
      </c>
      <c r="B3484" s="96">
        <v>461842</v>
      </c>
      <c r="C3484" s="96" t="str">
        <f t="shared" si="328"/>
        <v>CPOS461842</v>
      </c>
      <c r="D3484" s="95" t="s">
        <v>3528</v>
      </c>
      <c r="E3484" s="63" t="s">
        <v>58</v>
      </c>
      <c r="F3484" s="64">
        <v>407.16</v>
      </c>
    </row>
    <row r="3485" spans="1:6" ht="30" x14ac:dyDescent="0.25">
      <c r="A3485" s="62" t="s">
        <v>4398</v>
      </c>
      <c r="B3485" s="96">
        <v>461843</v>
      </c>
      <c r="C3485" s="96" t="str">
        <f t="shared" si="328"/>
        <v>CPOS461843</v>
      </c>
      <c r="D3485" s="95" t="s">
        <v>3529</v>
      </c>
      <c r="E3485" s="63" t="s">
        <v>58</v>
      </c>
      <c r="F3485" s="64">
        <v>570.65</v>
      </c>
    </row>
    <row r="3486" spans="1:6" x14ac:dyDescent="0.25">
      <c r="A3486" s="62" t="s">
        <v>4398</v>
      </c>
      <c r="B3486" s="96">
        <v>461856</v>
      </c>
      <c r="C3486" s="96" t="str">
        <f t="shared" si="328"/>
        <v>CPOS461856</v>
      </c>
      <c r="D3486" s="95" t="s">
        <v>3530</v>
      </c>
      <c r="E3486" s="63" t="s">
        <v>58</v>
      </c>
      <c r="F3486" s="64">
        <v>128.02000000000001</v>
      </c>
    </row>
    <row r="3487" spans="1:6" x14ac:dyDescent="0.25">
      <c r="A3487" s="62" t="s">
        <v>4398</v>
      </c>
      <c r="B3487" s="96">
        <v>461857</v>
      </c>
      <c r="C3487" s="96" t="str">
        <f t="shared" si="328"/>
        <v>CPOS461857</v>
      </c>
      <c r="D3487" s="95" t="s">
        <v>3531</v>
      </c>
      <c r="E3487" s="63" t="s">
        <v>58</v>
      </c>
      <c r="F3487" s="64">
        <v>131.1</v>
      </c>
    </row>
    <row r="3488" spans="1:6" x14ac:dyDescent="0.25">
      <c r="D3488" s="94" t="s">
        <v>3507</v>
      </c>
    </row>
    <row r="3489" spans="1:6" x14ac:dyDescent="0.25">
      <c r="A3489" s="62" t="s">
        <v>4398</v>
      </c>
      <c r="B3489" s="96">
        <v>461930</v>
      </c>
      <c r="C3489" s="96" t="str">
        <f t="shared" ref="C3489:C3499" si="329">A3489&amp;B3489</f>
        <v>CPOS461930</v>
      </c>
      <c r="D3489" s="95" t="s">
        <v>3532</v>
      </c>
      <c r="E3489" s="63" t="s">
        <v>58</v>
      </c>
      <c r="F3489" s="64">
        <v>132.16</v>
      </c>
    </row>
    <row r="3490" spans="1:6" x14ac:dyDescent="0.25">
      <c r="A3490" s="62" t="s">
        <v>4398</v>
      </c>
      <c r="B3490" s="96">
        <v>461931</v>
      </c>
      <c r="C3490" s="96" t="str">
        <f t="shared" si="329"/>
        <v>CPOS461931</v>
      </c>
      <c r="D3490" s="95" t="s">
        <v>3533</v>
      </c>
      <c r="E3490" s="63" t="s">
        <v>58</v>
      </c>
      <c r="F3490" s="64">
        <v>155.61000000000001</v>
      </c>
    </row>
    <row r="3491" spans="1:6" ht="30" x14ac:dyDescent="0.25">
      <c r="A3491" s="62" t="s">
        <v>4398</v>
      </c>
      <c r="B3491" s="96">
        <v>461950</v>
      </c>
      <c r="C3491" s="96" t="str">
        <f t="shared" si="329"/>
        <v>CPOS461950</v>
      </c>
      <c r="D3491" s="95" t="s">
        <v>3534</v>
      </c>
      <c r="E3491" s="63" t="s">
        <v>58</v>
      </c>
      <c r="F3491" s="64">
        <v>322.36</v>
      </c>
    </row>
    <row r="3492" spans="1:6" ht="30" x14ac:dyDescent="0.25">
      <c r="A3492" s="62" t="s">
        <v>4398</v>
      </c>
      <c r="B3492" s="96">
        <v>461951</v>
      </c>
      <c r="C3492" s="96" t="str">
        <f t="shared" si="329"/>
        <v>CPOS461951</v>
      </c>
      <c r="D3492" s="95" t="s">
        <v>3535</v>
      </c>
      <c r="E3492" s="63" t="s">
        <v>58</v>
      </c>
      <c r="F3492" s="64">
        <v>387.22</v>
      </c>
    </row>
    <row r="3493" spans="1:6" ht="30" x14ac:dyDescent="0.25">
      <c r="A3493" s="62" t="s">
        <v>4398</v>
      </c>
      <c r="B3493" s="96">
        <v>461952</v>
      </c>
      <c r="C3493" s="96" t="str">
        <f t="shared" si="329"/>
        <v>CPOS461952</v>
      </c>
      <c r="D3493" s="95" t="s">
        <v>3536</v>
      </c>
      <c r="E3493" s="63" t="s">
        <v>58</v>
      </c>
      <c r="F3493" s="64">
        <v>559.30999999999995</v>
      </c>
    </row>
    <row r="3494" spans="1:6" ht="30" x14ac:dyDescent="0.25">
      <c r="A3494" s="62" t="s">
        <v>4398</v>
      </c>
      <c r="B3494" s="96">
        <v>461953</v>
      </c>
      <c r="C3494" s="96" t="str">
        <f t="shared" si="329"/>
        <v>CPOS461953</v>
      </c>
      <c r="D3494" s="95" t="s">
        <v>3537</v>
      </c>
      <c r="E3494" s="63" t="s">
        <v>58</v>
      </c>
      <c r="F3494" s="64">
        <v>774.09</v>
      </c>
    </row>
    <row r="3495" spans="1:6" ht="30" x14ac:dyDescent="0.25">
      <c r="A3495" s="62" t="s">
        <v>4398</v>
      </c>
      <c r="B3495" s="96">
        <v>461960</v>
      </c>
      <c r="C3495" s="96" t="str">
        <f t="shared" si="329"/>
        <v>CPOS461960</v>
      </c>
      <c r="D3495" s="95" t="s">
        <v>3538</v>
      </c>
      <c r="E3495" s="63" t="s">
        <v>58</v>
      </c>
      <c r="F3495" s="64">
        <v>233.92000000000002</v>
      </c>
    </row>
    <row r="3496" spans="1:6" ht="30" x14ac:dyDescent="0.25">
      <c r="A3496" s="62" t="s">
        <v>4398</v>
      </c>
      <c r="B3496" s="96">
        <v>461961</v>
      </c>
      <c r="C3496" s="96" t="str">
        <f t="shared" si="329"/>
        <v>CPOS461961</v>
      </c>
      <c r="D3496" s="95" t="s">
        <v>3539</v>
      </c>
      <c r="E3496" s="63" t="s">
        <v>58</v>
      </c>
      <c r="F3496" s="64">
        <v>334.12</v>
      </c>
    </row>
    <row r="3497" spans="1:6" ht="30" x14ac:dyDescent="0.25">
      <c r="A3497" s="62" t="s">
        <v>4398</v>
      </c>
      <c r="B3497" s="96">
        <v>461962</v>
      </c>
      <c r="C3497" s="96" t="str">
        <f t="shared" si="329"/>
        <v>CPOS461962</v>
      </c>
      <c r="D3497" s="95" t="s">
        <v>3540</v>
      </c>
      <c r="E3497" s="63" t="s">
        <v>58</v>
      </c>
      <c r="F3497" s="64">
        <v>619.79</v>
      </c>
    </row>
    <row r="3498" spans="1:6" ht="30" x14ac:dyDescent="0.25">
      <c r="A3498" s="62" t="s">
        <v>4398</v>
      </c>
      <c r="B3498" s="96">
        <v>461963</v>
      </c>
      <c r="C3498" s="96" t="str">
        <f t="shared" si="329"/>
        <v>CPOS461963</v>
      </c>
      <c r="D3498" s="95" t="s">
        <v>3541</v>
      </c>
      <c r="E3498" s="63" t="s">
        <v>58</v>
      </c>
      <c r="F3498" s="64">
        <v>704.63</v>
      </c>
    </row>
    <row r="3499" spans="1:6" x14ac:dyDescent="0.25">
      <c r="A3499" s="62" t="s">
        <v>4398</v>
      </c>
      <c r="B3499" s="96">
        <v>461970</v>
      </c>
      <c r="C3499" s="96" t="str">
        <f t="shared" si="329"/>
        <v>CPOS461970</v>
      </c>
      <c r="D3499" s="95" t="s">
        <v>3542</v>
      </c>
      <c r="E3499" s="63" t="s">
        <v>58</v>
      </c>
      <c r="F3499" s="64">
        <v>61.99</v>
      </c>
    </row>
    <row r="3500" spans="1:6" x14ac:dyDescent="0.25">
      <c r="D3500" s="94" t="s">
        <v>693</v>
      </c>
    </row>
    <row r="3501" spans="1:6" x14ac:dyDescent="0.25">
      <c r="A3501" s="62" t="s">
        <v>4398</v>
      </c>
      <c r="B3501" s="96">
        <v>462001</v>
      </c>
      <c r="C3501" s="96" t="str">
        <f t="shared" ref="C3501:C3502" si="330">A3501&amp;B3501</f>
        <v>CPOS462001</v>
      </c>
      <c r="D3501" s="95" t="s">
        <v>3543</v>
      </c>
      <c r="E3501" s="63" t="s">
        <v>110</v>
      </c>
      <c r="F3501" s="64">
        <v>39.549999999999997</v>
      </c>
    </row>
    <row r="3502" spans="1:6" x14ac:dyDescent="0.25">
      <c r="A3502" s="62" t="s">
        <v>4398</v>
      </c>
      <c r="B3502" s="96">
        <v>462002</v>
      </c>
      <c r="C3502" s="96" t="str">
        <f t="shared" si="330"/>
        <v>CPOS462002</v>
      </c>
      <c r="D3502" s="95" t="s">
        <v>3544</v>
      </c>
      <c r="E3502" s="63" t="s">
        <v>110</v>
      </c>
      <c r="F3502" s="64">
        <v>65.47</v>
      </c>
    </row>
    <row r="3503" spans="1:6" x14ac:dyDescent="0.25">
      <c r="D3503" s="94" t="s">
        <v>3545</v>
      </c>
    </row>
    <row r="3504" spans="1:6" x14ac:dyDescent="0.25">
      <c r="A3504" s="62" t="s">
        <v>4398</v>
      </c>
      <c r="B3504" s="96">
        <v>462103</v>
      </c>
      <c r="C3504" s="96" t="str">
        <f t="shared" ref="C3504:C3516" si="331">A3504&amp;B3504</f>
        <v>CPOS462103</v>
      </c>
      <c r="D3504" s="95" t="s">
        <v>3546</v>
      </c>
      <c r="E3504" s="63" t="s">
        <v>110</v>
      </c>
      <c r="F3504" s="64">
        <v>96.15</v>
      </c>
    </row>
    <row r="3505" spans="1:6" ht="30" x14ac:dyDescent="0.25">
      <c r="A3505" s="62" t="s">
        <v>4398</v>
      </c>
      <c r="B3505" s="96">
        <v>462104</v>
      </c>
      <c r="C3505" s="96" t="str">
        <f t="shared" si="331"/>
        <v>CPOS462104</v>
      </c>
      <c r="D3505" s="95" t="s">
        <v>3547</v>
      </c>
      <c r="E3505" s="63" t="s">
        <v>110</v>
      </c>
      <c r="F3505" s="64">
        <v>79.75</v>
      </c>
    </row>
    <row r="3506" spans="1:6" x14ac:dyDescent="0.25">
      <c r="A3506" s="62" t="s">
        <v>4398</v>
      </c>
      <c r="B3506" s="96">
        <v>462105</v>
      </c>
      <c r="C3506" s="96" t="str">
        <f t="shared" si="331"/>
        <v>CPOS462105</v>
      </c>
      <c r="D3506" s="95" t="s">
        <v>3548</v>
      </c>
      <c r="E3506" s="63" t="s">
        <v>110</v>
      </c>
      <c r="F3506" s="64">
        <v>65.53</v>
      </c>
    </row>
    <row r="3507" spans="1:6" x14ac:dyDescent="0.25">
      <c r="A3507" s="62" t="s">
        <v>4398</v>
      </c>
      <c r="B3507" s="96">
        <v>462106</v>
      </c>
      <c r="C3507" s="96" t="str">
        <f t="shared" si="331"/>
        <v>CPOS462106</v>
      </c>
      <c r="D3507" s="95" t="s">
        <v>3549</v>
      </c>
      <c r="E3507" s="63" t="s">
        <v>110</v>
      </c>
      <c r="F3507" s="64">
        <v>149.44</v>
      </c>
    </row>
    <row r="3508" spans="1:6" ht="30" x14ac:dyDescent="0.25">
      <c r="A3508" s="62" t="s">
        <v>4398</v>
      </c>
      <c r="B3508" s="96">
        <v>462107</v>
      </c>
      <c r="C3508" s="96" t="str">
        <f t="shared" si="331"/>
        <v>CPOS462107</v>
      </c>
      <c r="D3508" s="95" t="s">
        <v>3550</v>
      </c>
      <c r="E3508" s="63" t="s">
        <v>110</v>
      </c>
      <c r="F3508" s="64">
        <v>136.02000000000001</v>
      </c>
    </row>
    <row r="3509" spans="1:6" x14ac:dyDescent="0.25">
      <c r="A3509" s="62" t="s">
        <v>4398</v>
      </c>
      <c r="B3509" s="96">
        <v>462108</v>
      </c>
      <c r="C3509" s="96" t="str">
        <f t="shared" si="331"/>
        <v>CPOS462108</v>
      </c>
      <c r="D3509" s="95" t="s">
        <v>3551</v>
      </c>
      <c r="E3509" s="63" t="s">
        <v>110</v>
      </c>
      <c r="F3509" s="64">
        <v>193.67000000000002</v>
      </c>
    </row>
    <row r="3510" spans="1:6" x14ac:dyDescent="0.25">
      <c r="A3510" s="62" t="s">
        <v>4398</v>
      </c>
      <c r="B3510" s="96">
        <v>462109</v>
      </c>
      <c r="C3510" s="96" t="str">
        <f t="shared" si="331"/>
        <v>CPOS462109</v>
      </c>
      <c r="D3510" s="95" t="s">
        <v>3552</v>
      </c>
      <c r="E3510" s="63" t="s">
        <v>110</v>
      </c>
      <c r="F3510" s="64">
        <v>240.79</v>
      </c>
    </row>
    <row r="3511" spans="1:6" x14ac:dyDescent="0.25">
      <c r="A3511" s="62" t="s">
        <v>4398</v>
      </c>
      <c r="B3511" s="96">
        <v>462110</v>
      </c>
      <c r="C3511" s="96" t="str">
        <f t="shared" si="331"/>
        <v>CPOS462110</v>
      </c>
      <c r="D3511" s="95" t="s">
        <v>3553</v>
      </c>
      <c r="E3511" s="63" t="s">
        <v>110</v>
      </c>
      <c r="F3511" s="64">
        <v>293.61</v>
      </c>
    </row>
    <row r="3512" spans="1:6" x14ac:dyDescent="0.25">
      <c r="A3512" s="62" t="s">
        <v>4398</v>
      </c>
      <c r="B3512" s="96">
        <v>462111</v>
      </c>
      <c r="C3512" s="96" t="str">
        <f t="shared" si="331"/>
        <v>CPOS462111</v>
      </c>
      <c r="D3512" s="95" t="s">
        <v>3554</v>
      </c>
      <c r="E3512" s="63" t="s">
        <v>110</v>
      </c>
      <c r="F3512" s="64">
        <v>410.45</v>
      </c>
    </row>
    <row r="3513" spans="1:6" ht="30" x14ac:dyDescent="0.25">
      <c r="A3513" s="62" t="s">
        <v>4398</v>
      </c>
      <c r="B3513" s="96">
        <v>462112</v>
      </c>
      <c r="C3513" s="96" t="str">
        <f t="shared" si="331"/>
        <v>CPOS462112</v>
      </c>
      <c r="D3513" s="95" t="s">
        <v>3555</v>
      </c>
      <c r="E3513" s="63" t="s">
        <v>110</v>
      </c>
      <c r="F3513" s="64">
        <v>74.17</v>
      </c>
    </row>
    <row r="3514" spans="1:6" ht="30" x14ac:dyDescent="0.25">
      <c r="A3514" s="62" t="s">
        <v>4398</v>
      </c>
      <c r="B3514" s="96">
        <v>462113</v>
      </c>
      <c r="C3514" s="96" t="str">
        <f t="shared" si="331"/>
        <v>CPOS462113</v>
      </c>
      <c r="D3514" s="95" t="s">
        <v>3556</v>
      </c>
      <c r="E3514" s="63" t="s">
        <v>110</v>
      </c>
      <c r="F3514" s="64">
        <v>176.31</v>
      </c>
    </row>
    <row r="3515" spans="1:6" x14ac:dyDescent="0.25">
      <c r="A3515" s="62" t="s">
        <v>4398</v>
      </c>
      <c r="B3515" s="96">
        <v>462158</v>
      </c>
      <c r="C3515" s="96" t="str">
        <f t="shared" si="331"/>
        <v>CPOS462158</v>
      </c>
      <c r="D3515" s="95" t="s">
        <v>3557</v>
      </c>
      <c r="E3515" s="63" t="s">
        <v>110</v>
      </c>
      <c r="F3515" s="64">
        <v>449.79</v>
      </c>
    </row>
    <row r="3516" spans="1:6" x14ac:dyDescent="0.25">
      <c r="A3516" s="62" t="s">
        <v>4398</v>
      </c>
      <c r="B3516" s="96">
        <v>462159</v>
      </c>
      <c r="C3516" s="96" t="str">
        <f t="shared" si="331"/>
        <v>CPOS462159</v>
      </c>
      <c r="D3516" s="95" t="s">
        <v>3558</v>
      </c>
      <c r="E3516" s="63" t="s">
        <v>110</v>
      </c>
      <c r="F3516" s="64">
        <v>633.22</v>
      </c>
    </row>
    <row r="3517" spans="1:6" x14ac:dyDescent="0.25">
      <c r="D3517" s="94" t="s">
        <v>3559</v>
      </c>
    </row>
    <row r="3518" spans="1:6" x14ac:dyDescent="0.25">
      <c r="A3518" s="62" t="s">
        <v>4398</v>
      </c>
      <c r="B3518" s="96">
        <v>462301</v>
      </c>
      <c r="C3518" s="96" t="str">
        <f t="shared" ref="C3518:C3533" si="332">A3518&amp;B3518</f>
        <v>CPOS462301</v>
      </c>
      <c r="D3518" s="95" t="s">
        <v>3560</v>
      </c>
      <c r="E3518" s="63" t="s">
        <v>110</v>
      </c>
      <c r="F3518" s="64">
        <v>88.86</v>
      </c>
    </row>
    <row r="3519" spans="1:6" x14ac:dyDescent="0.25">
      <c r="A3519" s="62" t="s">
        <v>4398</v>
      </c>
      <c r="B3519" s="96">
        <v>462302</v>
      </c>
      <c r="C3519" s="96" t="str">
        <f t="shared" si="332"/>
        <v>CPOS462302</v>
      </c>
      <c r="D3519" s="95" t="s">
        <v>3561</v>
      </c>
      <c r="E3519" s="63" t="s">
        <v>110</v>
      </c>
      <c r="F3519" s="64">
        <v>113.29</v>
      </c>
    </row>
    <row r="3520" spans="1:6" x14ac:dyDescent="0.25">
      <c r="A3520" s="62" t="s">
        <v>4398</v>
      </c>
      <c r="B3520" s="96">
        <v>462303</v>
      </c>
      <c r="C3520" s="96" t="str">
        <f t="shared" si="332"/>
        <v>CPOS462303</v>
      </c>
      <c r="D3520" s="95" t="s">
        <v>3562</v>
      </c>
      <c r="E3520" s="63" t="s">
        <v>110</v>
      </c>
      <c r="F3520" s="64">
        <v>144.06</v>
      </c>
    </row>
    <row r="3521" spans="1:6" x14ac:dyDescent="0.25">
      <c r="A3521" s="62" t="s">
        <v>4398</v>
      </c>
      <c r="B3521" s="96">
        <v>462304</v>
      </c>
      <c r="C3521" s="96" t="str">
        <f t="shared" si="332"/>
        <v>CPOS462304</v>
      </c>
      <c r="D3521" s="95" t="s">
        <v>3563</v>
      </c>
      <c r="E3521" s="63" t="s">
        <v>110</v>
      </c>
      <c r="F3521" s="64">
        <v>186.77</v>
      </c>
    </row>
    <row r="3522" spans="1:6" x14ac:dyDescent="0.25">
      <c r="A3522" s="62" t="s">
        <v>4398</v>
      </c>
      <c r="B3522" s="96">
        <v>462305</v>
      </c>
      <c r="C3522" s="96" t="str">
        <f t="shared" si="332"/>
        <v>CPOS462305</v>
      </c>
      <c r="D3522" s="95" t="s">
        <v>3564</v>
      </c>
      <c r="E3522" s="63" t="s">
        <v>110</v>
      </c>
      <c r="F3522" s="64">
        <v>221.36</v>
      </c>
    </row>
    <row r="3523" spans="1:6" x14ac:dyDescent="0.25">
      <c r="A3523" s="62" t="s">
        <v>4398</v>
      </c>
      <c r="B3523" s="96">
        <v>462306</v>
      </c>
      <c r="C3523" s="96" t="str">
        <f t="shared" si="332"/>
        <v>CPOS462306</v>
      </c>
      <c r="D3523" s="95" t="s">
        <v>3565</v>
      </c>
      <c r="E3523" s="63" t="s">
        <v>110</v>
      </c>
      <c r="F3523" s="64">
        <v>300.99</v>
      </c>
    </row>
    <row r="3524" spans="1:6" x14ac:dyDescent="0.25">
      <c r="A3524" s="62" t="s">
        <v>4398</v>
      </c>
      <c r="B3524" s="96">
        <v>462307</v>
      </c>
      <c r="C3524" s="96" t="str">
        <f t="shared" si="332"/>
        <v>CPOS462307</v>
      </c>
      <c r="D3524" s="95" t="s">
        <v>3566</v>
      </c>
      <c r="E3524" s="63" t="s">
        <v>110</v>
      </c>
      <c r="F3524" s="64">
        <v>348.61</v>
      </c>
    </row>
    <row r="3525" spans="1:6" x14ac:dyDescent="0.25">
      <c r="A3525" s="62" t="s">
        <v>4398</v>
      </c>
      <c r="B3525" s="96">
        <v>462308</v>
      </c>
      <c r="C3525" s="96" t="str">
        <f t="shared" si="332"/>
        <v>CPOS462308</v>
      </c>
      <c r="D3525" s="95" t="s">
        <v>3567</v>
      </c>
      <c r="E3525" s="63" t="s">
        <v>110</v>
      </c>
      <c r="F3525" s="64">
        <v>528.44000000000005</v>
      </c>
    </row>
    <row r="3526" spans="1:6" x14ac:dyDescent="0.25">
      <c r="A3526" s="62" t="s">
        <v>4398</v>
      </c>
      <c r="B3526" s="96">
        <v>462311</v>
      </c>
      <c r="C3526" s="96" t="str">
        <f t="shared" si="332"/>
        <v>CPOS462311</v>
      </c>
      <c r="D3526" s="95" t="s">
        <v>3568</v>
      </c>
      <c r="E3526" s="63" t="s">
        <v>110</v>
      </c>
      <c r="F3526" s="64">
        <v>94.23</v>
      </c>
    </row>
    <row r="3527" spans="1:6" x14ac:dyDescent="0.25">
      <c r="A3527" s="62" t="s">
        <v>4398</v>
      </c>
      <c r="B3527" s="96">
        <v>462312</v>
      </c>
      <c r="C3527" s="96" t="str">
        <f t="shared" si="332"/>
        <v>CPOS462312</v>
      </c>
      <c r="D3527" s="95" t="s">
        <v>3569</v>
      </c>
      <c r="E3527" s="63" t="s">
        <v>110</v>
      </c>
      <c r="F3527" s="64">
        <v>118.15</v>
      </c>
    </row>
    <row r="3528" spans="1:6" x14ac:dyDescent="0.25">
      <c r="A3528" s="62" t="s">
        <v>4398</v>
      </c>
      <c r="B3528" s="96">
        <v>462313</v>
      </c>
      <c r="C3528" s="96" t="str">
        <f t="shared" si="332"/>
        <v>CPOS462313</v>
      </c>
      <c r="D3528" s="95" t="s">
        <v>3570</v>
      </c>
      <c r="E3528" s="63" t="s">
        <v>110</v>
      </c>
      <c r="F3528" s="64">
        <v>153.81</v>
      </c>
    </row>
    <row r="3529" spans="1:6" x14ac:dyDescent="0.25">
      <c r="A3529" s="62" t="s">
        <v>4398</v>
      </c>
      <c r="B3529" s="96">
        <v>462314</v>
      </c>
      <c r="C3529" s="96" t="str">
        <f t="shared" si="332"/>
        <v>CPOS462314</v>
      </c>
      <c r="D3529" s="95" t="s">
        <v>3571</v>
      </c>
      <c r="E3529" s="63" t="s">
        <v>110</v>
      </c>
      <c r="F3529" s="64">
        <v>195.5</v>
      </c>
    </row>
    <row r="3530" spans="1:6" x14ac:dyDescent="0.25">
      <c r="A3530" s="62" t="s">
        <v>4398</v>
      </c>
      <c r="B3530" s="96">
        <v>462315</v>
      </c>
      <c r="C3530" s="96" t="str">
        <f t="shared" si="332"/>
        <v>CPOS462315</v>
      </c>
      <c r="D3530" s="95" t="s">
        <v>3572</v>
      </c>
      <c r="E3530" s="63" t="s">
        <v>110</v>
      </c>
      <c r="F3530" s="64">
        <v>248.62</v>
      </c>
    </row>
    <row r="3531" spans="1:6" x14ac:dyDescent="0.25">
      <c r="A3531" s="62" t="s">
        <v>4398</v>
      </c>
      <c r="B3531" s="96">
        <v>462316</v>
      </c>
      <c r="C3531" s="96" t="str">
        <f t="shared" si="332"/>
        <v>CPOS462316</v>
      </c>
      <c r="D3531" s="95" t="s">
        <v>3573</v>
      </c>
      <c r="E3531" s="63" t="s">
        <v>110</v>
      </c>
      <c r="F3531" s="64">
        <v>314.08</v>
      </c>
    </row>
    <row r="3532" spans="1:6" x14ac:dyDescent="0.25">
      <c r="A3532" s="62" t="s">
        <v>4398</v>
      </c>
      <c r="B3532" s="96">
        <v>462317</v>
      </c>
      <c r="C3532" s="96" t="str">
        <f t="shared" si="332"/>
        <v>CPOS462317</v>
      </c>
      <c r="D3532" s="95" t="s">
        <v>3574</v>
      </c>
      <c r="E3532" s="63" t="s">
        <v>110</v>
      </c>
      <c r="F3532" s="64">
        <v>380.43</v>
      </c>
    </row>
    <row r="3533" spans="1:6" x14ac:dyDescent="0.25">
      <c r="A3533" s="62" t="s">
        <v>4398</v>
      </c>
      <c r="B3533" s="96">
        <v>462318</v>
      </c>
      <c r="C3533" s="96" t="str">
        <f t="shared" si="332"/>
        <v>CPOS462318</v>
      </c>
      <c r="D3533" s="95" t="s">
        <v>3575</v>
      </c>
      <c r="E3533" s="63" t="s">
        <v>110</v>
      </c>
      <c r="F3533" s="64">
        <v>575.85</v>
      </c>
    </row>
    <row r="3534" spans="1:6" x14ac:dyDescent="0.25">
      <c r="D3534" s="94" t="s">
        <v>3576</v>
      </c>
    </row>
    <row r="3535" spans="1:6" x14ac:dyDescent="0.25">
      <c r="A3535" s="62" t="s">
        <v>4398</v>
      </c>
      <c r="B3535" s="96">
        <v>462601</v>
      </c>
      <c r="C3535" s="96" t="str">
        <f t="shared" ref="C3535:C3595" si="333">A3535&amp;B3535</f>
        <v>CPOS462601</v>
      </c>
      <c r="D3535" s="95" t="s">
        <v>3577</v>
      </c>
      <c r="E3535" s="63" t="s">
        <v>110</v>
      </c>
      <c r="F3535" s="64">
        <v>87.15</v>
      </c>
    </row>
    <row r="3536" spans="1:6" x14ac:dyDescent="0.25">
      <c r="A3536" s="62" t="s">
        <v>4398</v>
      </c>
      <c r="B3536" s="96">
        <v>462602</v>
      </c>
      <c r="C3536" s="96" t="str">
        <f t="shared" si="333"/>
        <v>CPOS462602</v>
      </c>
      <c r="D3536" s="95" t="s">
        <v>3578</v>
      </c>
      <c r="E3536" s="63" t="s">
        <v>110</v>
      </c>
      <c r="F3536" s="64">
        <v>114.02</v>
      </c>
    </row>
    <row r="3537" spans="1:6" x14ac:dyDescent="0.25">
      <c r="A3537" s="62" t="s">
        <v>4398</v>
      </c>
      <c r="B3537" s="96">
        <v>462603</v>
      </c>
      <c r="C3537" s="96" t="str">
        <f t="shared" si="333"/>
        <v>CPOS462603</v>
      </c>
      <c r="D3537" s="95" t="s">
        <v>3579</v>
      </c>
      <c r="E3537" s="63" t="s">
        <v>110</v>
      </c>
      <c r="F3537" s="64">
        <v>134.80000000000001</v>
      </c>
    </row>
    <row r="3538" spans="1:6" x14ac:dyDescent="0.25">
      <c r="A3538" s="62" t="s">
        <v>4398</v>
      </c>
      <c r="B3538" s="96">
        <v>462604</v>
      </c>
      <c r="C3538" s="96" t="str">
        <f t="shared" si="333"/>
        <v>CPOS462604</v>
      </c>
      <c r="D3538" s="95" t="s">
        <v>3580</v>
      </c>
      <c r="E3538" s="63" t="s">
        <v>110</v>
      </c>
      <c r="F3538" s="64">
        <v>196.51</v>
      </c>
    </row>
    <row r="3539" spans="1:6" x14ac:dyDescent="0.25">
      <c r="A3539" s="62" t="s">
        <v>4398</v>
      </c>
      <c r="B3539" s="96">
        <v>462605</v>
      </c>
      <c r="C3539" s="96" t="str">
        <f t="shared" si="333"/>
        <v>CPOS462605</v>
      </c>
      <c r="D3539" s="95" t="s">
        <v>3581</v>
      </c>
      <c r="E3539" s="63" t="s">
        <v>110</v>
      </c>
      <c r="F3539" s="64">
        <v>330.22</v>
      </c>
    </row>
    <row r="3540" spans="1:6" ht="30" x14ac:dyDescent="0.25">
      <c r="A3540" s="62" t="s">
        <v>4398</v>
      </c>
      <c r="B3540" s="96">
        <v>462606</v>
      </c>
      <c r="C3540" s="96" t="str">
        <f t="shared" si="333"/>
        <v>CPOS462606</v>
      </c>
      <c r="D3540" s="95" t="s">
        <v>3582</v>
      </c>
      <c r="E3540" s="63" t="s">
        <v>58</v>
      </c>
      <c r="F3540" s="64">
        <v>38.26</v>
      </c>
    </row>
    <row r="3541" spans="1:6" ht="30" x14ac:dyDescent="0.25">
      <c r="A3541" s="62" t="s">
        <v>4398</v>
      </c>
      <c r="B3541" s="96">
        <v>462607</v>
      </c>
      <c r="C3541" s="96" t="str">
        <f t="shared" si="333"/>
        <v>CPOS462607</v>
      </c>
      <c r="D3541" s="95" t="s">
        <v>3583</v>
      </c>
      <c r="E3541" s="63" t="s">
        <v>58</v>
      </c>
      <c r="F3541" s="64">
        <v>43.44</v>
      </c>
    </row>
    <row r="3542" spans="1:6" ht="30" x14ac:dyDescent="0.25">
      <c r="A3542" s="62" t="s">
        <v>4398</v>
      </c>
      <c r="B3542" s="96">
        <v>462608</v>
      </c>
      <c r="C3542" s="96" t="str">
        <f t="shared" si="333"/>
        <v>CPOS462608</v>
      </c>
      <c r="D3542" s="95" t="s">
        <v>3584</v>
      </c>
      <c r="E3542" s="63" t="s">
        <v>58</v>
      </c>
      <c r="F3542" s="64">
        <v>47.13</v>
      </c>
    </row>
    <row r="3543" spans="1:6" ht="30" x14ac:dyDescent="0.25">
      <c r="A3543" s="62" t="s">
        <v>4398</v>
      </c>
      <c r="B3543" s="96">
        <v>462609</v>
      </c>
      <c r="C3543" s="96" t="str">
        <f t="shared" si="333"/>
        <v>CPOS462609</v>
      </c>
      <c r="D3543" s="95" t="s">
        <v>3585</v>
      </c>
      <c r="E3543" s="63" t="s">
        <v>58</v>
      </c>
      <c r="F3543" s="64">
        <v>79.680000000000007</v>
      </c>
    </row>
    <row r="3544" spans="1:6" ht="30" x14ac:dyDescent="0.25">
      <c r="A3544" s="62" t="s">
        <v>4398</v>
      </c>
      <c r="B3544" s="96">
        <v>462610</v>
      </c>
      <c r="C3544" s="96" t="str">
        <f t="shared" si="333"/>
        <v>CPOS462610</v>
      </c>
      <c r="D3544" s="95" t="s">
        <v>3586</v>
      </c>
      <c r="E3544" s="63" t="s">
        <v>58</v>
      </c>
      <c r="F3544" s="64">
        <v>110.51</v>
      </c>
    </row>
    <row r="3545" spans="1:6" x14ac:dyDescent="0.25">
      <c r="A3545" s="62" t="s">
        <v>4398</v>
      </c>
      <c r="B3545" s="96">
        <v>462611</v>
      </c>
      <c r="C3545" s="96" t="str">
        <f t="shared" si="333"/>
        <v>CPOS462611</v>
      </c>
      <c r="D3545" s="95" t="s">
        <v>3587</v>
      </c>
      <c r="E3545" s="63" t="s">
        <v>117</v>
      </c>
      <c r="F3545" s="64">
        <v>712.62</v>
      </c>
    </row>
    <row r="3546" spans="1:6" x14ac:dyDescent="0.25">
      <c r="A3546" s="62" t="s">
        <v>4398</v>
      </c>
      <c r="B3546" s="96">
        <v>462612</v>
      </c>
      <c r="C3546" s="96" t="str">
        <f t="shared" si="333"/>
        <v>CPOS462612</v>
      </c>
      <c r="D3546" s="95" t="s">
        <v>3588</v>
      </c>
      <c r="E3546" s="63" t="s">
        <v>117</v>
      </c>
      <c r="F3546" s="64">
        <v>718.5</v>
      </c>
    </row>
    <row r="3547" spans="1:6" x14ac:dyDescent="0.25">
      <c r="A3547" s="62" t="s">
        <v>4398</v>
      </c>
      <c r="B3547" s="96">
        <v>462613</v>
      </c>
      <c r="C3547" s="96" t="str">
        <f t="shared" si="333"/>
        <v>CPOS462613</v>
      </c>
      <c r="D3547" s="95" t="s">
        <v>3589</v>
      </c>
      <c r="E3547" s="63" t="s">
        <v>117</v>
      </c>
      <c r="F3547" s="64">
        <v>724.62</v>
      </c>
    </row>
    <row r="3548" spans="1:6" x14ac:dyDescent="0.25">
      <c r="A3548" s="62" t="s">
        <v>4398</v>
      </c>
      <c r="B3548" s="96">
        <v>462614</v>
      </c>
      <c r="C3548" s="96" t="str">
        <f t="shared" si="333"/>
        <v>CPOS462614</v>
      </c>
      <c r="D3548" s="95" t="s">
        <v>3590</v>
      </c>
      <c r="E3548" s="63" t="s">
        <v>117</v>
      </c>
      <c r="F3548" s="64">
        <v>1114.58</v>
      </c>
    </row>
    <row r="3549" spans="1:6" x14ac:dyDescent="0.25">
      <c r="A3549" s="62" t="s">
        <v>4398</v>
      </c>
      <c r="B3549" s="96">
        <v>462615</v>
      </c>
      <c r="C3549" s="96" t="str">
        <f t="shared" si="333"/>
        <v>CPOS462615</v>
      </c>
      <c r="D3549" s="95" t="s">
        <v>3591</v>
      </c>
      <c r="E3549" s="63" t="s">
        <v>117</v>
      </c>
      <c r="F3549" s="64">
        <v>1574.5</v>
      </c>
    </row>
    <row r="3550" spans="1:6" x14ac:dyDescent="0.25">
      <c r="A3550" s="62" t="s">
        <v>4398</v>
      </c>
      <c r="B3550" s="96">
        <v>462616</v>
      </c>
      <c r="C3550" s="96" t="str">
        <f t="shared" si="333"/>
        <v>CPOS462616</v>
      </c>
      <c r="D3550" s="95" t="s">
        <v>3592</v>
      </c>
      <c r="E3550" s="63" t="s">
        <v>117</v>
      </c>
      <c r="F3550" s="64">
        <v>838.19</v>
      </c>
    </row>
    <row r="3551" spans="1:6" x14ac:dyDescent="0.25">
      <c r="A3551" s="62" t="s">
        <v>4398</v>
      </c>
      <c r="B3551" s="96">
        <v>462620</v>
      </c>
      <c r="C3551" s="96" t="str">
        <f t="shared" si="333"/>
        <v>CPOS462620</v>
      </c>
      <c r="D3551" s="95" t="s">
        <v>3593</v>
      </c>
      <c r="E3551" s="63" t="s">
        <v>110</v>
      </c>
      <c r="F3551" s="64">
        <v>200.72</v>
      </c>
    </row>
    <row r="3552" spans="1:6" x14ac:dyDescent="0.25">
      <c r="A3552" s="62" t="s">
        <v>4398</v>
      </c>
      <c r="B3552" s="96">
        <v>462621</v>
      </c>
      <c r="C3552" s="96" t="str">
        <f t="shared" si="333"/>
        <v>CPOS462621</v>
      </c>
      <c r="D3552" s="95" t="s">
        <v>3594</v>
      </c>
      <c r="E3552" s="63" t="s">
        <v>110</v>
      </c>
      <c r="F3552" s="64">
        <v>424.69</v>
      </c>
    </row>
    <row r="3553" spans="1:6" x14ac:dyDescent="0.25">
      <c r="A3553" s="62" t="s">
        <v>4398</v>
      </c>
      <c r="B3553" s="96">
        <v>462640</v>
      </c>
      <c r="C3553" s="96" t="str">
        <f t="shared" si="333"/>
        <v>CPOS462640</v>
      </c>
      <c r="D3553" s="95" t="s">
        <v>3595</v>
      </c>
      <c r="E3553" s="63" t="s">
        <v>58</v>
      </c>
      <c r="F3553" s="64">
        <v>93.29</v>
      </c>
    </row>
    <row r="3554" spans="1:6" x14ac:dyDescent="0.25">
      <c r="A3554" s="62" t="s">
        <v>4398</v>
      </c>
      <c r="B3554" s="96">
        <v>462641</v>
      </c>
      <c r="C3554" s="96" t="str">
        <f t="shared" si="333"/>
        <v>CPOS462641</v>
      </c>
      <c r="D3554" s="95" t="s">
        <v>3596</v>
      </c>
      <c r="E3554" s="63" t="s">
        <v>58</v>
      </c>
      <c r="F3554" s="64">
        <v>115.59</v>
      </c>
    </row>
    <row r="3555" spans="1:6" x14ac:dyDescent="0.25">
      <c r="A3555" s="62" t="s">
        <v>4398</v>
      </c>
      <c r="B3555" s="96">
        <v>462642</v>
      </c>
      <c r="C3555" s="96" t="str">
        <f t="shared" si="333"/>
        <v>CPOS462642</v>
      </c>
      <c r="D3555" s="95" t="s">
        <v>3597</v>
      </c>
      <c r="E3555" s="63" t="s">
        <v>58</v>
      </c>
      <c r="F3555" s="64">
        <v>128.81</v>
      </c>
    </row>
    <row r="3556" spans="1:6" x14ac:dyDescent="0.25">
      <c r="A3556" s="62" t="s">
        <v>4398</v>
      </c>
      <c r="B3556" s="96">
        <v>462643</v>
      </c>
      <c r="C3556" s="96" t="str">
        <f t="shared" si="333"/>
        <v>CPOS462643</v>
      </c>
      <c r="D3556" s="95" t="s">
        <v>3598</v>
      </c>
      <c r="E3556" s="63" t="s">
        <v>58</v>
      </c>
      <c r="F3556" s="64">
        <v>219.13</v>
      </c>
    </row>
    <row r="3557" spans="1:6" x14ac:dyDescent="0.25">
      <c r="A3557" s="62" t="s">
        <v>4398</v>
      </c>
      <c r="B3557" s="96">
        <v>462644</v>
      </c>
      <c r="C3557" s="96" t="str">
        <f t="shared" si="333"/>
        <v>CPOS462644</v>
      </c>
      <c r="D3557" s="95" t="s">
        <v>3599</v>
      </c>
      <c r="E3557" s="63" t="s">
        <v>58</v>
      </c>
      <c r="F3557" s="64">
        <v>466.88</v>
      </c>
    </row>
    <row r="3558" spans="1:6" x14ac:dyDescent="0.25">
      <c r="A3558" s="62" t="s">
        <v>4398</v>
      </c>
      <c r="B3558" s="96">
        <v>462645</v>
      </c>
      <c r="C3558" s="96" t="str">
        <f t="shared" si="333"/>
        <v>CPOS462645</v>
      </c>
      <c r="D3558" s="95" t="s">
        <v>3600</v>
      </c>
      <c r="E3558" s="63" t="s">
        <v>58</v>
      </c>
      <c r="F3558" s="64">
        <v>154.29</v>
      </c>
    </row>
    <row r="3559" spans="1:6" x14ac:dyDescent="0.25">
      <c r="A3559" s="62" t="s">
        <v>4398</v>
      </c>
      <c r="B3559" s="96">
        <v>462646</v>
      </c>
      <c r="C3559" s="96" t="str">
        <f t="shared" si="333"/>
        <v>CPOS462646</v>
      </c>
      <c r="D3559" s="95" t="s">
        <v>3601</v>
      </c>
      <c r="E3559" s="63" t="s">
        <v>58</v>
      </c>
      <c r="F3559" s="64">
        <v>109.95</v>
      </c>
    </row>
    <row r="3560" spans="1:6" x14ac:dyDescent="0.25">
      <c r="A3560" s="62" t="s">
        <v>4398</v>
      </c>
      <c r="B3560" s="96">
        <v>462647</v>
      </c>
      <c r="C3560" s="96" t="str">
        <f t="shared" si="333"/>
        <v>CPOS462647</v>
      </c>
      <c r="D3560" s="95" t="s">
        <v>3602</v>
      </c>
      <c r="E3560" s="63" t="s">
        <v>58</v>
      </c>
      <c r="F3560" s="64">
        <v>115.59</v>
      </c>
    </row>
    <row r="3561" spans="1:6" x14ac:dyDescent="0.25">
      <c r="A3561" s="62" t="s">
        <v>4398</v>
      </c>
      <c r="B3561" s="96">
        <v>462648</v>
      </c>
      <c r="C3561" s="96" t="str">
        <f t="shared" si="333"/>
        <v>CPOS462648</v>
      </c>
      <c r="D3561" s="95" t="s">
        <v>3603</v>
      </c>
      <c r="E3561" s="63" t="s">
        <v>58</v>
      </c>
      <c r="F3561" s="64">
        <v>128.81</v>
      </c>
    </row>
    <row r="3562" spans="1:6" x14ac:dyDescent="0.25">
      <c r="A3562" s="62" t="s">
        <v>4398</v>
      </c>
      <c r="B3562" s="96">
        <v>462649</v>
      </c>
      <c r="C3562" s="96" t="str">
        <f t="shared" si="333"/>
        <v>CPOS462649</v>
      </c>
      <c r="D3562" s="95" t="s">
        <v>3604</v>
      </c>
      <c r="E3562" s="63" t="s">
        <v>58</v>
      </c>
      <c r="F3562" s="64">
        <v>303.73</v>
      </c>
    </row>
    <row r="3563" spans="1:6" x14ac:dyDescent="0.25">
      <c r="A3563" s="62" t="s">
        <v>4398</v>
      </c>
      <c r="B3563" s="96">
        <v>462650</v>
      </c>
      <c r="C3563" s="96" t="str">
        <f t="shared" si="333"/>
        <v>CPOS462650</v>
      </c>
      <c r="D3563" s="95" t="s">
        <v>3605</v>
      </c>
      <c r="E3563" s="63" t="s">
        <v>58</v>
      </c>
      <c r="F3563" s="64">
        <v>463.38</v>
      </c>
    </row>
    <row r="3564" spans="1:6" x14ac:dyDescent="0.25">
      <c r="A3564" s="62" t="s">
        <v>4398</v>
      </c>
      <c r="B3564" s="96">
        <v>462651</v>
      </c>
      <c r="C3564" s="96" t="str">
        <f t="shared" si="333"/>
        <v>CPOS462651</v>
      </c>
      <c r="D3564" s="95" t="s">
        <v>3606</v>
      </c>
      <c r="E3564" s="63" t="s">
        <v>58</v>
      </c>
      <c r="F3564" s="64">
        <v>157.16</v>
      </c>
    </row>
    <row r="3565" spans="1:6" x14ac:dyDescent="0.25">
      <c r="A3565" s="62" t="s">
        <v>4398</v>
      </c>
      <c r="B3565" s="96">
        <v>462652</v>
      </c>
      <c r="C3565" s="96" t="str">
        <f t="shared" si="333"/>
        <v>CPOS462652</v>
      </c>
      <c r="D3565" s="95" t="s">
        <v>3607</v>
      </c>
      <c r="E3565" s="63" t="s">
        <v>58</v>
      </c>
      <c r="F3565" s="64">
        <v>187.55</v>
      </c>
    </row>
    <row r="3566" spans="1:6" x14ac:dyDescent="0.25">
      <c r="A3566" s="62" t="s">
        <v>4398</v>
      </c>
      <c r="B3566" s="96">
        <v>462653</v>
      </c>
      <c r="C3566" s="96" t="str">
        <f t="shared" si="333"/>
        <v>CPOS462653</v>
      </c>
      <c r="D3566" s="95" t="s">
        <v>3608</v>
      </c>
      <c r="E3566" s="63" t="s">
        <v>58</v>
      </c>
      <c r="F3566" s="64">
        <v>175.42000000000002</v>
      </c>
    </row>
    <row r="3567" spans="1:6" x14ac:dyDescent="0.25">
      <c r="A3567" s="62" t="s">
        <v>4398</v>
      </c>
      <c r="B3567" s="96">
        <v>462654</v>
      </c>
      <c r="C3567" s="96" t="str">
        <f t="shared" si="333"/>
        <v>CPOS462654</v>
      </c>
      <c r="D3567" s="95" t="s">
        <v>3609</v>
      </c>
      <c r="E3567" s="63" t="s">
        <v>58</v>
      </c>
      <c r="F3567" s="64">
        <v>226.58</v>
      </c>
    </row>
    <row r="3568" spans="1:6" x14ac:dyDescent="0.25">
      <c r="A3568" s="62" t="s">
        <v>4398</v>
      </c>
      <c r="B3568" s="96">
        <v>462655</v>
      </c>
      <c r="C3568" s="96" t="str">
        <f t="shared" si="333"/>
        <v>CPOS462655</v>
      </c>
      <c r="D3568" s="95" t="s">
        <v>3610</v>
      </c>
      <c r="E3568" s="63" t="s">
        <v>58</v>
      </c>
      <c r="F3568" s="64">
        <v>225.79</v>
      </c>
    </row>
    <row r="3569" spans="1:6" x14ac:dyDescent="0.25">
      <c r="A3569" s="62" t="s">
        <v>4398</v>
      </c>
      <c r="B3569" s="96">
        <v>462656</v>
      </c>
      <c r="C3569" s="96" t="str">
        <f t="shared" si="333"/>
        <v>CPOS462656</v>
      </c>
      <c r="D3569" s="95" t="s">
        <v>3611</v>
      </c>
      <c r="E3569" s="63" t="s">
        <v>58</v>
      </c>
      <c r="F3569" s="64">
        <v>512.61</v>
      </c>
    </row>
    <row r="3570" spans="1:6" ht="30" x14ac:dyDescent="0.25">
      <c r="A3570" s="62" t="s">
        <v>4398</v>
      </c>
      <c r="B3570" s="96">
        <v>462658</v>
      </c>
      <c r="C3570" s="96" t="str">
        <f t="shared" si="333"/>
        <v>CPOS462658</v>
      </c>
      <c r="D3570" s="95" t="s">
        <v>3612</v>
      </c>
      <c r="E3570" s="63" t="s">
        <v>58</v>
      </c>
      <c r="F3570" s="64">
        <v>75.77</v>
      </c>
    </row>
    <row r="3571" spans="1:6" ht="30" x14ac:dyDescent="0.25">
      <c r="A3571" s="62" t="s">
        <v>4398</v>
      </c>
      <c r="B3571" s="96">
        <v>462659</v>
      </c>
      <c r="C3571" s="96" t="str">
        <f t="shared" si="333"/>
        <v>CPOS462659</v>
      </c>
      <c r="D3571" s="95" t="s">
        <v>3613</v>
      </c>
      <c r="E3571" s="63" t="s">
        <v>58</v>
      </c>
      <c r="F3571" s="64">
        <v>217.4</v>
      </c>
    </row>
    <row r="3572" spans="1:6" x14ac:dyDescent="0.25">
      <c r="A3572" s="62" t="s">
        <v>4398</v>
      </c>
      <c r="B3572" s="96">
        <v>462660</v>
      </c>
      <c r="C3572" s="96" t="str">
        <f t="shared" si="333"/>
        <v>CPOS462660</v>
      </c>
      <c r="D3572" s="95" t="s">
        <v>3614</v>
      </c>
      <c r="E3572" s="63" t="s">
        <v>58</v>
      </c>
      <c r="F3572" s="64">
        <v>117.38</v>
      </c>
    </row>
    <row r="3573" spans="1:6" x14ac:dyDescent="0.25">
      <c r="A3573" s="62" t="s">
        <v>4398</v>
      </c>
      <c r="B3573" s="96">
        <v>462661</v>
      </c>
      <c r="C3573" s="96" t="str">
        <f t="shared" si="333"/>
        <v>CPOS462661</v>
      </c>
      <c r="D3573" s="95" t="s">
        <v>3615</v>
      </c>
      <c r="E3573" s="63" t="s">
        <v>58</v>
      </c>
      <c r="F3573" s="64">
        <v>145.28</v>
      </c>
    </row>
    <row r="3574" spans="1:6" x14ac:dyDescent="0.25">
      <c r="A3574" s="62" t="s">
        <v>4398</v>
      </c>
      <c r="B3574" s="96">
        <v>462662</v>
      </c>
      <c r="C3574" s="96" t="str">
        <f t="shared" si="333"/>
        <v>CPOS462662</v>
      </c>
      <c r="D3574" s="95" t="s">
        <v>3616</v>
      </c>
      <c r="E3574" s="63" t="s">
        <v>58</v>
      </c>
      <c r="F3574" s="64">
        <v>206.71</v>
      </c>
    </row>
    <row r="3575" spans="1:6" x14ac:dyDescent="0.25">
      <c r="A3575" s="62" t="s">
        <v>4398</v>
      </c>
      <c r="B3575" s="96">
        <v>462663</v>
      </c>
      <c r="C3575" s="96" t="str">
        <f t="shared" si="333"/>
        <v>CPOS462663</v>
      </c>
      <c r="D3575" s="95" t="s">
        <v>3617</v>
      </c>
      <c r="E3575" s="63" t="s">
        <v>58</v>
      </c>
      <c r="F3575" s="64">
        <v>207.47</v>
      </c>
    </row>
    <row r="3576" spans="1:6" x14ac:dyDescent="0.25">
      <c r="A3576" s="62" t="s">
        <v>4398</v>
      </c>
      <c r="B3576" s="96">
        <v>462664</v>
      </c>
      <c r="C3576" s="96" t="str">
        <f t="shared" si="333"/>
        <v>CPOS462664</v>
      </c>
      <c r="D3576" s="95" t="s">
        <v>3618</v>
      </c>
      <c r="E3576" s="63" t="s">
        <v>58</v>
      </c>
      <c r="F3576" s="64">
        <v>388.06</v>
      </c>
    </row>
    <row r="3577" spans="1:6" x14ac:dyDescent="0.25">
      <c r="A3577" s="62" t="s">
        <v>4398</v>
      </c>
      <c r="B3577" s="96">
        <v>462665</v>
      </c>
      <c r="C3577" s="96" t="str">
        <f t="shared" si="333"/>
        <v>CPOS462665</v>
      </c>
      <c r="D3577" s="95" t="s">
        <v>3619</v>
      </c>
      <c r="E3577" s="63" t="s">
        <v>58</v>
      </c>
      <c r="F3577" s="64">
        <v>149.83000000000001</v>
      </c>
    </row>
    <row r="3578" spans="1:6" x14ac:dyDescent="0.25">
      <c r="A3578" s="62" t="s">
        <v>4398</v>
      </c>
      <c r="B3578" s="96">
        <v>462666</v>
      </c>
      <c r="C3578" s="96" t="str">
        <f t="shared" si="333"/>
        <v>CPOS462666</v>
      </c>
      <c r="D3578" s="95" t="s">
        <v>3620</v>
      </c>
      <c r="E3578" s="63" t="s">
        <v>58</v>
      </c>
      <c r="F3578" s="64">
        <v>149.83000000000001</v>
      </c>
    </row>
    <row r="3579" spans="1:6" x14ac:dyDescent="0.25">
      <c r="A3579" s="62" t="s">
        <v>4398</v>
      </c>
      <c r="B3579" s="96">
        <v>462667</v>
      </c>
      <c r="C3579" s="96" t="str">
        <f t="shared" si="333"/>
        <v>CPOS462667</v>
      </c>
      <c r="D3579" s="95" t="s">
        <v>3621</v>
      </c>
      <c r="E3579" s="63" t="s">
        <v>58</v>
      </c>
      <c r="F3579" s="64">
        <v>208.62</v>
      </c>
    </row>
    <row r="3580" spans="1:6" x14ac:dyDescent="0.25">
      <c r="A3580" s="62" t="s">
        <v>4398</v>
      </c>
      <c r="B3580" s="96">
        <v>462668</v>
      </c>
      <c r="C3580" s="96" t="str">
        <f t="shared" si="333"/>
        <v>CPOS462668</v>
      </c>
      <c r="D3580" s="95" t="s">
        <v>3622</v>
      </c>
      <c r="E3580" s="63" t="s">
        <v>58</v>
      </c>
      <c r="F3580" s="64">
        <v>328.19</v>
      </c>
    </row>
    <row r="3581" spans="1:6" x14ac:dyDescent="0.25">
      <c r="A3581" s="62" t="s">
        <v>4398</v>
      </c>
      <c r="B3581" s="96">
        <v>462669</v>
      </c>
      <c r="C3581" s="96" t="str">
        <f t="shared" si="333"/>
        <v>CPOS462669</v>
      </c>
      <c r="D3581" s="95" t="s">
        <v>3623</v>
      </c>
      <c r="E3581" s="63" t="s">
        <v>58</v>
      </c>
      <c r="F3581" s="64">
        <v>624.58000000000004</v>
      </c>
    </row>
    <row r="3582" spans="1:6" x14ac:dyDescent="0.25">
      <c r="A3582" s="62" t="s">
        <v>4398</v>
      </c>
      <c r="B3582" s="96">
        <v>462670</v>
      </c>
      <c r="C3582" s="96" t="str">
        <f t="shared" si="333"/>
        <v>CPOS462670</v>
      </c>
      <c r="D3582" s="95" t="s">
        <v>3624</v>
      </c>
      <c r="E3582" s="63" t="s">
        <v>58</v>
      </c>
      <c r="F3582" s="64">
        <v>367.11</v>
      </c>
    </row>
    <row r="3583" spans="1:6" x14ac:dyDescent="0.25">
      <c r="A3583" s="62" t="s">
        <v>4398</v>
      </c>
      <c r="B3583" s="96">
        <v>462671</v>
      </c>
      <c r="C3583" s="96" t="str">
        <f t="shared" si="333"/>
        <v>CPOS462671</v>
      </c>
      <c r="D3583" s="95" t="s">
        <v>3625</v>
      </c>
      <c r="E3583" s="63" t="s">
        <v>58</v>
      </c>
      <c r="F3583" s="64">
        <v>422.59000000000003</v>
      </c>
    </row>
    <row r="3584" spans="1:6" x14ac:dyDescent="0.25">
      <c r="A3584" s="62" t="s">
        <v>4398</v>
      </c>
      <c r="B3584" s="96">
        <v>462672</v>
      </c>
      <c r="C3584" s="96" t="str">
        <f t="shared" si="333"/>
        <v>CPOS462672</v>
      </c>
      <c r="D3584" s="95" t="s">
        <v>3626</v>
      </c>
      <c r="E3584" s="63" t="s">
        <v>58</v>
      </c>
      <c r="F3584" s="64">
        <v>555.58000000000004</v>
      </c>
    </row>
    <row r="3585" spans="1:6" x14ac:dyDescent="0.25">
      <c r="A3585" s="62" t="s">
        <v>4398</v>
      </c>
      <c r="B3585" s="96">
        <v>462673</v>
      </c>
      <c r="C3585" s="96" t="str">
        <f t="shared" si="333"/>
        <v>CPOS462673</v>
      </c>
      <c r="D3585" s="95" t="s">
        <v>3627</v>
      </c>
      <c r="E3585" s="63" t="s">
        <v>58</v>
      </c>
      <c r="F3585" s="64">
        <v>686.37</v>
      </c>
    </row>
    <row r="3586" spans="1:6" x14ac:dyDescent="0.25">
      <c r="A3586" s="62" t="s">
        <v>4398</v>
      </c>
      <c r="B3586" s="96">
        <v>462674</v>
      </c>
      <c r="C3586" s="96" t="str">
        <f t="shared" si="333"/>
        <v>CPOS462674</v>
      </c>
      <c r="D3586" s="95" t="s">
        <v>3628</v>
      </c>
      <c r="E3586" s="63" t="s">
        <v>58</v>
      </c>
      <c r="F3586" s="64">
        <v>1099.42</v>
      </c>
    </row>
    <row r="3587" spans="1:6" ht="30" x14ac:dyDescent="0.25">
      <c r="A3587" s="62" t="s">
        <v>4398</v>
      </c>
      <c r="B3587" s="96">
        <v>462680</v>
      </c>
      <c r="C3587" s="96" t="str">
        <f t="shared" si="333"/>
        <v>CPOS462680</v>
      </c>
      <c r="D3587" s="95" t="s">
        <v>3629</v>
      </c>
      <c r="E3587" s="63" t="s">
        <v>58</v>
      </c>
      <c r="F3587" s="64">
        <v>274.86</v>
      </c>
    </row>
    <row r="3588" spans="1:6" ht="30" x14ac:dyDescent="0.25">
      <c r="A3588" s="62" t="s">
        <v>4398</v>
      </c>
      <c r="B3588" s="96">
        <v>462681</v>
      </c>
      <c r="C3588" s="96" t="str">
        <f t="shared" si="333"/>
        <v>CPOS462681</v>
      </c>
      <c r="D3588" s="95" t="s">
        <v>3630</v>
      </c>
      <c r="E3588" s="63" t="s">
        <v>58</v>
      </c>
      <c r="F3588" s="64">
        <v>296.67</v>
      </c>
    </row>
    <row r="3589" spans="1:6" ht="30" x14ac:dyDescent="0.25">
      <c r="A3589" s="62" t="s">
        <v>4398</v>
      </c>
      <c r="B3589" s="96">
        <v>462682</v>
      </c>
      <c r="C3589" s="96" t="str">
        <f t="shared" si="333"/>
        <v>CPOS462682</v>
      </c>
      <c r="D3589" s="95" t="s">
        <v>3631</v>
      </c>
      <c r="E3589" s="63" t="s">
        <v>58</v>
      </c>
      <c r="F3589" s="64">
        <v>358.76</v>
      </c>
    </row>
    <row r="3590" spans="1:6" ht="30" x14ac:dyDescent="0.25">
      <c r="A3590" s="62" t="s">
        <v>4398</v>
      </c>
      <c r="B3590" s="96">
        <v>462683</v>
      </c>
      <c r="C3590" s="96" t="str">
        <f t="shared" si="333"/>
        <v>CPOS462683</v>
      </c>
      <c r="D3590" s="95" t="s">
        <v>3632</v>
      </c>
      <c r="E3590" s="63" t="s">
        <v>58</v>
      </c>
      <c r="F3590" s="64">
        <v>514.87</v>
      </c>
    </row>
    <row r="3591" spans="1:6" x14ac:dyDescent="0.25">
      <c r="A3591" s="62" t="s">
        <v>4398</v>
      </c>
      <c r="B3591" s="96">
        <v>462684</v>
      </c>
      <c r="C3591" s="96" t="str">
        <f t="shared" si="333"/>
        <v>CPOS462684</v>
      </c>
      <c r="D3591" s="95" t="s">
        <v>3633</v>
      </c>
      <c r="E3591" s="63" t="s">
        <v>58</v>
      </c>
      <c r="F3591" s="64">
        <v>205.05</v>
      </c>
    </row>
    <row r="3592" spans="1:6" x14ac:dyDescent="0.25">
      <c r="A3592" s="62" t="s">
        <v>4398</v>
      </c>
      <c r="B3592" s="96">
        <v>462690</v>
      </c>
      <c r="C3592" s="96" t="str">
        <f t="shared" si="333"/>
        <v>CPOS462690</v>
      </c>
      <c r="D3592" s="95" t="s">
        <v>3634</v>
      </c>
      <c r="E3592" s="63" t="s">
        <v>58</v>
      </c>
      <c r="F3592" s="64">
        <v>321.95</v>
      </c>
    </row>
    <row r="3593" spans="1:6" x14ac:dyDescent="0.25">
      <c r="A3593" s="62" t="s">
        <v>4398</v>
      </c>
      <c r="B3593" s="96">
        <v>462691</v>
      </c>
      <c r="C3593" s="96" t="str">
        <f t="shared" si="333"/>
        <v>CPOS462691</v>
      </c>
      <c r="D3593" s="95" t="s">
        <v>3635</v>
      </c>
      <c r="E3593" s="63" t="s">
        <v>58</v>
      </c>
      <c r="F3593" s="64">
        <v>429.25</v>
      </c>
    </row>
    <row r="3594" spans="1:6" x14ac:dyDescent="0.25">
      <c r="A3594" s="62" t="s">
        <v>4398</v>
      </c>
      <c r="B3594" s="96">
        <v>462692</v>
      </c>
      <c r="C3594" s="96" t="str">
        <f t="shared" si="333"/>
        <v>CPOS462692</v>
      </c>
      <c r="D3594" s="95" t="s">
        <v>3636</v>
      </c>
      <c r="E3594" s="63" t="s">
        <v>58</v>
      </c>
      <c r="F3594" s="64">
        <v>886.65</v>
      </c>
    </row>
    <row r="3595" spans="1:6" x14ac:dyDescent="0.25">
      <c r="A3595" s="62" t="s">
        <v>4398</v>
      </c>
      <c r="B3595" s="96">
        <v>462693</v>
      </c>
      <c r="C3595" s="96" t="str">
        <f t="shared" si="333"/>
        <v>CPOS462693</v>
      </c>
      <c r="D3595" s="95" t="s">
        <v>3637</v>
      </c>
      <c r="E3595" s="63" t="s">
        <v>58</v>
      </c>
      <c r="F3595" s="64">
        <v>963.87</v>
      </c>
    </row>
    <row r="3596" spans="1:6" x14ac:dyDescent="0.25">
      <c r="D3596" s="94" t="s">
        <v>3638</v>
      </c>
    </row>
    <row r="3597" spans="1:6" x14ac:dyDescent="0.25">
      <c r="A3597" s="62" t="s">
        <v>4398</v>
      </c>
      <c r="B3597" s="96">
        <v>462705</v>
      </c>
      <c r="C3597" s="96" t="str">
        <f t="shared" ref="C3597:C3604" si="334">A3597&amp;B3597</f>
        <v>CPOS462705</v>
      </c>
      <c r="D3597" s="95" t="s">
        <v>3639</v>
      </c>
      <c r="E3597" s="63" t="s">
        <v>110</v>
      </c>
      <c r="F3597" s="64">
        <v>8.57</v>
      </c>
    </row>
    <row r="3598" spans="1:6" x14ac:dyDescent="0.25">
      <c r="A3598" s="62" t="s">
        <v>4398</v>
      </c>
      <c r="B3598" s="96">
        <v>462706</v>
      </c>
      <c r="C3598" s="96" t="str">
        <f t="shared" si="334"/>
        <v>CPOS462706</v>
      </c>
      <c r="D3598" s="95" t="s">
        <v>3640</v>
      </c>
      <c r="E3598" s="63" t="s">
        <v>110</v>
      </c>
      <c r="F3598" s="64">
        <v>10.02</v>
      </c>
    </row>
    <row r="3599" spans="1:6" x14ac:dyDescent="0.25">
      <c r="A3599" s="62" t="s">
        <v>4398</v>
      </c>
      <c r="B3599" s="96">
        <v>462707</v>
      </c>
      <c r="C3599" s="96" t="str">
        <f t="shared" si="334"/>
        <v>CPOS462707</v>
      </c>
      <c r="D3599" s="95" t="s">
        <v>3641</v>
      </c>
      <c r="E3599" s="63" t="s">
        <v>110</v>
      </c>
      <c r="F3599" s="64">
        <v>11.59</v>
      </c>
    </row>
    <row r="3600" spans="1:6" x14ac:dyDescent="0.25">
      <c r="A3600" s="62" t="s">
        <v>4398</v>
      </c>
      <c r="B3600" s="96">
        <v>462708</v>
      </c>
      <c r="C3600" s="96" t="str">
        <f t="shared" si="334"/>
        <v>CPOS462708</v>
      </c>
      <c r="D3600" s="95" t="s">
        <v>3642</v>
      </c>
      <c r="E3600" s="63" t="s">
        <v>110</v>
      </c>
      <c r="F3600" s="64">
        <v>15.4</v>
      </c>
    </row>
    <row r="3601" spans="1:6" x14ac:dyDescent="0.25">
      <c r="A3601" s="62" t="s">
        <v>4398</v>
      </c>
      <c r="B3601" s="96">
        <v>462709</v>
      </c>
      <c r="C3601" s="96" t="str">
        <f t="shared" si="334"/>
        <v>CPOS462709</v>
      </c>
      <c r="D3601" s="95" t="s">
        <v>3643</v>
      </c>
      <c r="E3601" s="63" t="s">
        <v>110</v>
      </c>
      <c r="F3601" s="64">
        <v>18.420000000000002</v>
      </c>
    </row>
    <row r="3602" spans="1:6" x14ac:dyDescent="0.25">
      <c r="A3602" s="62" t="s">
        <v>4398</v>
      </c>
      <c r="B3602" s="96">
        <v>462710</v>
      </c>
      <c r="C3602" s="96" t="str">
        <f t="shared" si="334"/>
        <v>CPOS462710</v>
      </c>
      <c r="D3602" s="95" t="s">
        <v>3644</v>
      </c>
      <c r="E3602" s="63" t="s">
        <v>110</v>
      </c>
      <c r="F3602" s="64">
        <v>21.45</v>
      </c>
    </row>
    <row r="3603" spans="1:6" x14ac:dyDescent="0.25">
      <c r="A3603" s="62" t="s">
        <v>4398</v>
      </c>
      <c r="B3603" s="96">
        <v>462711</v>
      </c>
      <c r="C3603" s="96" t="str">
        <f t="shared" si="334"/>
        <v>CPOS462711</v>
      </c>
      <c r="D3603" s="95" t="s">
        <v>3645</v>
      </c>
      <c r="E3603" s="63" t="s">
        <v>110</v>
      </c>
      <c r="F3603" s="64">
        <v>24.490000000000002</v>
      </c>
    </row>
    <row r="3604" spans="1:6" x14ac:dyDescent="0.25">
      <c r="A3604" s="62" t="s">
        <v>4398</v>
      </c>
      <c r="B3604" s="96">
        <v>462730</v>
      </c>
      <c r="C3604" s="96" t="str">
        <f t="shared" si="334"/>
        <v>CPOS462730</v>
      </c>
      <c r="D3604" s="95" t="s">
        <v>3646</v>
      </c>
      <c r="E3604" s="63" t="s">
        <v>110</v>
      </c>
      <c r="F3604" s="64">
        <v>32.21</v>
      </c>
    </row>
    <row r="3605" spans="1:6" x14ac:dyDescent="0.25">
      <c r="D3605" s="94" t="s">
        <v>3647</v>
      </c>
    </row>
    <row r="3606" spans="1:6" x14ac:dyDescent="0.25">
      <c r="A3606" s="62" t="s">
        <v>4398</v>
      </c>
      <c r="B3606" s="96">
        <v>462901</v>
      </c>
      <c r="C3606" s="96" t="str">
        <f t="shared" ref="C3606:C3664" si="335">A3606&amp;B3606</f>
        <v>CPOS462901</v>
      </c>
      <c r="D3606" s="95" t="s">
        <v>3648</v>
      </c>
      <c r="E3606" s="63" t="s">
        <v>110</v>
      </c>
      <c r="F3606" s="64">
        <v>5.2</v>
      </c>
    </row>
    <row r="3607" spans="1:6" x14ac:dyDescent="0.25">
      <c r="A3607" s="62" t="s">
        <v>4398</v>
      </c>
      <c r="B3607" s="96">
        <v>462902</v>
      </c>
      <c r="C3607" s="96" t="str">
        <f t="shared" si="335"/>
        <v>CPOS462902</v>
      </c>
      <c r="D3607" s="95" t="s">
        <v>3649</v>
      </c>
      <c r="E3607" s="63" t="s">
        <v>110</v>
      </c>
      <c r="F3607" s="64">
        <v>7.11</v>
      </c>
    </row>
    <row r="3608" spans="1:6" x14ac:dyDescent="0.25">
      <c r="A3608" s="62" t="s">
        <v>4398</v>
      </c>
      <c r="B3608" s="96">
        <v>462903</v>
      </c>
      <c r="C3608" s="96" t="str">
        <f t="shared" si="335"/>
        <v>CPOS462903</v>
      </c>
      <c r="D3608" s="95" t="s">
        <v>3650</v>
      </c>
      <c r="E3608" s="63" t="s">
        <v>110</v>
      </c>
      <c r="F3608" s="64">
        <v>10.199999999999999</v>
      </c>
    </row>
    <row r="3609" spans="1:6" x14ac:dyDescent="0.25">
      <c r="A3609" s="62" t="s">
        <v>4398</v>
      </c>
      <c r="B3609" s="96">
        <v>462904</v>
      </c>
      <c r="C3609" s="96" t="str">
        <f t="shared" si="335"/>
        <v>CPOS462904</v>
      </c>
      <c r="D3609" s="95" t="s">
        <v>3651</v>
      </c>
      <c r="E3609" s="63" t="s">
        <v>110</v>
      </c>
      <c r="F3609" s="64">
        <v>15.84</v>
      </c>
    </row>
    <row r="3610" spans="1:6" x14ac:dyDescent="0.25">
      <c r="A3610" s="62" t="s">
        <v>4398</v>
      </c>
      <c r="B3610" s="96">
        <v>462905</v>
      </c>
      <c r="C3610" s="96" t="str">
        <f t="shared" si="335"/>
        <v>CPOS462905</v>
      </c>
      <c r="D3610" s="95" t="s">
        <v>3652</v>
      </c>
      <c r="E3610" s="63" t="s">
        <v>110</v>
      </c>
      <c r="F3610" s="64">
        <v>21.37</v>
      </c>
    </row>
    <row r="3611" spans="1:6" x14ac:dyDescent="0.25">
      <c r="A3611" s="62" t="s">
        <v>4398</v>
      </c>
      <c r="B3611" s="96">
        <v>462906</v>
      </c>
      <c r="C3611" s="96" t="str">
        <f t="shared" si="335"/>
        <v>CPOS462906</v>
      </c>
      <c r="D3611" s="95" t="s">
        <v>3653</v>
      </c>
      <c r="E3611" s="63" t="s">
        <v>110</v>
      </c>
      <c r="F3611" s="64">
        <v>30.43</v>
      </c>
    </row>
    <row r="3612" spans="1:6" x14ac:dyDescent="0.25">
      <c r="A3612" s="62" t="s">
        <v>4398</v>
      </c>
      <c r="B3612" s="96">
        <v>462907</v>
      </c>
      <c r="C3612" s="96" t="str">
        <f t="shared" si="335"/>
        <v>CPOS462907</v>
      </c>
      <c r="D3612" s="95" t="s">
        <v>3654</v>
      </c>
      <c r="E3612" s="63" t="s">
        <v>110</v>
      </c>
      <c r="F3612" s="64">
        <v>50.17</v>
      </c>
    </row>
    <row r="3613" spans="1:6" x14ac:dyDescent="0.25">
      <c r="A3613" s="62" t="s">
        <v>4398</v>
      </c>
      <c r="B3613" s="96">
        <v>462908</v>
      </c>
      <c r="C3613" s="96" t="str">
        <f t="shared" si="335"/>
        <v>CPOS462908</v>
      </c>
      <c r="D3613" s="95" t="s">
        <v>3655</v>
      </c>
      <c r="E3613" s="63" t="s">
        <v>110</v>
      </c>
      <c r="F3613" s="64">
        <v>67.989999999999995</v>
      </c>
    </row>
    <row r="3614" spans="1:6" x14ac:dyDescent="0.25">
      <c r="A3614" s="62" t="s">
        <v>4398</v>
      </c>
      <c r="B3614" s="96">
        <v>462909</v>
      </c>
      <c r="C3614" s="96" t="str">
        <f t="shared" si="335"/>
        <v>CPOS462909</v>
      </c>
      <c r="D3614" s="95" t="s">
        <v>3656</v>
      </c>
      <c r="E3614" s="63" t="s">
        <v>110</v>
      </c>
      <c r="F3614" s="64">
        <v>101.57000000000001</v>
      </c>
    </row>
    <row r="3615" spans="1:6" x14ac:dyDescent="0.25">
      <c r="A3615" s="62" t="s">
        <v>4398</v>
      </c>
      <c r="B3615" s="96">
        <v>462910</v>
      </c>
      <c r="C3615" s="96" t="str">
        <f t="shared" si="335"/>
        <v>CPOS462910</v>
      </c>
      <c r="D3615" s="95" t="s">
        <v>3657</v>
      </c>
      <c r="E3615" s="63" t="s">
        <v>110</v>
      </c>
      <c r="F3615" s="64">
        <v>5.3100000000000005</v>
      </c>
    </row>
    <row r="3616" spans="1:6" x14ac:dyDescent="0.25">
      <c r="A3616" s="62" t="s">
        <v>4398</v>
      </c>
      <c r="B3616" s="96">
        <v>462911</v>
      </c>
      <c r="C3616" s="96" t="str">
        <f t="shared" si="335"/>
        <v>CPOS462911</v>
      </c>
      <c r="D3616" s="95" t="s">
        <v>3658</v>
      </c>
      <c r="E3616" s="63" t="s">
        <v>110</v>
      </c>
      <c r="F3616" s="64">
        <v>7</v>
      </c>
    </row>
    <row r="3617" spans="1:6" x14ac:dyDescent="0.25">
      <c r="A3617" s="62" t="s">
        <v>4398</v>
      </c>
      <c r="B3617" s="96">
        <v>462912</v>
      </c>
      <c r="C3617" s="96" t="str">
        <f t="shared" si="335"/>
        <v>CPOS462912</v>
      </c>
      <c r="D3617" s="95" t="s">
        <v>3659</v>
      </c>
      <c r="E3617" s="63" t="s">
        <v>110</v>
      </c>
      <c r="F3617" s="64">
        <v>9.93</v>
      </c>
    </row>
    <row r="3618" spans="1:6" x14ac:dyDescent="0.25">
      <c r="A3618" s="62" t="s">
        <v>4398</v>
      </c>
      <c r="B3618" s="96">
        <v>462913</v>
      </c>
      <c r="C3618" s="96" t="str">
        <f t="shared" si="335"/>
        <v>CPOS462913</v>
      </c>
      <c r="D3618" s="95" t="s">
        <v>3660</v>
      </c>
      <c r="E3618" s="63" t="s">
        <v>110</v>
      </c>
      <c r="F3618" s="64">
        <v>19.68</v>
      </c>
    </row>
    <row r="3619" spans="1:6" x14ac:dyDescent="0.25">
      <c r="A3619" s="62" t="s">
        <v>4398</v>
      </c>
      <c r="B3619" s="96">
        <v>462914</v>
      </c>
      <c r="C3619" s="96" t="str">
        <f t="shared" si="335"/>
        <v>CPOS462914</v>
      </c>
      <c r="D3619" s="95" t="s">
        <v>3661</v>
      </c>
      <c r="E3619" s="63" t="s">
        <v>110</v>
      </c>
      <c r="F3619" s="64">
        <v>25.36</v>
      </c>
    </row>
    <row r="3620" spans="1:6" x14ac:dyDescent="0.25">
      <c r="A3620" s="62" t="s">
        <v>4398</v>
      </c>
      <c r="B3620" s="96">
        <v>462915</v>
      </c>
      <c r="C3620" s="96" t="str">
        <f t="shared" si="335"/>
        <v>CPOS462915</v>
      </c>
      <c r="D3620" s="95" t="s">
        <v>3662</v>
      </c>
      <c r="E3620" s="63" t="s">
        <v>110</v>
      </c>
      <c r="F3620" s="64">
        <v>37.409999999999997</v>
      </c>
    </row>
    <row r="3621" spans="1:6" x14ac:dyDescent="0.25">
      <c r="A3621" s="62" t="s">
        <v>4398</v>
      </c>
      <c r="B3621" s="96">
        <v>462916</v>
      </c>
      <c r="C3621" s="96" t="str">
        <f t="shared" si="335"/>
        <v>CPOS462916</v>
      </c>
      <c r="D3621" s="95" t="s">
        <v>3663</v>
      </c>
      <c r="E3621" s="63" t="s">
        <v>110</v>
      </c>
      <c r="F3621" s="64">
        <v>47.27</v>
      </c>
    </row>
    <row r="3622" spans="1:6" x14ac:dyDescent="0.25">
      <c r="A3622" s="62" t="s">
        <v>4398</v>
      </c>
      <c r="B3622" s="96">
        <v>462917</v>
      </c>
      <c r="C3622" s="96" t="str">
        <f t="shared" si="335"/>
        <v>CPOS462917</v>
      </c>
      <c r="D3622" s="95" t="s">
        <v>3664</v>
      </c>
      <c r="E3622" s="63" t="s">
        <v>110</v>
      </c>
      <c r="F3622" s="64">
        <v>72.06</v>
      </c>
    </row>
    <row r="3623" spans="1:6" x14ac:dyDescent="0.25">
      <c r="A3623" s="62" t="s">
        <v>4398</v>
      </c>
      <c r="B3623" s="96">
        <v>462918</v>
      </c>
      <c r="C3623" s="96" t="str">
        <f t="shared" si="335"/>
        <v>CPOS462918</v>
      </c>
      <c r="D3623" s="95" t="s">
        <v>3665</v>
      </c>
      <c r="E3623" s="63" t="s">
        <v>110</v>
      </c>
      <c r="F3623" s="64">
        <v>120.78</v>
      </c>
    </row>
    <row r="3624" spans="1:6" x14ac:dyDescent="0.25">
      <c r="A3624" s="62" t="s">
        <v>4398</v>
      </c>
      <c r="B3624" s="96">
        <v>462919</v>
      </c>
      <c r="C3624" s="96" t="str">
        <f t="shared" si="335"/>
        <v>CPOS462919</v>
      </c>
      <c r="D3624" s="95" t="s">
        <v>3666</v>
      </c>
      <c r="E3624" s="63" t="s">
        <v>58</v>
      </c>
      <c r="F3624" s="64">
        <v>4.46</v>
      </c>
    </row>
    <row r="3625" spans="1:6" x14ac:dyDescent="0.25">
      <c r="A3625" s="62" t="s">
        <v>4398</v>
      </c>
      <c r="B3625" s="96">
        <v>462920</v>
      </c>
      <c r="C3625" s="96" t="str">
        <f t="shared" si="335"/>
        <v>CPOS462920</v>
      </c>
      <c r="D3625" s="95" t="s">
        <v>3667</v>
      </c>
      <c r="E3625" s="63" t="s">
        <v>58</v>
      </c>
      <c r="F3625" s="64">
        <v>6.4</v>
      </c>
    </row>
    <row r="3626" spans="1:6" x14ac:dyDescent="0.25">
      <c r="A3626" s="62" t="s">
        <v>4398</v>
      </c>
      <c r="B3626" s="96">
        <v>462921</v>
      </c>
      <c r="C3626" s="96" t="str">
        <f t="shared" si="335"/>
        <v>CPOS462921</v>
      </c>
      <c r="D3626" s="95" t="s">
        <v>3668</v>
      </c>
      <c r="E3626" s="63" t="s">
        <v>58</v>
      </c>
      <c r="F3626" s="64">
        <v>6.72</v>
      </c>
    </row>
    <row r="3627" spans="1:6" x14ac:dyDescent="0.25">
      <c r="A3627" s="62" t="s">
        <v>4398</v>
      </c>
      <c r="B3627" s="96">
        <v>462922</v>
      </c>
      <c r="C3627" s="96" t="str">
        <f t="shared" si="335"/>
        <v>CPOS462922</v>
      </c>
      <c r="D3627" s="95" t="s">
        <v>3669</v>
      </c>
      <c r="E3627" s="63" t="s">
        <v>58</v>
      </c>
      <c r="F3627" s="64">
        <v>9.9499999999999993</v>
      </c>
    </row>
    <row r="3628" spans="1:6" x14ac:dyDescent="0.25">
      <c r="A3628" s="62" t="s">
        <v>4398</v>
      </c>
      <c r="B3628" s="96">
        <v>462923</v>
      </c>
      <c r="C3628" s="96" t="str">
        <f t="shared" si="335"/>
        <v>CPOS462923</v>
      </c>
      <c r="D3628" s="95" t="s">
        <v>3670</v>
      </c>
      <c r="E3628" s="63" t="s">
        <v>58</v>
      </c>
      <c r="F3628" s="64">
        <v>11.73</v>
      </c>
    </row>
    <row r="3629" spans="1:6" x14ac:dyDescent="0.25">
      <c r="A3629" s="62" t="s">
        <v>4398</v>
      </c>
      <c r="B3629" s="96">
        <v>462926</v>
      </c>
      <c r="C3629" s="96" t="str">
        <f t="shared" si="335"/>
        <v>CPOS462926</v>
      </c>
      <c r="D3629" s="95" t="s">
        <v>3671</v>
      </c>
      <c r="E3629" s="63" t="s">
        <v>58</v>
      </c>
      <c r="F3629" s="64">
        <v>12.55</v>
      </c>
    </row>
    <row r="3630" spans="1:6" x14ac:dyDescent="0.25">
      <c r="A3630" s="62" t="s">
        <v>4398</v>
      </c>
      <c r="B3630" s="96">
        <v>462927</v>
      </c>
      <c r="C3630" s="96" t="str">
        <f t="shared" si="335"/>
        <v>CPOS462927</v>
      </c>
      <c r="D3630" s="95" t="s">
        <v>3672</v>
      </c>
      <c r="E3630" s="63" t="s">
        <v>58</v>
      </c>
      <c r="F3630" s="64">
        <v>20.85</v>
      </c>
    </row>
    <row r="3631" spans="1:6" x14ac:dyDescent="0.25">
      <c r="A3631" s="62" t="s">
        <v>4398</v>
      </c>
      <c r="B3631" s="96">
        <v>462928</v>
      </c>
      <c r="C3631" s="96" t="str">
        <f t="shared" si="335"/>
        <v>CPOS462928</v>
      </c>
      <c r="D3631" s="95" t="s">
        <v>3673</v>
      </c>
      <c r="E3631" s="63" t="s">
        <v>58</v>
      </c>
      <c r="F3631" s="64">
        <v>20.94</v>
      </c>
    </row>
    <row r="3632" spans="1:6" x14ac:dyDescent="0.25">
      <c r="A3632" s="62" t="s">
        <v>4398</v>
      </c>
      <c r="B3632" s="96">
        <v>462929</v>
      </c>
      <c r="C3632" s="96" t="str">
        <f t="shared" si="335"/>
        <v>CPOS462929</v>
      </c>
      <c r="D3632" s="95" t="s">
        <v>3674</v>
      </c>
      <c r="E3632" s="63" t="s">
        <v>58</v>
      </c>
      <c r="F3632" s="64">
        <v>28.990000000000002</v>
      </c>
    </row>
    <row r="3633" spans="1:6" x14ac:dyDescent="0.25">
      <c r="A3633" s="62" t="s">
        <v>4398</v>
      </c>
      <c r="B3633" s="96">
        <v>462930</v>
      </c>
      <c r="C3633" s="96" t="str">
        <f t="shared" si="335"/>
        <v>CPOS462930</v>
      </c>
      <c r="D3633" s="95" t="s">
        <v>3675</v>
      </c>
      <c r="E3633" s="63" t="s">
        <v>58</v>
      </c>
      <c r="F3633" s="64">
        <v>31.34</v>
      </c>
    </row>
    <row r="3634" spans="1:6" x14ac:dyDescent="0.25">
      <c r="A3634" s="62" t="s">
        <v>4398</v>
      </c>
      <c r="B3634" s="96">
        <v>462931</v>
      </c>
      <c r="C3634" s="96" t="str">
        <f t="shared" si="335"/>
        <v>CPOS462931</v>
      </c>
      <c r="D3634" s="95" t="s">
        <v>3676</v>
      </c>
      <c r="E3634" s="63" t="s">
        <v>58</v>
      </c>
      <c r="F3634" s="64">
        <v>43.39</v>
      </c>
    </row>
    <row r="3635" spans="1:6" x14ac:dyDescent="0.25">
      <c r="A3635" s="62" t="s">
        <v>4398</v>
      </c>
      <c r="B3635" s="96">
        <v>462932</v>
      </c>
      <c r="C3635" s="96" t="str">
        <f t="shared" si="335"/>
        <v>CPOS462932</v>
      </c>
      <c r="D3635" s="95" t="s">
        <v>3677</v>
      </c>
      <c r="E3635" s="63" t="s">
        <v>58</v>
      </c>
      <c r="F3635" s="64">
        <v>45.13</v>
      </c>
    </row>
    <row r="3636" spans="1:6" x14ac:dyDescent="0.25">
      <c r="A3636" s="62" t="s">
        <v>4398</v>
      </c>
      <c r="B3636" s="96">
        <v>462935</v>
      </c>
      <c r="C3636" s="96" t="str">
        <f t="shared" si="335"/>
        <v>CPOS462935</v>
      </c>
      <c r="D3636" s="95" t="s">
        <v>3678</v>
      </c>
      <c r="E3636" s="63" t="s">
        <v>58</v>
      </c>
      <c r="F3636" s="64">
        <v>7.74</v>
      </c>
    </row>
    <row r="3637" spans="1:6" x14ac:dyDescent="0.25">
      <c r="A3637" s="62" t="s">
        <v>4398</v>
      </c>
      <c r="B3637" s="96">
        <v>462936</v>
      </c>
      <c r="C3637" s="96" t="str">
        <f t="shared" si="335"/>
        <v>CPOS462936</v>
      </c>
      <c r="D3637" s="95" t="s">
        <v>3679</v>
      </c>
      <c r="E3637" s="63" t="s">
        <v>58</v>
      </c>
      <c r="F3637" s="64">
        <v>10.52</v>
      </c>
    </row>
    <row r="3638" spans="1:6" x14ac:dyDescent="0.25">
      <c r="A3638" s="62" t="s">
        <v>4398</v>
      </c>
      <c r="B3638" s="96">
        <v>462937</v>
      </c>
      <c r="C3638" s="96" t="str">
        <f t="shared" si="335"/>
        <v>CPOS462937</v>
      </c>
      <c r="D3638" s="95" t="s">
        <v>3680</v>
      </c>
      <c r="E3638" s="63" t="s">
        <v>58</v>
      </c>
      <c r="F3638" s="64">
        <v>13.99</v>
      </c>
    </row>
    <row r="3639" spans="1:6" x14ac:dyDescent="0.25">
      <c r="A3639" s="62" t="s">
        <v>4398</v>
      </c>
      <c r="B3639" s="96">
        <v>462944</v>
      </c>
      <c r="C3639" s="96" t="str">
        <f t="shared" si="335"/>
        <v>CPOS462944</v>
      </c>
      <c r="D3639" s="95" t="s">
        <v>3681</v>
      </c>
      <c r="E3639" s="63" t="s">
        <v>58</v>
      </c>
      <c r="F3639" s="64">
        <v>10</v>
      </c>
    </row>
    <row r="3640" spans="1:6" x14ac:dyDescent="0.25">
      <c r="A3640" s="62" t="s">
        <v>4398</v>
      </c>
      <c r="B3640" s="96">
        <v>462945</v>
      </c>
      <c r="C3640" s="96" t="str">
        <f t="shared" si="335"/>
        <v>CPOS462945</v>
      </c>
      <c r="D3640" s="95" t="s">
        <v>3682</v>
      </c>
      <c r="E3640" s="63" t="s">
        <v>58</v>
      </c>
      <c r="F3640" s="64">
        <v>10.65</v>
      </c>
    </row>
    <row r="3641" spans="1:6" x14ac:dyDescent="0.25">
      <c r="A3641" s="62" t="s">
        <v>4398</v>
      </c>
      <c r="B3641" s="96">
        <v>462946</v>
      </c>
      <c r="C3641" s="96" t="str">
        <f t="shared" si="335"/>
        <v>CPOS462946</v>
      </c>
      <c r="D3641" s="95" t="s">
        <v>3683</v>
      </c>
      <c r="E3641" s="63" t="s">
        <v>58</v>
      </c>
      <c r="F3641" s="64">
        <v>14.370000000000001</v>
      </c>
    </row>
    <row r="3642" spans="1:6" x14ac:dyDescent="0.25">
      <c r="A3642" s="62" t="s">
        <v>4398</v>
      </c>
      <c r="B3642" s="96">
        <v>462953</v>
      </c>
      <c r="C3642" s="96" t="str">
        <f t="shared" si="335"/>
        <v>CPOS462953</v>
      </c>
      <c r="D3642" s="95" t="s">
        <v>3684</v>
      </c>
      <c r="E3642" s="63" t="s">
        <v>58</v>
      </c>
      <c r="F3642" s="64">
        <v>4.03</v>
      </c>
    </row>
    <row r="3643" spans="1:6" x14ac:dyDescent="0.25">
      <c r="A3643" s="62" t="s">
        <v>4398</v>
      </c>
      <c r="B3643" s="96">
        <v>462954</v>
      </c>
      <c r="C3643" s="96" t="str">
        <f t="shared" si="335"/>
        <v>CPOS462954</v>
      </c>
      <c r="D3643" s="95" t="s">
        <v>3685</v>
      </c>
      <c r="E3643" s="63" t="s">
        <v>58</v>
      </c>
      <c r="F3643" s="64">
        <v>4.45</v>
      </c>
    </row>
    <row r="3644" spans="1:6" x14ac:dyDescent="0.25">
      <c r="A3644" s="62" t="s">
        <v>4398</v>
      </c>
      <c r="B3644" s="96">
        <v>462955</v>
      </c>
      <c r="C3644" s="96" t="str">
        <f t="shared" si="335"/>
        <v>CPOS462955</v>
      </c>
      <c r="D3644" s="95" t="s">
        <v>3686</v>
      </c>
      <c r="E3644" s="63" t="s">
        <v>58</v>
      </c>
      <c r="F3644" s="64">
        <v>8.0399999999999991</v>
      </c>
    </row>
    <row r="3645" spans="1:6" x14ac:dyDescent="0.25">
      <c r="A3645" s="62" t="s">
        <v>4398</v>
      </c>
      <c r="B3645" s="96">
        <v>462956</v>
      </c>
      <c r="C3645" s="96" t="str">
        <f t="shared" si="335"/>
        <v>CPOS462956</v>
      </c>
      <c r="D3645" s="95" t="s">
        <v>3687</v>
      </c>
      <c r="E3645" s="63" t="s">
        <v>58</v>
      </c>
      <c r="F3645" s="64">
        <v>10.540000000000001</v>
      </c>
    </row>
    <row r="3646" spans="1:6" x14ac:dyDescent="0.25">
      <c r="A3646" s="62" t="s">
        <v>4398</v>
      </c>
      <c r="B3646" s="96">
        <v>462957</v>
      </c>
      <c r="C3646" s="96" t="str">
        <f t="shared" si="335"/>
        <v>CPOS462957</v>
      </c>
      <c r="D3646" s="95" t="s">
        <v>3688</v>
      </c>
      <c r="E3646" s="63" t="s">
        <v>58</v>
      </c>
      <c r="F3646" s="64">
        <v>12.73</v>
      </c>
    </row>
    <row r="3647" spans="1:6" x14ac:dyDescent="0.25">
      <c r="A3647" s="62" t="s">
        <v>4398</v>
      </c>
      <c r="B3647" s="96">
        <v>462958</v>
      </c>
      <c r="C3647" s="96" t="str">
        <f t="shared" si="335"/>
        <v>CPOS462958</v>
      </c>
      <c r="D3647" s="95" t="s">
        <v>3689</v>
      </c>
      <c r="E3647" s="63" t="s">
        <v>58</v>
      </c>
      <c r="F3647" s="64">
        <v>19.78</v>
      </c>
    </row>
    <row r="3648" spans="1:6" x14ac:dyDescent="0.25">
      <c r="A3648" s="62" t="s">
        <v>4398</v>
      </c>
      <c r="B3648" s="96">
        <v>462959</v>
      </c>
      <c r="C3648" s="96" t="str">
        <f t="shared" si="335"/>
        <v>CPOS462959</v>
      </c>
      <c r="D3648" s="95" t="s">
        <v>3690</v>
      </c>
      <c r="E3648" s="63" t="s">
        <v>58</v>
      </c>
      <c r="F3648" s="64">
        <v>31.46</v>
      </c>
    </row>
    <row r="3649" spans="1:6" x14ac:dyDescent="0.25">
      <c r="A3649" s="62" t="s">
        <v>4398</v>
      </c>
      <c r="B3649" s="96">
        <v>462960</v>
      </c>
      <c r="C3649" s="96" t="str">
        <f t="shared" si="335"/>
        <v>CPOS462960</v>
      </c>
      <c r="D3649" s="95" t="s">
        <v>3691</v>
      </c>
      <c r="E3649" s="63" t="s">
        <v>58</v>
      </c>
      <c r="F3649" s="64">
        <v>42.07</v>
      </c>
    </row>
    <row r="3650" spans="1:6" x14ac:dyDescent="0.25">
      <c r="A3650" s="62" t="s">
        <v>4398</v>
      </c>
      <c r="B3650" s="96">
        <v>462961</v>
      </c>
      <c r="C3650" s="96" t="str">
        <f t="shared" si="335"/>
        <v>CPOS462961</v>
      </c>
      <c r="D3650" s="95" t="s">
        <v>3692</v>
      </c>
      <c r="E3650" s="63" t="s">
        <v>58</v>
      </c>
      <c r="F3650" s="64">
        <v>83.24</v>
      </c>
    </row>
    <row r="3651" spans="1:6" x14ac:dyDescent="0.25">
      <c r="A3651" s="62" t="s">
        <v>4398</v>
      </c>
      <c r="B3651" s="96">
        <v>462964</v>
      </c>
      <c r="C3651" s="96" t="str">
        <f t="shared" si="335"/>
        <v>CPOS462964</v>
      </c>
      <c r="D3651" s="95" t="s">
        <v>3693</v>
      </c>
      <c r="E3651" s="63" t="s">
        <v>58</v>
      </c>
      <c r="F3651" s="64">
        <v>8.4700000000000006</v>
      </c>
    </row>
    <row r="3652" spans="1:6" x14ac:dyDescent="0.25">
      <c r="A3652" s="62" t="s">
        <v>4398</v>
      </c>
      <c r="B3652" s="96">
        <v>462981</v>
      </c>
      <c r="C3652" s="96" t="str">
        <f t="shared" si="335"/>
        <v>CPOS462981</v>
      </c>
      <c r="D3652" s="95" t="s">
        <v>3694</v>
      </c>
      <c r="E3652" s="63" t="s">
        <v>58</v>
      </c>
      <c r="F3652" s="64">
        <v>11.84</v>
      </c>
    </row>
    <row r="3653" spans="1:6" x14ac:dyDescent="0.25">
      <c r="A3653" s="62" t="s">
        <v>4398</v>
      </c>
      <c r="B3653" s="96">
        <v>462982</v>
      </c>
      <c r="C3653" s="96" t="str">
        <f t="shared" si="335"/>
        <v>CPOS462982</v>
      </c>
      <c r="D3653" s="95" t="s">
        <v>3695</v>
      </c>
      <c r="E3653" s="63" t="s">
        <v>58</v>
      </c>
      <c r="F3653" s="64">
        <v>18.16</v>
      </c>
    </row>
    <row r="3654" spans="1:6" x14ac:dyDescent="0.25">
      <c r="A3654" s="62" t="s">
        <v>4398</v>
      </c>
      <c r="B3654" s="96">
        <v>462983</v>
      </c>
      <c r="C3654" s="96" t="str">
        <f t="shared" si="335"/>
        <v>CPOS462983</v>
      </c>
      <c r="D3654" s="95" t="s">
        <v>3696</v>
      </c>
      <c r="E3654" s="63" t="s">
        <v>58</v>
      </c>
      <c r="F3654" s="64">
        <v>19.89</v>
      </c>
    </row>
    <row r="3655" spans="1:6" x14ac:dyDescent="0.25">
      <c r="A3655" s="62" t="s">
        <v>4398</v>
      </c>
      <c r="B3655" s="96">
        <v>462984</v>
      </c>
      <c r="C3655" s="96" t="str">
        <f t="shared" si="335"/>
        <v>CPOS462984</v>
      </c>
      <c r="D3655" s="95" t="s">
        <v>3697</v>
      </c>
      <c r="E3655" s="63" t="s">
        <v>58</v>
      </c>
      <c r="F3655" s="64">
        <v>51.57</v>
      </c>
    </row>
    <row r="3656" spans="1:6" x14ac:dyDescent="0.25">
      <c r="A3656" s="62" t="s">
        <v>4398</v>
      </c>
      <c r="B3656" s="96">
        <v>462985</v>
      </c>
      <c r="C3656" s="96" t="str">
        <f t="shared" si="335"/>
        <v>CPOS462985</v>
      </c>
      <c r="D3656" s="95" t="s">
        <v>3698</v>
      </c>
      <c r="E3656" s="63" t="s">
        <v>58</v>
      </c>
      <c r="F3656" s="64">
        <v>57.2</v>
      </c>
    </row>
    <row r="3657" spans="1:6" x14ac:dyDescent="0.25">
      <c r="A3657" s="62" t="s">
        <v>4398</v>
      </c>
      <c r="B3657" s="96">
        <v>462986</v>
      </c>
      <c r="C3657" s="96" t="str">
        <f t="shared" si="335"/>
        <v>CPOS462986</v>
      </c>
      <c r="D3657" s="95" t="s">
        <v>3699</v>
      </c>
      <c r="E3657" s="63" t="s">
        <v>58</v>
      </c>
      <c r="F3657" s="64">
        <v>95.570000000000007</v>
      </c>
    </row>
    <row r="3658" spans="1:6" x14ac:dyDescent="0.25">
      <c r="A3658" s="62" t="s">
        <v>4398</v>
      </c>
      <c r="B3658" s="96">
        <v>462987</v>
      </c>
      <c r="C3658" s="96" t="str">
        <f t="shared" si="335"/>
        <v>CPOS462987</v>
      </c>
      <c r="D3658" s="95" t="s">
        <v>3700</v>
      </c>
      <c r="E3658" s="63" t="s">
        <v>58</v>
      </c>
      <c r="F3658" s="64">
        <v>164.26</v>
      </c>
    </row>
    <row r="3659" spans="1:6" x14ac:dyDescent="0.25">
      <c r="A3659" s="62" t="s">
        <v>4398</v>
      </c>
      <c r="B3659" s="96">
        <v>462990</v>
      </c>
      <c r="C3659" s="96" t="str">
        <f t="shared" si="335"/>
        <v>CPOS462990</v>
      </c>
      <c r="D3659" s="95" t="s">
        <v>3701</v>
      </c>
      <c r="E3659" s="63" t="s">
        <v>58</v>
      </c>
      <c r="F3659" s="64">
        <v>4.18</v>
      </c>
    </row>
    <row r="3660" spans="1:6" x14ac:dyDescent="0.25">
      <c r="A3660" s="62" t="s">
        <v>4398</v>
      </c>
      <c r="B3660" s="96">
        <v>462991</v>
      </c>
      <c r="C3660" s="96" t="str">
        <f t="shared" si="335"/>
        <v>CPOS462991</v>
      </c>
      <c r="D3660" s="95" t="s">
        <v>3702</v>
      </c>
      <c r="E3660" s="63" t="s">
        <v>58</v>
      </c>
      <c r="F3660" s="64">
        <v>4.7300000000000004</v>
      </c>
    </row>
    <row r="3661" spans="1:6" x14ac:dyDescent="0.25">
      <c r="A3661" s="62" t="s">
        <v>4398</v>
      </c>
      <c r="B3661" s="96">
        <v>462992</v>
      </c>
      <c r="C3661" s="96" t="str">
        <f t="shared" si="335"/>
        <v>CPOS462992</v>
      </c>
      <c r="D3661" s="95" t="s">
        <v>3703</v>
      </c>
      <c r="E3661" s="63" t="s">
        <v>58</v>
      </c>
      <c r="F3661" s="64">
        <v>8.7100000000000009</v>
      </c>
    </row>
    <row r="3662" spans="1:6" x14ac:dyDescent="0.25">
      <c r="A3662" s="62" t="s">
        <v>4398</v>
      </c>
      <c r="B3662" s="96">
        <v>462993</v>
      </c>
      <c r="C3662" s="96" t="str">
        <f t="shared" si="335"/>
        <v>CPOS462993</v>
      </c>
      <c r="D3662" s="95" t="s">
        <v>3704</v>
      </c>
      <c r="E3662" s="63" t="s">
        <v>58</v>
      </c>
      <c r="F3662" s="64">
        <v>12.22</v>
      </c>
    </row>
    <row r="3663" spans="1:6" x14ac:dyDescent="0.25">
      <c r="A3663" s="62" t="s">
        <v>4398</v>
      </c>
      <c r="B3663" s="96">
        <v>462994</v>
      </c>
      <c r="C3663" s="96" t="str">
        <f t="shared" si="335"/>
        <v>CPOS462994</v>
      </c>
      <c r="D3663" s="95" t="s">
        <v>3705</v>
      </c>
      <c r="E3663" s="63" t="s">
        <v>58</v>
      </c>
      <c r="F3663" s="64">
        <v>15.26</v>
      </c>
    </row>
    <row r="3664" spans="1:6" x14ac:dyDescent="0.25">
      <c r="A3664" s="62" t="s">
        <v>4398</v>
      </c>
      <c r="B3664" s="96">
        <v>462995</v>
      </c>
      <c r="C3664" s="96" t="str">
        <f t="shared" si="335"/>
        <v>CPOS462995</v>
      </c>
      <c r="D3664" s="95" t="s">
        <v>3706</v>
      </c>
      <c r="E3664" s="63" t="s">
        <v>58</v>
      </c>
      <c r="F3664" s="64">
        <v>28.22</v>
      </c>
    </row>
    <row r="3665" spans="1:6" x14ac:dyDescent="0.25">
      <c r="D3665" s="94" t="s">
        <v>3647</v>
      </c>
    </row>
    <row r="3666" spans="1:6" x14ac:dyDescent="0.25">
      <c r="A3666" s="62" t="s">
        <v>4398</v>
      </c>
      <c r="B3666" s="96">
        <v>463001</v>
      </c>
      <c r="C3666" s="96" t="str">
        <f t="shared" ref="C3666:C3695" si="336">A3666&amp;B3666</f>
        <v>CPOS463001</v>
      </c>
      <c r="D3666" s="95" t="s">
        <v>3707</v>
      </c>
      <c r="E3666" s="63" t="s">
        <v>58</v>
      </c>
      <c r="F3666" s="64">
        <v>3.93</v>
      </c>
    </row>
    <row r="3667" spans="1:6" x14ac:dyDescent="0.25">
      <c r="A3667" s="62" t="s">
        <v>4398</v>
      </c>
      <c r="B3667" s="96">
        <v>463002</v>
      </c>
      <c r="C3667" s="96" t="str">
        <f t="shared" si="336"/>
        <v>CPOS463002</v>
      </c>
      <c r="D3667" s="95" t="s">
        <v>3708</v>
      </c>
      <c r="E3667" s="63" t="s">
        <v>58</v>
      </c>
      <c r="F3667" s="64">
        <v>4.75</v>
      </c>
    </row>
    <row r="3668" spans="1:6" x14ac:dyDescent="0.25">
      <c r="A3668" s="62" t="s">
        <v>4398</v>
      </c>
      <c r="B3668" s="96">
        <v>463003</v>
      </c>
      <c r="C3668" s="96" t="str">
        <f t="shared" si="336"/>
        <v>CPOS463003</v>
      </c>
      <c r="D3668" s="95" t="s">
        <v>3709</v>
      </c>
      <c r="E3668" s="63" t="s">
        <v>58</v>
      </c>
      <c r="F3668" s="64">
        <v>8.61</v>
      </c>
    </row>
    <row r="3669" spans="1:6" x14ac:dyDescent="0.25">
      <c r="A3669" s="62" t="s">
        <v>4398</v>
      </c>
      <c r="B3669" s="96">
        <v>463004</v>
      </c>
      <c r="C3669" s="96" t="str">
        <f t="shared" si="336"/>
        <v>CPOS463004</v>
      </c>
      <c r="D3669" s="95" t="s">
        <v>3710</v>
      </c>
      <c r="E3669" s="63" t="s">
        <v>58</v>
      </c>
      <c r="F3669" s="64">
        <v>10.98</v>
      </c>
    </row>
    <row r="3670" spans="1:6" x14ac:dyDescent="0.25">
      <c r="A3670" s="62" t="s">
        <v>4398</v>
      </c>
      <c r="B3670" s="96">
        <v>463005</v>
      </c>
      <c r="C3670" s="96" t="str">
        <f t="shared" si="336"/>
        <v>CPOS463005</v>
      </c>
      <c r="D3670" s="95" t="s">
        <v>3711</v>
      </c>
      <c r="E3670" s="63" t="s">
        <v>58</v>
      </c>
      <c r="F3670" s="64">
        <v>12.34</v>
      </c>
    </row>
    <row r="3671" spans="1:6" x14ac:dyDescent="0.25">
      <c r="A3671" s="62" t="s">
        <v>4398</v>
      </c>
      <c r="B3671" s="96">
        <v>463006</v>
      </c>
      <c r="C3671" s="96" t="str">
        <f t="shared" si="336"/>
        <v>CPOS463006</v>
      </c>
      <c r="D3671" s="95" t="s">
        <v>3712</v>
      </c>
      <c r="E3671" s="63" t="s">
        <v>58</v>
      </c>
      <c r="F3671" s="64">
        <v>26.16</v>
      </c>
    </row>
    <row r="3672" spans="1:6" x14ac:dyDescent="0.25">
      <c r="A3672" s="62" t="s">
        <v>4398</v>
      </c>
      <c r="B3672" s="96">
        <v>463007</v>
      </c>
      <c r="C3672" s="96" t="str">
        <f t="shared" si="336"/>
        <v>CPOS463007</v>
      </c>
      <c r="D3672" s="95" t="s">
        <v>3713</v>
      </c>
      <c r="E3672" s="63" t="s">
        <v>58</v>
      </c>
      <c r="F3672" s="64">
        <v>46.1</v>
      </c>
    </row>
    <row r="3673" spans="1:6" x14ac:dyDescent="0.25">
      <c r="A3673" s="62" t="s">
        <v>4398</v>
      </c>
      <c r="B3673" s="96">
        <v>463010</v>
      </c>
      <c r="C3673" s="96" t="str">
        <f t="shared" si="336"/>
        <v>CPOS463010</v>
      </c>
      <c r="D3673" s="95" t="s">
        <v>3714</v>
      </c>
      <c r="E3673" s="63" t="s">
        <v>58</v>
      </c>
      <c r="F3673" s="64">
        <v>9.6300000000000008</v>
      </c>
    </row>
    <row r="3674" spans="1:6" x14ac:dyDescent="0.25">
      <c r="A3674" s="62" t="s">
        <v>4398</v>
      </c>
      <c r="B3674" s="96">
        <v>463011</v>
      </c>
      <c r="C3674" s="96" t="str">
        <f t="shared" si="336"/>
        <v>CPOS463011</v>
      </c>
      <c r="D3674" s="95" t="s">
        <v>3715</v>
      </c>
      <c r="E3674" s="63" t="s">
        <v>58</v>
      </c>
      <c r="F3674" s="64">
        <v>9.9700000000000006</v>
      </c>
    </row>
    <row r="3675" spans="1:6" x14ac:dyDescent="0.25">
      <c r="A3675" s="62" t="s">
        <v>4398</v>
      </c>
      <c r="B3675" s="96">
        <v>463014</v>
      </c>
      <c r="C3675" s="96" t="str">
        <f t="shared" si="336"/>
        <v>CPOS463014</v>
      </c>
      <c r="D3675" s="95" t="s">
        <v>3716</v>
      </c>
      <c r="E3675" s="63" t="s">
        <v>58</v>
      </c>
      <c r="F3675" s="64">
        <v>13.41</v>
      </c>
    </row>
    <row r="3676" spans="1:6" x14ac:dyDescent="0.25">
      <c r="A3676" s="62" t="s">
        <v>4398</v>
      </c>
      <c r="B3676" s="96">
        <v>463015</v>
      </c>
      <c r="C3676" s="96" t="str">
        <f t="shared" si="336"/>
        <v>CPOS463015</v>
      </c>
      <c r="D3676" s="95" t="s">
        <v>3717</v>
      </c>
      <c r="E3676" s="63" t="s">
        <v>58</v>
      </c>
      <c r="F3676" s="64">
        <v>17.940000000000001</v>
      </c>
    </row>
    <row r="3677" spans="1:6" x14ac:dyDescent="0.25">
      <c r="A3677" s="62" t="s">
        <v>4398</v>
      </c>
      <c r="B3677" s="96">
        <v>463028</v>
      </c>
      <c r="C3677" s="96" t="str">
        <f t="shared" si="336"/>
        <v>CPOS463028</v>
      </c>
      <c r="D3677" s="95" t="s">
        <v>3718</v>
      </c>
      <c r="E3677" s="63" t="s">
        <v>58</v>
      </c>
      <c r="F3677" s="64">
        <v>6.08</v>
      </c>
    </row>
    <row r="3678" spans="1:6" x14ac:dyDescent="0.25">
      <c r="A3678" s="62" t="s">
        <v>4398</v>
      </c>
      <c r="B3678" s="96">
        <v>463029</v>
      </c>
      <c r="C3678" s="96" t="str">
        <f t="shared" si="336"/>
        <v>CPOS463029</v>
      </c>
      <c r="D3678" s="95" t="s">
        <v>3719</v>
      </c>
      <c r="E3678" s="63" t="s">
        <v>58</v>
      </c>
      <c r="F3678" s="64">
        <v>7.11</v>
      </c>
    </row>
    <row r="3679" spans="1:6" x14ac:dyDescent="0.25">
      <c r="A3679" s="62" t="s">
        <v>4398</v>
      </c>
      <c r="B3679" s="96">
        <v>463030</v>
      </c>
      <c r="C3679" s="96" t="str">
        <f t="shared" si="336"/>
        <v>CPOS463030</v>
      </c>
      <c r="D3679" s="95" t="s">
        <v>3720</v>
      </c>
      <c r="E3679" s="63" t="s">
        <v>58</v>
      </c>
      <c r="F3679" s="64">
        <v>12.89</v>
      </c>
    </row>
    <row r="3680" spans="1:6" x14ac:dyDescent="0.25">
      <c r="A3680" s="62" t="s">
        <v>4398</v>
      </c>
      <c r="B3680" s="96">
        <v>463031</v>
      </c>
      <c r="C3680" s="96" t="str">
        <f t="shared" si="336"/>
        <v>CPOS463031</v>
      </c>
      <c r="D3680" s="95" t="s">
        <v>3721</v>
      </c>
      <c r="E3680" s="63" t="s">
        <v>58</v>
      </c>
      <c r="F3680" s="64">
        <v>16.690000000000001</v>
      </c>
    </row>
    <row r="3681" spans="1:6" x14ac:dyDescent="0.25">
      <c r="A3681" s="62" t="s">
        <v>4398</v>
      </c>
      <c r="B3681" s="96">
        <v>463032</v>
      </c>
      <c r="C3681" s="96" t="str">
        <f t="shared" si="336"/>
        <v>CPOS463032</v>
      </c>
      <c r="D3681" s="95" t="s">
        <v>3722</v>
      </c>
      <c r="E3681" s="63" t="s">
        <v>58</v>
      </c>
      <c r="F3681" s="64">
        <v>19.78</v>
      </c>
    </row>
    <row r="3682" spans="1:6" x14ac:dyDescent="0.25">
      <c r="A3682" s="62" t="s">
        <v>4398</v>
      </c>
      <c r="B3682" s="96">
        <v>463033</v>
      </c>
      <c r="C3682" s="96" t="str">
        <f t="shared" si="336"/>
        <v>CPOS463033</v>
      </c>
      <c r="D3682" s="95" t="s">
        <v>3723</v>
      </c>
      <c r="E3682" s="63" t="s">
        <v>58</v>
      </c>
      <c r="F3682" s="64">
        <v>36.32</v>
      </c>
    </row>
    <row r="3683" spans="1:6" x14ac:dyDescent="0.25">
      <c r="A3683" s="62" t="s">
        <v>4398</v>
      </c>
      <c r="B3683" s="96">
        <v>463034</v>
      </c>
      <c r="C3683" s="96" t="str">
        <f t="shared" si="336"/>
        <v>CPOS463034</v>
      </c>
      <c r="D3683" s="95" t="s">
        <v>3724</v>
      </c>
      <c r="E3683" s="63" t="s">
        <v>58</v>
      </c>
      <c r="F3683" s="64">
        <v>56.63</v>
      </c>
    </row>
    <row r="3684" spans="1:6" x14ac:dyDescent="0.25">
      <c r="A3684" s="62" t="s">
        <v>4398</v>
      </c>
      <c r="B3684" s="96">
        <v>463039</v>
      </c>
      <c r="C3684" s="96" t="str">
        <f t="shared" si="336"/>
        <v>CPOS463039</v>
      </c>
      <c r="D3684" s="95" t="s">
        <v>3725</v>
      </c>
      <c r="E3684" s="63" t="s">
        <v>58</v>
      </c>
      <c r="F3684" s="64">
        <v>7.57</v>
      </c>
    </row>
    <row r="3685" spans="1:6" x14ac:dyDescent="0.25">
      <c r="A3685" s="62" t="s">
        <v>4398</v>
      </c>
      <c r="B3685" s="96">
        <v>463042</v>
      </c>
      <c r="C3685" s="96" t="str">
        <f t="shared" si="336"/>
        <v>CPOS463042</v>
      </c>
      <c r="D3685" s="95" t="s">
        <v>3726</v>
      </c>
      <c r="E3685" s="63" t="s">
        <v>58</v>
      </c>
      <c r="F3685" s="64">
        <v>12.39</v>
      </c>
    </row>
    <row r="3686" spans="1:6" x14ac:dyDescent="0.25">
      <c r="A3686" s="62" t="s">
        <v>4398</v>
      </c>
      <c r="B3686" s="96">
        <v>463044</v>
      </c>
      <c r="C3686" s="96" t="str">
        <f t="shared" si="336"/>
        <v>CPOS463044</v>
      </c>
      <c r="D3686" s="95" t="s">
        <v>3727</v>
      </c>
      <c r="E3686" s="63" t="s">
        <v>58</v>
      </c>
      <c r="F3686" s="64">
        <v>18.510000000000002</v>
      </c>
    </row>
    <row r="3687" spans="1:6" x14ac:dyDescent="0.25">
      <c r="A3687" s="62" t="s">
        <v>4398</v>
      </c>
      <c r="B3687" s="96">
        <v>463047</v>
      </c>
      <c r="C3687" s="96" t="str">
        <f t="shared" si="336"/>
        <v>CPOS463047</v>
      </c>
      <c r="D3687" s="95" t="s">
        <v>3728</v>
      </c>
      <c r="E3687" s="63" t="s">
        <v>58</v>
      </c>
      <c r="F3687" s="64">
        <v>32.85</v>
      </c>
    </row>
    <row r="3688" spans="1:6" x14ac:dyDescent="0.25">
      <c r="A3688" s="62" t="s">
        <v>4398</v>
      </c>
      <c r="B3688" s="96">
        <v>463048</v>
      </c>
      <c r="C3688" s="96" t="str">
        <f t="shared" si="336"/>
        <v>CPOS463048</v>
      </c>
      <c r="D3688" s="95" t="s">
        <v>3729</v>
      </c>
      <c r="E3688" s="63" t="s">
        <v>58</v>
      </c>
      <c r="F3688" s="64">
        <v>35.28</v>
      </c>
    </row>
    <row r="3689" spans="1:6" x14ac:dyDescent="0.25">
      <c r="A3689" s="62" t="s">
        <v>4398</v>
      </c>
      <c r="B3689" s="96">
        <v>463053</v>
      </c>
      <c r="C3689" s="96" t="str">
        <f t="shared" si="336"/>
        <v>CPOS463053</v>
      </c>
      <c r="D3689" s="95" t="s">
        <v>3730</v>
      </c>
      <c r="E3689" s="63" t="s">
        <v>58</v>
      </c>
      <c r="F3689" s="64">
        <v>142.47</v>
      </c>
    </row>
    <row r="3690" spans="1:6" x14ac:dyDescent="0.25">
      <c r="A3690" s="62" t="s">
        <v>4398</v>
      </c>
      <c r="B3690" s="96">
        <v>463054</v>
      </c>
      <c r="C3690" s="96" t="str">
        <f t="shared" si="336"/>
        <v>CPOS463054</v>
      </c>
      <c r="D3690" s="95" t="s">
        <v>3731</v>
      </c>
      <c r="E3690" s="63" t="s">
        <v>58</v>
      </c>
      <c r="F3690" s="64">
        <v>174.62</v>
      </c>
    </row>
    <row r="3691" spans="1:6" x14ac:dyDescent="0.25">
      <c r="A3691" s="62" t="s">
        <v>4398</v>
      </c>
      <c r="B3691" s="96">
        <v>463078</v>
      </c>
      <c r="C3691" s="96" t="str">
        <f t="shared" si="336"/>
        <v>CPOS463078</v>
      </c>
      <c r="D3691" s="95" t="s">
        <v>3732</v>
      </c>
      <c r="E3691" s="63" t="s">
        <v>58</v>
      </c>
      <c r="F3691" s="64">
        <v>10.8</v>
      </c>
    </row>
    <row r="3692" spans="1:6" x14ac:dyDescent="0.25">
      <c r="A3692" s="62" t="s">
        <v>4398</v>
      </c>
      <c r="B3692" s="96">
        <v>463086</v>
      </c>
      <c r="C3692" s="96" t="str">
        <f t="shared" si="336"/>
        <v>CPOS463086</v>
      </c>
      <c r="D3692" s="95" t="s">
        <v>3733</v>
      </c>
      <c r="E3692" s="63" t="s">
        <v>58</v>
      </c>
      <c r="F3692" s="64">
        <v>11.71</v>
      </c>
    </row>
    <row r="3693" spans="1:6" x14ac:dyDescent="0.25">
      <c r="A3693" s="62" t="s">
        <v>4398</v>
      </c>
      <c r="B3693" s="96">
        <v>463087</v>
      </c>
      <c r="C3693" s="96" t="str">
        <f t="shared" si="336"/>
        <v>CPOS463087</v>
      </c>
      <c r="D3693" s="95" t="s">
        <v>3734</v>
      </c>
      <c r="E3693" s="63" t="s">
        <v>58</v>
      </c>
      <c r="F3693" s="64">
        <v>13.24</v>
      </c>
    </row>
    <row r="3694" spans="1:6" x14ac:dyDescent="0.25">
      <c r="A3694" s="62" t="s">
        <v>4398</v>
      </c>
      <c r="B3694" s="96">
        <v>463088</v>
      </c>
      <c r="C3694" s="96" t="str">
        <f t="shared" si="336"/>
        <v>CPOS463088</v>
      </c>
      <c r="D3694" s="95" t="s">
        <v>3735</v>
      </c>
      <c r="E3694" s="63" t="s">
        <v>58</v>
      </c>
      <c r="F3694" s="64">
        <v>13.700000000000001</v>
      </c>
    </row>
    <row r="3695" spans="1:6" x14ac:dyDescent="0.25">
      <c r="A3695" s="62" t="s">
        <v>4398</v>
      </c>
      <c r="B3695" s="96">
        <v>463096</v>
      </c>
      <c r="C3695" s="96" t="str">
        <f t="shared" si="336"/>
        <v>CPOS463096</v>
      </c>
      <c r="D3695" s="95" t="s">
        <v>3736</v>
      </c>
      <c r="E3695" s="63" t="s">
        <v>58</v>
      </c>
      <c r="F3695" s="64">
        <v>20.580000000000002</v>
      </c>
    </row>
    <row r="3696" spans="1:6" x14ac:dyDescent="0.25">
      <c r="D3696" s="94" t="s">
        <v>3737</v>
      </c>
    </row>
    <row r="3697" spans="1:6" x14ac:dyDescent="0.25">
      <c r="D3697" s="94" t="s">
        <v>3738</v>
      </c>
    </row>
    <row r="3698" spans="1:6" x14ac:dyDescent="0.25">
      <c r="A3698" s="62" t="s">
        <v>4398</v>
      </c>
      <c r="B3698" s="96">
        <v>470101</v>
      </c>
      <c r="C3698" s="96" t="str">
        <f t="shared" ref="C3698:C3713" si="337">A3698&amp;B3698</f>
        <v>CPOS470101</v>
      </c>
      <c r="D3698" s="95" t="s">
        <v>3739</v>
      </c>
      <c r="E3698" s="63" t="s">
        <v>58</v>
      </c>
      <c r="F3698" s="64">
        <v>33.909999999999997</v>
      </c>
    </row>
    <row r="3699" spans="1:6" x14ac:dyDescent="0.25">
      <c r="A3699" s="62" t="s">
        <v>4398</v>
      </c>
      <c r="B3699" s="96">
        <v>470102</v>
      </c>
      <c r="C3699" s="96" t="str">
        <f t="shared" si="337"/>
        <v>CPOS470102</v>
      </c>
      <c r="D3699" s="95" t="s">
        <v>3740</v>
      </c>
      <c r="E3699" s="63" t="s">
        <v>58</v>
      </c>
      <c r="F3699" s="64">
        <v>43.28</v>
      </c>
    </row>
    <row r="3700" spans="1:6" x14ac:dyDescent="0.25">
      <c r="A3700" s="62" t="s">
        <v>4398</v>
      </c>
      <c r="B3700" s="96">
        <v>470103</v>
      </c>
      <c r="C3700" s="96" t="str">
        <f t="shared" si="337"/>
        <v>CPOS470103</v>
      </c>
      <c r="D3700" s="95" t="s">
        <v>3741</v>
      </c>
      <c r="E3700" s="63" t="s">
        <v>58</v>
      </c>
      <c r="F3700" s="64">
        <v>56.04</v>
      </c>
    </row>
    <row r="3701" spans="1:6" x14ac:dyDescent="0.25">
      <c r="A3701" s="62" t="s">
        <v>4398</v>
      </c>
      <c r="B3701" s="96">
        <v>470104</v>
      </c>
      <c r="C3701" s="96" t="str">
        <f t="shared" si="337"/>
        <v>CPOS470104</v>
      </c>
      <c r="D3701" s="95" t="s">
        <v>3742</v>
      </c>
      <c r="E3701" s="63" t="s">
        <v>58</v>
      </c>
      <c r="F3701" s="64">
        <v>69.099999999999994</v>
      </c>
    </row>
    <row r="3702" spans="1:6" x14ac:dyDescent="0.25">
      <c r="A3702" s="62" t="s">
        <v>4398</v>
      </c>
      <c r="B3702" s="96">
        <v>470105</v>
      </c>
      <c r="C3702" s="96" t="str">
        <f t="shared" si="337"/>
        <v>CPOS470105</v>
      </c>
      <c r="D3702" s="95" t="s">
        <v>3743</v>
      </c>
      <c r="E3702" s="63" t="s">
        <v>58</v>
      </c>
      <c r="F3702" s="64">
        <v>88.17</v>
      </c>
    </row>
    <row r="3703" spans="1:6" x14ac:dyDescent="0.25">
      <c r="A3703" s="62" t="s">
        <v>4398</v>
      </c>
      <c r="B3703" s="96">
        <v>470106</v>
      </c>
      <c r="C3703" s="96" t="str">
        <f t="shared" si="337"/>
        <v>CPOS470106</v>
      </c>
      <c r="D3703" s="95" t="s">
        <v>3744</v>
      </c>
      <c r="E3703" s="63" t="s">
        <v>58</v>
      </c>
      <c r="F3703" s="64">
        <v>113.81</v>
      </c>
    </row>
    <row r="3704" spans="1:6" x14ac:dyDescent="0.25">
      <c r="A3704" s="62" t="s">
        <v>4398</v>
      </c>
      <c r="B3704" s="96">
        <v>470107</v>
      </c>
      <c r="C3704" s="96" t="str">
        <f t="shared" si="337"/>
        <v>CPOS470107</v>
      </c>
      <c r="D3704" s="95" t="s">
        <v>3745</v>
      </c>
      <c r="E3704" s="63" t="s">
        <v>58</v>
      </c>
      <c r="F3704" s="64">
        <v>245.8</v>
      </c>
    </row>
    <row r="3705" spans="1:6" x14ac:dyDescent="0.25">
      <c r="A3705" s="62" t="s">
        <v>4398</v>
      </c>
      <c r="B3705" s="96">
        <v>470108</v>
      </c>
      <c r="C3705" s="96" t="str">
        <f t="shared" si="337"/>
        <v>CPOS470108</v>
      </c>
      <c r="D3705" s="95" t="s">
        <v>3746</v>
      </c>
      <c r="E3705" s="63" t="s">
        <v>58</v>
      </c>
      <c r="F3705" s="64">
        <v>378.71</v>
      </c>
    </row>
    <row r="3706" spans="1:6" x14ac:dyDescent="0.25">
      <c r="A3706" s="62" t="s">
        <v>4398</v>
      </c>
      <c r="B3706" s="96">
        <v>470109</v>
      </c>
      <c r="C3706" s="96" t="str">
        <f t="shared" si="337"/>
        <v>CPOS470109</v>
      </c>
      <c r="D3706" s="95" t="s">
        <v>3747</v>
      </c>
      <c r="E3706" s="63" t="s">
        <v>58</v>
      </c>
      <c r="F3706" s="64">
        <v>631.17999999999995</v>
      </c>
    </row>
    <row r="3707" spans="1:6" x14ac:dyDescent="0.25">
      <c r="A3707" s="62" t="s">
        <v>4398</v>
      </c>
      <c r="B3707" s="96">
        <v>470113</v>
      </c>
      <c r="C3707" s="96" t="str">
        <f t="shared" si="337"/>
        <v>CPOS470113</v>
      </c>
      <c r="D3707" s="95" t="s">
        <v>3748</v>
      </c>
      <c r="E3707" s="63" t="s">
        <v>58</v>
      </c>
      <c r="F3707" s="64">
        <v>46.050000000000004</v>
      </c>
    </row>
    <row r="3708" spans="1:6" ht="30" x14ac:dyDescent="0.25">
      <c r="A3708" s="62" t="s">
        <v>4398</v>
      </c>
      <c r="B3708" s="96">
        <v>470117</v>
      </c>
      <c r="C3708" s="96" t="str">
        <f t="shared" si="337"/>
        <v>CPOS470117</v>
      </c>
      <c r="D3708" s="95" t="s">
        <v>3749</v>
      </c>
      <c r="E3708" s="63" t="s">
        <v>58</v>
      </c>
      <c r="F3708" s="64">
        <v>24.43</v>
      </c>
    </row>
    <row r="3709" spans="1:6" ht="30" x14ac:dyDescent="0.25">
      <c r="A3709" s="62" t="s">
        <v>4398</v>
      </c>
      <c r="B3709" s="96">
        <v>470118</v>
      </c>
      <c r="C3709" s="96" t="str">
        <f t="shared" si="337"/>
        <v>CPOS470118</v>
      </c>
      <c r="D3709" s="95" t="s">
        <v>3750</v>
      </c>
      <c r="E3709" s="63" t="s">
        <v>58</v>
      </c>
      <c r="F3709" s="64">
        <v>37.630000000000003</v>
      </c>
    </row>
    <row r="3710" spans="1:6" ht="30" x14ac:dyDescent="0.25">
      <c r="A3710" s="62" t="s">
        <v>4398</v>
      </c>
      <c r="B3710" s="96">
        <v>470119</v>
      </c>
      <c r="C3710" s="96" t="str">
        <f t="shared" si="337"/>
        <v>CPOS470119</v>
      </c>
      <c r="D3710" s="95" t="s">
        <v>3751</v>
      </c>
      <c r="E3710" s="63" t="s">
        <v>58</v>
      </c>
      <c r="F3710" s="64">
        <v>38.74</v>
      </c>
    </row>
    <row r="3711" spans="1:6" ht="30" x14ac:dyDescent="0.25">
      <c r="A3711" s="62" t="s">
        <v>4398</v>
      </c>
      <c r="B3711" s="96">
        <v>470120</v>
      </c>
      <c r="C3711" s="96" t="str">
        <f t="shared" si="337"/>
        <v>CPOS470120</v>
      </c>
      <c r="D3711" s="95" t="s">
        <v>3752</v>
      </c>
      <c r="E3711" s="63" t="s">
        <v>58</v>
      </c>
      <c r="F3711" s="64">
        <v>142.06</v>
      </c>
    </row>
    <row r="3712" spans="1:6" ht="30" x14ac:dyDescent="0.25">
      <c r="A3712" s="62" t="s">
        <v>4398</v>
      </c>
      <c r="B3712" s="96">
        <v>470121</v>
      </c>
      <c r="C3712" s="96" t="str">
        <f t="shared" si="337"/>
        <v>CPOS470121</v>
      </c>
      <c r="D3712" s="95" t="s">
        <v>3753</v>
      </c>
      <c r="E3712" s="63" t="s">
        <v>58</v>
      </c>
      <c r="F3712" s="64">
        <v>108.63</v>
      </c>
    </row>
    <row r="3713" spans="1:6" ht="30" x14ac:dyDescent="0.25">
      <c r="A3713" s="62" t="s">
        <v>4398</v>
      </c>
      <c r="B3713" s="96">
        <v>470122</v>
      </c>
      <c r="C3713" s="96" t="str">
        <f t="shared" si="337"/>
        <v>CPOS470122</v>
      </c>
      <c r="D3713" s="95" t="s">
        <v>3754</v>
      </c>
      <c r="E3713" s="63" t="s">
        <v>58</v>
      </c>
      <c r="F3713" s="64">
        <v>391.18</v>
      </c>
    </row>
    <row r="3714" spans="1:6" x14ac:dyDescent="0.25">
      <c r="D3714" s="94" t="s">
        <v>3755</v>
      </c>
    </row>
    <row r="3715" spans="1:6" ht="30" x14ac:dyDescent="0.25">
      <c r="A3715" s="62" t="s">
        <v>4398</v>
      </c>
      <c r="B3715" s="96">
        <v>470201</v>
      </c>
      <c r="C3715" s="96" t="str">
        <f t="shared" ref="C3715:C3723" si="338">A3715&amp;B3715</f>
        <v>CPOS470201</v>
      </c>
      <c r="D3715" s="95" t="s">
        <v>3756</v>
      </c>
      <c r="E3715" s="63" t="s">
        <v>58</v>
      </c>
      <c r="F3715" s="64">
        <v>62.54</v>
      </c>
    </row>
    <row r="3716" spans="1:6" ht="30" x14ac:dyDescent="0.25">
      <c r="A3716" s="62" t="s">
        <v>4398</v>
      </c>
      <c r="B3716" s="96">
        <v>470202</v>
      </c>
      <c r="C3716" s="96" t="str">
        <f t="shared" si="338"/>
        <v>CPOS470202</v>
      </c>
      <c r="D3716" s="95" t="s">
        <v>3757</v>
      </c>
      <c r="E3716" s="63" t="s">
        <v>58</v>
      </c>
      <c r="F3716" s="64">
        <v>77.55</v>
      </c>
    </row>
    <row r="3717" spans="1:6" x14ac:dyDescent="0.25">
      <c r="A3717" s="62" t="s">
        <v>4398</v>
      </c>
      <c r="B3717" s="96">
        <v>470203</v>
      </c>
      <c r="C3717" s="96" t="str">
        <f t="shared" si="338"/>
        <v>CPOS470203</v>
      </c>
      <c r="D3717" s="95" t="s">
        <v>3758</v>
      </c>
      <c r="E3717" s="63" t="s">
        <v>58</v>
      </c>
      <c r="F3717" s="64">
        <v>91.3</v>
      </c>
    </row>
    <row r="3718" spans="1:6" ht="30" x14ac:dyDescent="0.25">
      <c r="A3718" s="62" t="s">
        <v>4398</v>
      </c>
      <c r="B3718" s="96">
        <v>470204</v>
      </c>
      <c r="C3718" s="96" t="str">
        <f t="shared" si="338"/>
        <v>CPOS470204</v>
      </c>
      <c r="D3718" s="95" t="s">
        <v>3759</v>
      </c>
      <c r="E3718" s="63" t="s">
        <v>58</v>
      </c>
      <c r="F3718" s="64">
        <v>127.38000000000001</v>
      </c>
    </row>
    <row r="3719" spans="1:6" ht="30" x14ac:dyDescent="0.25">
      <c r="A3719" s="62" t="s">
        <v>4398</v>
      </c>
      <c r="B3719" s="96">
        <v>470205</v>
      </c>
      <c r="C3719" s="96" t="str">
        <f t="shared" si="338"/>
        <v>CPOS470205</v>
      </c>
      <c r="D3719" s="95" t="s">
        <v>3760</v>
      </c>
      <c r="E3719" s="63" t="s">
        <v>58</v>
      </c>
      <c r="F3719" s="64">
        <v>133.11000000000001</v>
      </c>
    </row>
    <row r="3720" spans="1:6" ht="30" x14ac:dyDescent="0.25">
      <c r="A3720" s="62" t="s">
        <v>4398</v>
      </c>
      <c r="B3720" s="96">
        <v>470210</v>
      </c>
      <c r="C3720" s="96" t="str">
        <f t="shared" si="338"/>
        <v>CPOS470210</v>
      </c>
      <c r="D3720" s="95" t="s">
        <v>3761</v>
      </c>
      <c r="E3720" s="63" t="s">
        <v>58</v>
      </c>
      <c r="F3720" s="64">
        <v>65.72</v>
      </c>
    </row>
    <row r="3721" spans="1:6" ht="30" x14ac:dyDescent="0.25">
      <c r="A3721" s="62" t="s">
        <v>4398</v>
      </c>
      <c r="B3721" s="96">
        <v>470211</v>
      </c>
      <c r="C3721" s="96" t="str">
        <f t="shared" si="338"/>
        <v>CPOS470211</v>
      </c>
      <c r="D3721" s="95" t="s">
        <v>3762</v>
      </c>
      <c r="E3721" s="63" t="s">
        <v>58</v>
      </c>
      <c r="F3721" s="64">
        <v>75.75</v>
      </c>
    </row>
    <row r="3722" spans="1:6" ht="30" x14ac:dyDescent="0.25">
      <c r="A3722" s="62" t="s">
        <v>4398</v>
      </c>
      <c r="B3722" s="96">
        <v>470220</v>
      </c>
      <c r="C3722" s="96" t="str">
        <f t="shared" si="338"/>
        <v>CPOS470220</v>
      </c>
      <c r="D3722" s="95" t="s">
        <v>3763</v>
      </c>
      <c r="E3722" s="63" t="s">
        <v>58</v>
      </c>
      <c r="F3722" s="64">
        <v>47.85</v>
      </c>
    </row>
    <row r="3723" spans="1:6" ht="30" x14ac:dyDescent="0.25">
      <c r="A3723" s="62" t="s">
        <v>4398</v>
      </c>
      <c r="B3723" s="96">
        <v>470221</v>
      </c>
      <c r="C3723" s="96" t="str">
        <f t="shared" si="338"/>
        <v>CPOS470221</v>
      </c>
      <c r="D3723" s="95" t="s">
        <v>3764</v>
      </c>
      <c r="E3723" s="63" t="s">
        <v>58</v>
      </c>
      <c r="F3723" s="64">
        <v>59.550000000000004</v>
      </c>
    </row>
    <row r="3724" spans="1:6" x14ac:dyDescent="0.25">
      <c r="D3724" s="94" t="s">
        <v>3765</v>
      </c>
    </row>
    <row r="3725" spans="1:6" ht="30" x14ac:dyDescent="0.25">
      <c r="A3725" s="62" t="s">
        <v>4398</v>
      </c>
      <c r="B3725" s="96">
        <v>470402</v>
      </c>
      <c r="C3725" s="96" t="str">
        <f t="shared" ref="C3725:C3734" si="339">A3725&amp;B3725</f>
        <v>CPOS470402</v>
      </c>
      <c r="D3725" s="95" t="s">
        <v>3766</v>
      </c>
      <c r="E3725" s="63" t="s">
        <v>58</v>
      </c>
      <c r="F3725" s="64">
        <v>248.06</v>
      </c>
    </row>
    <row r="3726" spans="1:6" x14ac:dyDescent="0.25">
      <c r="A3726" s="62" t="s">
        <v>4398</v>
      </c>
      <c r="B3726" s="96">
        <v>470403</v>
      </c>
      <c r="C3726" s="96" t="str">
        <f t="shared" si="339"/>
        <v>CPOS470403</v>
      </c>
      <c r="D3726" s="95" t="s">
        <v>3767</v>
      </c>
      <c r="E3726" s="63" t="s">
        <v>58</v>
      </c>
      <c r="F3726" s="64">
        <v>211.91</v>
      </c>
    </row>
    <row r="3727" spans="1:6" x14ac:dyDescent="0.25">
      <c r="A3727" s="62" t="s">
        <v>4398</v>
      </c>
      <c r="B3727" s="96">
        <v>470404</v>
      </c>
      <c r="C3727" s="96" t="str">
        <f t="shared" si="339"/>
        <v>CPOS470404</v>
      </c>
      <c r="D3727" s="95" t="s">
        <v>3768</v>
      </c>
      <c r="E3727" s="63" t="s">
        <v>58</v>
      </c>
      <c r="F3727" s="64">
        <v>209.61</v>
      </c>
    </row>
    <row r="3728" spans="1:6" x14ac:dyDescent="0.25">
      <c r="A3728" s="62" t="s">
        <v>4398</v>
      </c>
      <c r="B3728" s="96">
        <v>470405</v>
      </c>
      <c r="C3728" s="96" t="str">
        <f t="shared" si="339"/>
        <v>CPOS470405</v>
      </c>
      <c r="D3728" s="95" t="s">
        <v>3769</v>
      </c>
      <c r="E3728" s="63" t="s">
        <v>58</v>
      </c>
      <c r="F3728" s="64">
        <v>279.75</v>
      </c>
    </row>
    <row r="3729" spans="1:6" ht="30" x14ac:dyDescent="0.25">
      <c r="A3729" s="62" t="s">
        <v>4398</v>
      </c>
      <c r="B3729" s="96">
        <v>470408</v>
      </c>
      <c r="C3729" s="96" t="str">
        <f t="shared" si="339"/>
        <v>CPOS470408</v>
      </c>
      <c r="D3729" s="95" t="s">
        <v>3770</v>
      </c>
      <c r="E3729" s="63" t="s">
        <v>58</v>
      </c>
      <c r="F3729" s="64">
        <v>408.3</v>
      </c>
    </row>
    <row r="3730" spans="1:6" x14ac:dyDescent="0.25">
      <c r="A3730" s="62" t="s">
        <v>4398</v>
      </c>
      <c r="B3730" s="96">
        <v>470409</v>
      </c>
      <c r="C3730" s="96" t="str">
        <f t="shared" si="339"/>
        <v>CPOS470409</v>
      </c>
      <c r="D3730" s="95" t="s">
        <v>3771</v>
      </c>
      <c r="E3730" s="63" t="s">
        <v>58</v>
      </c>
      <c r="F3730" s="64">
        <v>279.2</v>
      </c>
    </row>
    <row r="3731" spans="1:6" x14ac:dyDescent="0.25">
      <c r="A3731" s="62" t="s">
        <v>4398</v>
      </c>
      <c r="B3731" s="96">
        <v>470410</v>
      </c>
      <c r="C3731" s="96" t="str">
        <f t="shared" si="339"/>
        <v>CPOS470410</v>
      </c>
      <c r="D3731" s="95" t="s">
        <v>3772</v>
      </c>
      <c r="E3731" s="63" t="s">
        <v>58</v>
      </c>
      <c r="F3731" s="64">
        <v>211.70000000000002</v>
      </c>
    </row>
    <row r="3732" spans="1:6" x14ac:dyDescent="0.25">
      <c r="A3732" s="62" t="s">
        <v>4398</v>
      </c>
      <c r="B3732" s="96">
        <v>470411</v>
      </c>
      <c r="C3732" s="96" t="str">
        <f t="shared" si="339"/>
        <v>CPOS470411</v>
      </c>
      <c r="D3732" s="95" t="s">
        <v>3773</v>
      </c>
      <c r="E3732" s="63" t="s">
        <v>58</v>
      </c>
      <c r="F3732" s="64">
        <v>559.07000000000005</v>
      </c>
    </row>
    <row r="3733" spans="1:6" x14ac:dyDescent="0.25">
      <c r="A3733" s="62" t="s">
        <v>4398</v>
      </c>
      <c r="B3733" s="96">
        <v>470412</v>
      </c>
      <c r="C3733" s="96" t="str">
        <f t="shared" si="339"/>
        <v>CPOS470412</v>
      </c>
      <c r="D3733" s="95" t="s">
        <v>3774</v>
      </c>
      <c r="E3733" s="63" t="s">
        <v>58</v>
      </c>
      <c r="F3733" s="64">
        <v>301.61</v>
      </c>
    </row>
    <row r="3734" spans="1:6" ht="30" x14ac:dyDescent="0.25">
      <c r="A3734" s="62" t="s">
        <v>4398</v>
      </c>
      <c r="B3734" s="96">
        <v>470418</v>
      </c>
      <c r="C3734" s="96" t="str">
        <f t="shared" si="339"/>
        <v>CPOS470418</v>
      </c>
      <c r="D3734" s="95" t="s">
        <v>3775</v>
      </c>
      <c r="E3734" s="63" t="s">
        <v>58</v>
      </c>
      <c r="F3734" s="64">
        <v>333.96</v>
      </c>
    </row>
    <row r="3735" spans="1:6" x14ac:dyDescent="0.25">
      <c r="D3735" s="94" t="s">
        <v>3776</v>
      </c>
    </row>
    <row r="3736" spans="1:6" x14ac:dyDescent="0.25">
      <c r="A3736" s="62" t="s">
        <v>4398</v>
      </c>
      <c r="B3736" s="96">
        <v>470501</v>
      </c>
      <c r="C3736" s="96" t="str">
        <f t="shared" ref="C3736:C3780" si="340">A3736&amp;B3736</f>
        <v>CPOS470501</v>
      </c>
      <c r="D3736" s="95" t="s">
        <v>3777</v>
      </c>
      <c r="E3736" s="63" t="s">
        <v>58</v>
      </c>
      <c r="F3736" s="64">
        <v>62.46</v>
      </c>
    </row>
    <row r="3737" spans="1:6" x14ac:dyDescent="0.25">
      <c r="A3737" s="62" t="s">
        <v>4398</v>
      </c>
      <c r="B3737" s="96">
        <v>470502</v>
      </c>
      <c r="C3737" s="96" t="str">
        <f t="shared" si="340"/>
        <v>CPOS470502</v>
      </c>
      <c r="D3737" s="95" t="s">
        <v>3778</v>
      </c>
      <c r="E3737" s="63" t="s">
        <v>58</v>
      </c>
      <c r="F3737" s="64">
        <v>76.12</v>
      </c>
    </row>
    <row r="3738" spans="1:6" x14ac:dyDescent="0.25">
      <c r="A3738" s="62" t="s">
        <v>4398</v>
      </c>
      <c r="B3738" s="96">
        <v>470503</v>
      </c>
      <c r="C3738" s="96" t="str">
        <f t="shared" si="340"/>
        <v>CPOS470503</v>
      </c>
      <c r="D3738" s="95" t="s">
        <v>3779</v>
      </c>
      <c r="E3738" s="63" t="s">
        <v>58</v>
      </c>
      <c r="F3738" s="64">
        <v>100.44</v>
      </c>
    </row>
    <row r="3739" spans="1:6" x14ac:dyDescent="0.25">
      <c r="A3739" s="62" t="s">
        <v>4398</v>
      </c>
      <c r="B3739" s="96">
        <v>470504</v>
      </c>
      <c r="C3739" s="96" t="str">
        <f t="shared" si="340"/>
        <v>CPOS470504</v>
      </c>
      <c r="D3739" s="95" t="s">
        <v>3780</v>
      </c>
      <c r="E3739" s="63" t="s">
        <v>58</v>
      </c>
      <c r="F3739" s="64">
        <v>111.63</v>
      </c>
    </row>
    <row r="3740" spans="1:6" x14ac:dyDescent="0.25">
      <c r="A3740" s="62" t="s">
        <v>4398</v>
      </c>
      <c r="B3740" s="96">
        <v>470505</v>
      </c>
      <c r="C3740" s="96" t="str">
        <f t="shared" si="340"/>
        <v>CPOS470505</v>
      </c>
      <c r="D3740" s="95" t="s">
        <v>3781</v>
      </c>
      <c r="E3740" s="63" t="s">
        <v>58</v>
      </c>
      <c r="F3740" s="64">
        <v>157.80000000000001</v>
      </c>
    </row>
    <row r="3741" spans="1:6" x14ac:dyDescent="0.25">
      <c r="A3741" s="62" t="s">
        <v>4398</v>
      </c>
      <c r="B3741" s="96">
        <v>470506</v>
      </c>
      <c r="C3741" s="96" t="str">
        <f t="shared" si="340"/>
        <v>CPOS470506</v>
      </c>
      <c r="D3741" s="95" t="s">
        <v>3782</v>
      </c>
      <c r="E3741" s="63" t="s">
        <v>58</v>
      </c>
      <c r="F3741" s="64">
        <v>260.14</v>
      </c>
    </row>
    <row r="3742" spans="1:6" x14ac:dyDescent="0.25">
      <c r="A3742" s="62" t="s">
        <v>4398</v>
      </c>
      <c r="B3742" s="96">
        <v>470507</v>
      </c>
      <c r="C3742" s="96" t="str">
        <f t="shared" si="340"/>
        <v>CPOS470507</v>
      </c>
      <c r="D3742" s="95" t="s">
        <v>3783</v>
      </c>
      <c r="E3742" s="63" t="s">
        <v>58</v>
      </c>
      <c r="F3742" s="64">
        <v>297.26</v>
      </c>
    </row>
    <row r="3743" spans="1:6" x14ac:dyDescent="0.25">
      <c r="A3743" s="62" t="s">
        <v>4398</v>
      </c>
      <c r="B3743" s="96">
        <v>470508</v>
      </c>
      <c r="C3743" s="96" t="str">
        <f t="shared" si="340"/>
        <v>CPOS470508</v>
      </c>
      <c r="D3743" s="95" t="s">
        <v>3784</v>
      </c>
      <c r="E3743" s="63" t="s">
        <v>58</v>
      </c>
      <c r="F3743" s="64">
        <v>522.67999999999995</v>
      </c>
    </row>
    <row r="3744" spans="1:6" x14ac:dyDescent="0.25">
      <c r="A3744" s="62" t="s">
        <v>4398</v>
      </c>
      <c r="B3744" s="96">
        <v>470509</v>
      </c>
      <c r="C3744" s="96" t="str">
        <f t="shared" si="340"/>
        <v>CPOS470509</v>
      </c>
      <c r="D3744" s="95" t="s">
        <v>3785</v>
      </c>
      <c r="E3744" s="63" t="s">
        <v>58</v>
      </c>
      <c r="F3744" s="64">
        <v>50.25</v>
      </c>
    </row>
    <row r="3745" spans="1:6" x14ac:dyDescent="0.25">
      <c r="A3745" s="62" t="s">
        <v>4398</v>
      </c>
      <c r="B3745" s="96">
        <v>470510</v>
      </c>
      <c r="C3745" s="96" t="str">
        <f t="shared" si="340"/>
        <v>CPOS470510</v>
      </c>
      <c r="D3745" s="95" t="s">
        <v>3786</v>
      </c>
      <c r="E3745" s="63" t="s">
        <v>58</v>
      </c>
      <c r="F3745" s="64">
        <v>56.14</v>
      </c>
    </row>
    <row r="3746" spans="1:6" x14ac:dyDescent="0.25">
      <c r="A3746" s="62" t="s">
        <v>4398</v>
      </c>
      <c r="B3746" s="96">
        <v>470511</v>
      </c>
      <c r="C3746" s="96" t="str">
        <f t="shared" si="340"/>
        <v>CPOS470511</v>
      </c>
      <c r="D3746" s="95" t="s">
        <v>3787</v>
      </c>
      <c r="E3746" s="63" t="s">
        <v>58</v>
      </c>
      <c r="F3746" s="64">
        <v>73.42</v>
      </c>
    </row>
    <row r="3747" spans="1:6" x14ac:dyDescent="0.25">
      <c r="A3747" s="62" t="s">
        <v>4398</v>
      </c>
      <c r="B3747" s="96">
        <v>470512</v>
      </c>
      <c r="C3747" s="96" t="str">
        <f t="shared" si="340"/>
        <v>CPOS470512</v>
      </c>
      <c r="D3747" s="95" t="s">
        <v>3788</v>
      </c>
      <c r="E3747" s="63" t="s">
        <v>58</v>
      </c>
      <c r="F3747" s="64">
        <v>86.850000000000009</v>
      </c>
    </row>
    <row r="3748" spans="1:6" x14ac:dyDescent="0.25">
      <c r="A3748" s="62" t="s">
        <v>4398</v>
      </c>
      <c r="B3748" s="96">
        <v>470513</v>
      </c>
      <c r="C3748" s="96" t="str">
        <f t="shared" si="340"/>
        <v>CPOS470513</v>
      </c>
      <c r="D3748" s="95" t="s">
        <v>3789</v>
      </c>
      <c r="E3748" s="63" t="s">
        <v>58</v>
      </c>
      <c r="F3748" s="64">
        <v>120</v>
      </c>
    </row>
    <row r="3749" spans="1:6" x14ac:dyDescent="0.25">
      <c r="A3749" s="62" t="s">
        <v>4398</v>
      </c>
      <c r="B3749" s="96">
        <v>470514</v>
      </c>
      <c r="C3749" s="96" t="str">
        <f t="shared" si="340"/>
        <v>CPOS470514</v>
      </c>
      <c r="D3749" s="95" t="s">
        <v>3790</v>
      </c>
      <c r="E3749" s="63" t="s">
        <v>58</v>
      </c>
      <c r="F3749" s="64">
        <v>190.57</v>
      </c>
    </row>
    <row r="3750" spans="1:6" x14ac:dyDescent="0.25">
      <c r="A3750" s="62" t="s">
        <v>4398</v>
      </c>
      <c r="B3750" s="96">
        <v>470515</v>
      </c>
      <c r="C3750" s="96" t="str">
        <f t="shared" si="340"/>
        <v>CPOS470515</v>
      </c>
      <c r="D3750" s="95" t="s">
        <v>3791</v>
      </c>
      <c r="E3750" s="63" t="s">
        <v>58</v>
      </c>
      <c r="F3750" s="64">
        <v>280.43</v>
      </c>
    </row>
    <row r="3751" spans="1:6" x14ac:dyDescent="0.25">
      <c r="A3751" s="62" t="s">
        <v>4398</v>
      </c>
      <c r="B3751" s="96">
        <v>470516</v>
      </c>
      <c r="C3751" s="96" t="str">
        <f t="shared" si="340"/>
        <v>CPOS470516</v>
      </c>
      <c r="D3751" s="95" t="s">
        <v>3792</v>
      </c>
      <c r="E3751" s="63" t="s">
        <v>58</v>
      </c>
      <c r="F3751" s="64">
        <v>459.07</v>
      </c>
    </row>
    <row r="3752" spans="1:6" x14ac:dyDescent="0.25">
      <c r="A3752" s="62" t="s">
        <v>4398</v>
      </c>
      <c r="B3752" s="96">
        <v>470517</v>
      </c>
      <c r="C3752" s="96" t="str">
        <f t="shared" si="340"/>
        <v>CPOS470517</v>
      </c>
      <c r="D3752" s="95" t="s">
        <v>3793</v>
      </c>
      <c r="E3752" s="63" t="s">
        <v>58</v>
      </c>
      <c r="F3752" s="64">
        <v>53.36</v>
      </c>
    </row>
    <row r="3753" spans="1:6" x14ac:dyDescent="0.25">
      <c r="A3753" s="62" t="s">
        <v>4398</v>
      </c>
      <c r="B3753" s="96">
        <v>470518</v>
      </c>
      <c r="C3753" s="96" t="str">
        <f t="shared" si="340"/>
        <v>CPOS470518</v>
      </c>
      <c r="D3753" s="95" t="s">
        <v>3794</v>
      </c>
      <c r="E3753" s="63" t="s">
        <v>58</v>
      </c>
      <c r="F3753" s="64">
        <v>68.900000000000006</v>
      </c>
    </row>
    <row r="3754" spans="1:6" x14ac:dyDescent="0.25">
      <c r="A3754" s="62" t="s">
        <v>4398</v>
      </c>
      <c r="B3754" s="96">
        <v>470519</v>
      </c>
      <c r="C3754" s="96" t="str">
        <f t="shared" si="340"/>
        <v>CPOS470519</v>
      </c>
      <c r="D3754" s="95" t="s">
        <v>3795</v>
      </c>
      <c r="E3754" s="63" t="s">
        <v>58</v>
      </c>
      <c r="F3754" s="64">
        <v>82.97</v>
      </c>
    </row>
    <row r="3755" spans="1:6" x14ac:dyDescent="0.25">
      <c r="A3755" s="62" t="s">
        <v>4398</v>
      </c>
      <c r="B3755" s="96">
        <v>470520</v>
      </c>
      <c r="C3755" s="96" t="str">
        <f t="shared" si="340"/>
        <v>CPOS470520</v>
      </c>
      <c r="D3755" s="95" t="s">
        <v>3796</v>
      </c>
      <c r="E3755" s="63" t="s">
        <v>58</v>
      </c>
      <c r="F3755" s="64">
        <v>107.8</v>
      </c>
    </row>
    <row r="3756" spans="1:6" x14ac:dyDescent="0.25">
      <c r="A3756" s="62" t="s">
        <v>4398</v>
      </c>
      <c r="B3756" s="96">
        <v>470521</v>
      </c>
      <c r="C3756" s="96" t="str">
        <f t="shared" si="340"/>
        <v>CPOS470521</v>
      </c>
      <c r="D3756" s="95" t="s">
        <v>3797</v>
      </c>
      <c r="E3756" s="63" t="s">
        <v>58</v>
      </c>
      <c r="F3756" s="64">
        <v>166.05</v>
      </c>
    </row>
    <row r="3757" spans="1:6" ht="30" x14ac:dyDescent="0.25">
      <c r="A3757" s="62" t="s">
        <v>4398</v>
      </c>
      <c r="B3757" s="96">
        <v>470522</v>
      </c>
      <c r="C3757" s="96" t="str">
        <f t="shared" si="340"/>
        <v>CPOS470522</v>
      </c>
      <c r="D3757" s="95" t="s">
        <v>3798</v>
      </c>
      <c r="E3757" s="63" t="s">
        <v>58</v>
      </c>
      <c r="F3757" s="64">
        <v>3514.1</v>
      </c>
    </row>
    <row r="3758" spans="1:6" ht="30" x14ac:dyDescent="0.25">
      <c r="A3758" s="62" t="s">
        <v>4398</v>
      </c>
      <c r="B3758" s="96">
        <v>470523</v>
      </c>
      <c r="C3758" s="96" t="str">
        <f t="shared" si="340"/>
        <v>CPOS470523</v>
      </c>
      <c r="D3758" s="95" t="s">
        <v>3799</v>
      </c>
      <c r="E3758" s="63" t="s">
        <v>58</v>
      </c>
      <c r="F3758" s="64">
        <v>113.82000000000001</v>
      </c>
    </row>
    <row r="3759" spans="1:6" ht="30" x14ac:dyDescent="0.25">
      <c r="A3759" s="62" t="s">
        <v>4398</v>
      </c>
      <c r="B3759" s="96">
        <v>470524</v>
      </c>
      <c r="C3759" s="96" t="str">
        <f t="shared" si="340"/>
        <v>CPOS470524</v>
      </c>
      <c r="D3759" s="95" t="s">
        <v>3800</v>
      </c>
      <c r="E3759" s="63" t="s">
        <v>58</v>
      </c>
      <c r="F3759" s="64">
        <v>249.48000000000002</v>
      </c>
    </row>
    <row r="3760" spans="1:6" x14ac:dyDescent="0.25">
      <c r="A3760" s="62" t="s">
        <v>4398</v>
      </c>
      <c r="B3760" s="96">
        <v>470526</v>
      </c>
      <c r="C3760" s="96" t="str">
        <f t="shared" si="340"/>
        <v>CPOS470526</v>
      </c>
      <c r="D3760" s="95" t="s">
        <v>3801</v>
      </c>
      <c r="E3760" s="63" t="s">
        <v>58</v>
      </c>
      <c r="F3760" s="64">
        <v>233.89000000000001</v>
      </c>
    </row>
    <row r="3761" spans="1:6" x14ac:dyDescent="0.25">
      <c r="A3761" s="62" t="s">
        <v>4398</v>
      </c>
      <c r="B3761" s="96">
        <v>470527</v>
      </c>
      <c r="C3761" s="96" t="str">
        <f t="shared" si="340"/>
        <v>CPOS470527</v>
      </c>
      <c r="D3761" s="95" t="s">
        <v>3802</v>
      </c>
      <c r="E3761" s="63" t="s">
        <v>58</v>
      </c>
      <c r="F3761" s="64">
        <v>436.31</v>
      </c>
    </row>
    <row r="3762" spans="1:6" x14ac:dyDescent="0.25">
      <c r="A3762" s="62" t="s">
        <v>4398</v>
      </c>
      <c r="B3762" s="96">
        <v>470528</v>
      </c>
      <c r="C3762" s="96" t="str">
        <f t="shared" si="340"/>
        <v>CPOS470528</v>
      </c>
      <c r="D3762" s="95" t="s">
        <v>3803</v>
      </c>
      <c r="E3762" s="63" t="s">
        <v>58</v>
      </c>
      <c r="F3762" s="64">
        <v>165.23</v>
      </c>
    </row>
    <row r="3763" spans="1:6" ht="30" x14ac:dyDescent="0.25">
      <c r="A3763" s="62" t="s">
        <v>4398</v>
      </c>
      <c r="B3763" s="96">
        <v>470529</v>
      </c>
      <c r="C3763" s="96" t="str">
        <f t="shared" si="340"/>
        <v>CPOS470529</v>
      </c>
      <c r="D3763" s="95" t="s">
        <v>3804</v>
      </c>
      <c r="E3763" s="63" t="s">
        <v>58</v>
      </c>
      <c r="F3763" s="64">
        <v>81.510000000000005</v>
      </c>
    </row>
    <row r="3764" spans="1:6" ht="30" x14ac:dyDescent="0.25">
      <c r="A3764" s="62" t="s">
        <v>4398</v>
      </c>
      <c r="B3764" s="96">
        <v>470530</v>
      </c>
      <c r="C3764" s="96" t="str">
        <f t="shared" si="340"/>
        <v>CPOS470530</v>
      </c>
      <c r="D3764" s="95" t="s">
        <v>3805</v>
      </c>
      <c r="E3764" s="63" t="s">
        <v>58</v>
      </c>
      <c r="F3764" s="64">
        <v>1152.9000000000001</v>
      </c>
    </row>
    <row r="3765" spans="1:6" ht="30" x14ac:dyDescent="0.25">
      <c r="A3765" s="62" t="s">
        <v>4398</v>
      </c>
      <c r="B3765" s="96">
        <v>470531</v>
      </c>
      <c r="C3765" s="96" t="str">
        <f t="shared" si="340"/>
        <v>CPOS470531</v>
      </c>
      <c r="D3765" s="95" t="s">
        <v>3806</v>
      </c>
      <c r="E3765" s="63" t="s">
        <v>58</v>
      </c>
      <c r="F3765" s="64">
        <v>212.66</v>
      </c>
    </row>
    <row r="3766" spans="1:6" ht="30" x14ac:dyDescent="0.25">
      <c r="A3766" s="62" t="s">
        <v>4398</v>
      </c>
      <c r="B3766" s="96">
        <v>470532</v>
      </c>
      <c r="C3766" s="96" t="str">
        <f t="shared" si="340"/>
        <v>CPOS470532</v>
      </c>
      <c r="D3766" s="95" t="s">
        <v>3807</v>
      </c>
      <c r="E3766" s="63" t="s">
        <v>58</v>
      </c>
      <c r="F3766" s="64">
        <v>3312.44</v>
      </c>
    </row>
    <row r="3767" spans="1:6" ht="30" x14ac:dyDescent="0.25">
      <c r="A3767" s="62" t="s">
        <v>4398</v>
      </c>
      <c r="B3767" s="96">
        <v>470534</v>
      </c>
      <c r="C3767" s="96" t="str">
        <f t="shared" si="340"/>
        <v>CPOS470534</v>
      </c>
      <c r="D3767" s="95" t="s">
        <v>3808</v>
      </c>
      <c r="E3767" s="63" t="s">
        <v>58</v>
      </c>
      <c r="F3767" s="64">
        <v>109.59</v>
      </c>
    </row>
    <row r="3768" spans="1:6" ht="30" x14ac:dyDescent="0.25">
      <c r="A3768" s="62" t="s">
        <v>4398</v>
      </c>
      <c r="B3768" s="96">
        <v>470535</v>
      </c>
      <c r="C3768" s="96" t="str">
        <f t="shared" si="340"/>
        <v>CPOS470535</v>
      </c>
      <c r="D3768" s="95" t="s">
        <v>3809</v>
      </c>
      <c r="E3768" s="63" t="s">
        <v>58</v>
      </c>
      <c r="F3768" s="64">
        <v>156.06</v>
      </c>
    </row>
    <row r="3769" spans="1:6" ht="30" x14ac:dyDescent="0.25">
      <c r="A3769" s="62" t="s">
        <v>4398</v>
      </c>
      <c r="B3769" s="96">
        <v>470536</v>
      </c>
      <c r="C3769" s="96" t="str">
        <f t="shared" si="340"/>
        <v>CPOS470536</v>
      </c>
      <c r="D3769" s="95" t="s">
        <v>3810</v>
      </c>
      <c r="E3769" s="63" t="s">
        <v>58</v>
      </c>
      <c r="F3769" s="64">
        <v>278.23</v>
      </c>
    </row>
    <row r="3770" spans="1:6" ht="30" x14ac:dyDescent="0.25">
      <c r="A3770" s="62" t="s">
        <v>4398</v>
      </c>
      <c r="B3770" s="96">
        <v>470537</v>
      </c>
      <c r="C3770" s="96" t="str">
        <f t="shared" si="340"/>
        <v>CPOS470537</v>
      </c>
      <c r="D3770" s="95" t="s">
        <v>3811</v>
      </c>
      <c r="E3770" s="63" t="s">
        <v>58</v>
      </c>
      <c r="F3770" s="64">
        <v>397.55</v>
      </c>
    </row>
    <row r="3771" spans="1:6" ht="30" x14ac:dyDescent="0.25">
      <c r="A3771" s="62" t="s">
        <v>4398</v>
      </c>
      <c r="B3771" s="96">
        <v>470539</v>
      </c>
      <c r="C3771" s="96" t="str">
        <f t="shared" si="340"/>
        <v>CPOS470539</v>
      </c>
      <c r="D3771" s="95" t="s">
        <v>3812</v>
      </c>
      <c r="E3771" s="63" t="s">
        <v>58</v>
      </c>
      <c r="F3771" s="64">
        <v>597.36</v>
      </c>
    </row>
    <row r="3772" spans="1:6" ht="30" x14ac:dyDescent="0.25">
      <c r="A3772" s="62" t="s">
        <v>4398</v>
      </c>
      <c r="B3772" s="96">
        <v>470540</v>
      </c>
      <c r="C3772" s="96" t="str">
        <f t="shared" si="340"/>
        <v>CPOS470540</v>
      </c>
      <c r="D3772" s="95" t="s">
        <v>3813</v>
      </c>
      <c r="E3772" s="63" t="s">
        <v>58</v>
      </c>
      <c r="F3772" s="64">
        <v>54.42</v>
      </c>
    </row>
    <row r="3773" spans="1:6" ht="30" x14ac:dyDescent="0.25">
      <c r="A3773" s="62" t="s">
        <v>4398</v>
      </c>
      <c r="B3773" s="96">
        <v>470541</v>
      </c>
      <c r="C3773" s="96" t="str">
        <f t="shared" si="340"/>
        <v>CPOS470541</v>
      </c>
      <c r="D3773" s="95" t="s">
        <v>3814</v>
      </c>
      <c r="E3773" s="63" t="s">
        <v>58</v>
      </c>
      <c r="F3773" s="64">
        <v>78.349999999999994</v>
      </c>
    </row>
    <row r="3774" spans="1:6" ht="30" x14ac:dyDescent="0.25">
      <c r="A3774" s="62" t="s">
        <v>4398</v>
      </c>
      <c r="B3774" s="96">
        <v>470542</v>
      </c>
      <c r="C3774" s="96" t="str">
        <f t="shared" si="340"/>
        <v>CPOS470542</v>
      </c>
      <c r="D3774" s="95" t="s">
        <v>3815</v>
      </c>
      <c r="E3774" s="63" t="s">
        <v>58</v>
      </c>
      <c r="F3774" s="64">
        <v>242.16</v>
      </c>
    </row>
    <row r="3775" spans="1:6" ht="30" x14ac:dyDescent="0.25">
      <c r="A3775" s="62" t="s">
        <v>4398</v>
      </c>
      <c r="B3775" s="96">
        <v>470543</v>
      </c>
      <c r="C3775" s="96" t="str">
        <f t="shared" si="340"/>
        <v>CPOS470543</v>
      </c>
      <c r="D3775" s="95" t="s">
        <v>3816</v>
      </c>
      <c r="E3775" s="63" t="s">
        <v>58</v>
      </c>
      <c r="F3775" s="64">
        <v>365.84000000000003</v>
      </c>
    </row>
    <row r="3776" spans="1:6" ht="30" x14ac:dyDescent="0.25">
      <c r="A3776" s="62" t="s">
        <v>4398</v>
      </c>
      <c r="B3776" s="96">
        <v>470544</v>
      </c>
      <c r="C3776" s="96" t="str">
        <f t="shared" si="340"/>
        <v>CPOS470544</v>
      </c>
      <c r="D3776" s="95" t="s">
        <v>3817</v>
      </c>
      <c r="E3776" s="63" t="s">
        <v>58</v>
      </c>
      <c r="F3776" s="64">
        <v>835.24</v>
      </c>
    </row>
    <row r="3777" spans="1:6" ht="30" x14ac:dyDescent="0.25">
      <c r="A3777" s="62" t="s">
        <v>4398</v>
      </c>
      <c r="B3777" s="96">
        <v>470545</v>
      </c>
      <c r="C3777" s="96" t="str">
        <f t="shared" si="340"/>
        <v>CPOS470545</v>
      </c>
      <c r="D3777" s="95" t="s">
        <v>3818</v>
      </c>
      <c r="E3777" s="63" t="s">
        <v>58</v>
      </c>
      <c r="F3777" s="64">
        <v>2000.5800000000002</v>
      </c>
    </row>
    <row r="3778" spans="1:6" ht="30" x14ac:dyDescent="0.25">
      <c r="A3778" s="62" t="s">
        <v>4398</v>
      </c>
      <c r="B3778" s="96">
        <v>470546</v>
      </c>
      <c r="C3778" s="96" t="str">
        <f t="shared" si="340"/>
        <v>CPOS470546</v>
      </c>
      <c r="D3778" s="95" t="s">
        <v>3819</v>
      </c>
      <c r="E3778" s="63" t="s">
        <v>58</v>
      </c>
      <c r="F3778" s="64">
        <v>3215.92</v>
      </c>
    </row>
    <row r="3779" spans="1:6" ht="30" x14ac:dyDescent="0.25">
      <c r="A3779" s="62" t="s">
        <v>4398</v>
      </c>
      <c r="B3779" s="96">
        <v>470557</v>
      </c>
      <c r="C3779" s="96" t="str">
        <f t="shared" si="340"/>
        <v>CPOS470557</v>
      </c>
      <c r="D3779" s="95" t="s">
        <v>3820</v>
      </c>
      <c r="E3779" s="63" t="s">
        <v>58</v>
      </c>
      <c r="F3779" s="64">
        <v>2801.5</v>
      </c>
    </row>
    <row r="3780" spans="1:6" x14ac:dyDescent="0.25">
      <c r="A3780" s="62" t="s">
        <v>4398</v>
      </c>
      <c r="B3780" s="96">
        <v>470558</v>
      </c>
      <c r="C3780" s="96" t="str">
        <f t="shared" si="340"/>
        <v>CPOS470558</v>
      </c>
      <c r="D3780" s="95" t="s">
        <v>3821</v>
      </c>
      <c r="E3780" s="63" t="s">
        <v>58</v>
      </c>
      <c r="F3780" s="64">
        <v>245.76</v>
      </c>
    </row>
    <row r="3781" spans="1:6" x14ac:dyDescent="0.25">
      <c r="D3781" s="94" t="s">
        <v>3822</v>
      </c>
    </row>
    <row r="3782" spans="1:6" ht="30" x14ac:dyDescent="0.25">
      <c r="A3782" s="62" t="s">
        <v>4398</v>
      </c>
      <c r="B3782" s="96">
        <v>470603</v>
      </c>
      <c r="C3782" s="96" t="str">
        <f t="shared" ref="C3782:C3796" si="341">A3782&amp;B3782</f>
        <v>CPOS470603</v>
      </c>
      <c r="D3782" s="95" t="s">
        <v>3823</v>
      </c>
      <c r="E3782" s="63" t="s">
        <v>58</v>
      </c>
      <c r="F3782" s="64">
        <v>646.42999999999995</v>
      </c>
    </row>
    <row r="3783" spans="1:6" x14ac:dyDescent="0.25">
      <c r="A3783" s="62" t="s">
        <v>4398</v>
      </c>
      <c r="B3783" s="96">
        <v>470604</v>
      </c>
      <c r="C3783" s="96" t="str">
        <f t="shared" si="341"/>
        <v>CPOS470604</v>
      </c>
      <c r="D3783" s="95" t="s">
        <v>3824</v>
      </c>
      <c r="E3783" s="63" t="s">
        <v>58</v>
      </c>
      <c r="F3783" s="64">
        <v>1120.2</v>
      </c>
    </row>
    <row r="3784" spans="1:6" x14ac:dyDescent="0.25">
      <c r="A3784" s="62" t="s">
        <v>4398</v>
      </c>
      <c r="B3784" s="96">
        <v>470605</v>
      </c>
      <c r="C3784" s="96" t="str">
        <f t="shared" si="341"/>
        <v>CPOS470605</v>
      </c>
      <c r="D3784" s="95" t="s">
        <v>3825</v>
      </c>
      <c r="E3784" s="63" t="s">
        <v>58</v>
      </c>
      <c r="F3784" s="64">
        <v>653.66</v>
      </c>
    </row>
    <row r="3785" spans="1:6" x14ac:dyDescent="0.25">
      <c r="A3785" s="62" t="s">
        <v>4398</v>
      </c>
      <c r="B3785" s="96">
        <v>470606</v>
      </c>
      <c r="C3785" s="96" t="str">
        <f t="shared" si="341"/>
        <v>CPOS470606</v>
      </c>
      <c r="D3785" s="95" t="s">
        <v>3826</v>
      </c>
      <c r="E3785" s="63" t="s">
        <v>58</v>
      </c>
      <c r="F3785" s="64">
        <v>884.97</v>
      </c>
    </row>
    <row r="3786" spans="1:6" x14ac:dyDescent="0.25">
      <c r="A3786" s="62" t="s">
        <v>4398</v>
      </c>
      <c r="B3786" s="96">
        <v>470607</v>
      </c>
      <c r="C3786" s="96" t="str">
        <f t="shared" si="341"/>
        <v>CPOS470607</v>
      </c>
      <c r="D3786" s="95" t="s">
        <v>3827</v>
      </c>
      <c r="E3786" s="63" t="s">
        <v>58</v>
      </c>
      <c r="F3786" s="64">
        <v>1589.58</v>
      </c>
    </row>
    <row r="3787" spans="1:6" x14ac:dyDescent="0.25">
      <c r="A3787" s="62" t="s">
        <v>4398</v>
      </c>
      <c r="B3787" s="96">
        <v>470608</v>
      </c>
      <c r="C3787" s="96" t="str">
        <f t="shared" si="341"/>
        <v>CPOS470608</v>
      </c>
      <c r="D3787" s="95" t="s">
        <v>3828</v>
      </c>
      <c r="E3787" s="63" t="s">
        <v>58</v>
      </c>
      <c r="F3787" s="64">
        <v>903.79</v>
      </c>
    </row>
    <row r="3788" spans="1:6" x14ac:dyDescent="0.25">
      <c r="A3788" s="62" t="s">
        <v>4398</v>
      </c>
      <c r="B3788" s="96">
        <v>470609</v>
      </c>
      <c r="C3788" s="96" t="str">
        <f t="shared" si="341"/>
        <v>CPOS470609</v>
      </c>
      <c r="D3788" s="95" t="s">
        <v>3829</v>
      </c>
      <c r="E3788" s="63" t="s">
        <v>58</v>
      </c>
      <c r="F3788" s="64">
        <v>437.47</v>
      </c>
    </row>
    <row r="3789" spans="1:6" ht="30" x14ac:dyDescent="0.25">
      <c r="A3789" s="62" t="s">
        <v>4398</v>
      </c>
      <c r="B3789" s="96">
        <v>470610</v>
      </c>
      <c r="C3789" s="96" t="str">
        <f t="shared" si="341"/>
        <v>CPOS470610</v>
      </c>
      <c r="D3789" s="95" t="s">
        <v>3830</v>
      </c>
      <c r="E3789" s="63" t="s">
        <v>58</v>
      </c>
      <c r="F3789" s="64">
        <v>3717.98</v>
      </c>
    </row>
    <row r="3790" spans="1:6" ht="30" x14ac:dyDescent="0.25">
      <c r="A3790" s="62" t="s">
        <v>4398</v>
      </c>
      <c r="B3790" s="96">
        <v>470611</v>
      </c>
      <c r="C3790" s="96" t="str">
        <f t="shared" si="341"/>
        <v>CPOS470611</v>
      </c>
      <c r="D3790" s="95" t="s">
        <v>3831</v>
      </c>
      <c r="E3790" s="63" t="s">
        <v>58</v>
      </c>
      <c r="F3790" s="64">
        <v>2018.6000000000001</v>
      </c>
    </row>
    <row r="3791" spans="1:6" x14ac:dyDescent="0.25">
      <c r="A3791" s="62" t="s">
        <v>4398</v>
      </c>
      <c r="B3791" s="96">
        <v>470618</v>
      </c>
      <c r="C3791" s="96" t="str">
        <f t="shared" si="341"/>
        <v>CPOS470618</v>
      </c>
      <c r="D3791" s="95" t="s">
        <v>3832</v>
      </c>
      <c r="E3791" s="63" t="s">
        <v>58</v>
      </c>
      <c r="F3791" s="64">
        <v>624.16999999999996</v>
      </c>
    </row>
    <row r="3792" spans="1:6" x14ac:dyDescent="0.25">
      <c r="A3792" s="62" t="s">
        <v>4398</v>
      </c>
      <c r="B3792" s="96">
        <v>470631</v>
      </c>
      <c r="C3792" s="96" t="str">
        <f t="shared" si="341"/>
        <v>CPOS470631</v>
      </c>
      <c r="D3792" s="95" t="s">
        <v>3833</v>
      </c>
      <c r="E3792" s="63" t="s">
        <v>58</v>
      </c>
      <c r="F3792" s="64">
        <v>408.85</v>
      </c>
    </row>
    <row r="3793" spans="1:6" ht="30" x14ac:dyDescent="0.25">
      <c r="A3793" s="62" t="s">
        <v>4398</v>
      </c>
      <c r="B3793" s="96">
        <v>470632</v>
      </c>
      <c r="C3793" s="96" t="str">
        <f t="shared" si="341"/>
        <v>CPOS470632</v>
      </c>
      <c r="D3793" s="95" t="s">
        <v>3834</v>
      </c>
      <c r="E3793" s="63" t="s">
        <v>117</v>
      </c>
      <c r="F3793" s="64">
        <v>7770.92</v>
      </c>
    </row>
    <row r="3794" spans="1:6" ht="30" x14ac:dyDescent="0.25">
      <c r="A3794" s="62" t="s">
        <v>4398</v>
      </c>
      <c r="B3794" s="96">
        <v>470633</v>
      </c>
      <c r="C3794" s="96" t="str">
        <f t="shared" si="341"/>
        <v>CPOS470633</v>
      </c>
      <c r="D3794" s="95" t="s">
        <v>3835</v>
      </c>
      <c r="E3794" s="63" t="s">
        <v>58</v>
      </c>
      <c r="F3794" s="64">
        <v>939.37</v>
      </c>
    </row>
    <row r="3795" spans="1:6" ht="30" x14ac:dyDescent="0.25">
      <c r="A3795" s="62" t="s">
        <v>4398</v>
      </c>
      <c r="B3795" s="96">
        <v>470634</v>
      </c>
      <c r="C3795" s="96" t="str">
        <f t="shared" si="341"/>
        <v>CPOS470634</v>
      </c>
      <c r="D3795" s="95" t="s">
        <v>3836</v>
      </c>
      <c r="E3795" s="63" t="s">
        <v>58</v>
      </c>
      <c r="F3795" s="64">
        <v>1397.6000000000001</v>
      </c>
    </row>
    <row r="3796" spans="1:6" x14ac:dyDescent="0.25">
      <c r="A3796" s="62" t="s">
        <v>4398</v>
      </c>
      <c r="B3796" s="96">
        <v>470635</v>
      </c>
      <c r="C3796" s="96" t="str">
        <f t="shared" si="341"/>
        <v>CPOS470635</v>
      </c>
      <c r="D3796" s="95" t="s">
        <v>3837</v>
      </c>
      <c r="E3796" s="63" t="s">
        <v>58</v>
      </c>
      <c r="F3796" s="64">
        <v>927.6</v>
      </c>
    </row>
    <row r="3797" spans="1:6" x14ac:dyDescent="0.25">
      <c r="D3797" s="94" t="s">
        <v>3838</v>
      </c>
    </row>
    <row r="3798" spans="1:6" ht="30" x14ac:dyDescent="0.25">
      <c r="A3798" s="62" t="s">
        <v>4398</v>
      </c>
      <c r="B3798" s="96">
        <v>470701</v>
      </c>
      <c r="C3798" s="96" t="str">
        <f t="shared" ref="C3798:C3806" si="342">A3798&amp;B3798</f>
        <v>CPOS470701</v>
      </c>
      <c r="D3798" s="95" t="s">
        <v>3839</v>
      </c>
      <c r="E3798" s="63" t="s">
        <v>58</v>
      </c>
      <c r="F3798" s="64">
        <v>53.97</v>
      </c>
    </row>
    <row r="3799" spans="1:6" ht="30" x14ac:dyDescent="0.25">
      <c r="A3799" s="62" t="s">
        <v>4398</v>
      </c>
      <c r="B3799" s="96">
        <v>470702</v>
      </c>
      <c r="C3799" s="96" t="str">
        <f t="shared" si="342"/>
        <v>CPOS470702</v>
      </c>
      <c r="D3799" s="95" t="s">
        <v>3840</v>
      </c>
      <c r="E3799" s="63" t="s">
        <v>58</v>
      </c>
      <c r="F3799" s="64">
        <v>75.33</v>
      </c>
    </row>
    <row r="3800" spans="1:6" ht="30" x14ac:dyDescent="0.25">
      <c r="A3800" s="62" t="s">
        <v>4398</v>
      </c>
      <c r="B3800" s="96">
        <v>470703</v>
      </c>
      <c r="C3800" s="96" t="str">
        <f t="shared" si="342"/>
        <v>CPOS470703</v>
      </c>
      <c r="D3800" s="95" t="s">
        <v>3841</v>
      </c>
      <c r="E3800" s="63" t="s">
        <v>58</v>
      </c>
      <c r="F3800" s="64">
        <v>103.60000000000001</v>
      </c>
    </row>
    <row r="3801" spans="1:6" ht="30" x14ac:dyDescent="0.25">
      <c r="A3801" s="62" t="s">
        <v>4398</v>
      </c>
      <c r="B3801" s="96">
        <v>470708</v>
      </c>
      <c r="C3801" s="96" t="str">
        <f t="shared" si="342"/>
        <v>CPOS470708</v>
      </c>
      <c r="D3801" s="95" t="s">
        <v>3842</v>
      </c>
      <c r="E3801" s="63" t="s">
        <v>58</v>
      </c>
      <c r="F3801" s="64">
        <v>108.44</v>
      </c>
    </row>
    <row r="3802" spans="1:6" ht="30" x14ac:dyDescent="0.25">
      <c r="A3802" s="62" t="s">
        <v>4398</v>
      </c>
      <c r="B3802" s="96">
        <v>470709</v>
      </c>
      <c r="C3802" s="96" t="str">
        <f t="shared" si="342"/>
        <v>CPOS470709</v>
      </c>
      <c r="D3802" s="95" t="s">
        <v>3843</v>
      </c>
      <c r="E3802" s="63" t="s">
        <v>58</v>
      </c>
      <c r="F3802" s="64">
        <v>292.26</v>
      </c>
    </row>
    <row r="3803" spans="1:6" ht="30" x14ac:dyDescent="0.25">
      <c r="A3803" s="62" t="s">
        <v>4398</v>
      </c>
      <c r="B3803" s="96">
        <v>470710</v>
      </c>
      <c r="C3803" s="96" t="str">
        <f t="shared" si="342"/>
        <v>CPOS470710</v>
      </c>
      <c r="D3803" s="95" t="s">
        <v>3844</v>
      </c>
      <c r="E3803" s="63" t="s">
        <v>58</v>
      </c>
      <c r="F3803" s="64">
        <v>48.54</v>
      </c>
    </row>
    <row r="3804" spans="1:6" ht="30" x14ac:dyDescent="0.25">
      <c r="A3804" s="62" t="s">
        <v>4398</v>
      </c>
      <c r="B3804" s="96">
        <v>470711</v>
      </c>
      <c r="C3804" s="96" t="str">
        <f t="shared" si="342"/>
        <v>CPOS470711</v>
      </c>
      <c r="D3804" s="95" t="s">
        <v>3845</v>
      </c>
      <c r="E3804" s="63" t="s">
        <v>58</v>
      </c>
      <c r="F3804" s="64">
        <v>58.93</v>
      </c>
    </row>
    <row r="3805" spans="1:6" ht="30" x14ac:dyDescent="0.25">
      <c r="A3805" s="62" t="s">
        <v>4398</v>
      </c>
      <c r="B3805" s="96">
        <v>470712</v>
      </c>
      <c r="C3805" s="96" t="str">
        <f t="shared" si="342"/>
        <v>CPOS470712</v>
      </c>
      <c r="D3805" s="95" t="s">
        <v>3846</v>
      </c>
      <c r="E3805" s="63" t="s">
        <v>58</v>
      </c>
      <c r="F3805" s="64">
        <v>150.19999999999999</v>
      </c>
    </row>
    <row r="3806" spans="1:6" ht="30" x14ac:dyDescent="0.25">
      <c r="A3806" s="62" t="s">
        <v>4398</v>
      </c>
      <c r="B3806" s="96">
        <v>470716</v>
      </c>
      <c r="C3806" s="96" t="str">
        <f t="shared" si="342"/>
        <v>CPOS470716</v>
      </c>
      <c r="D3806" s="95" t="s">
        <v>3847</v>
      </c>
      <c r="E3806" s="63" t="s">
        <v>58</v>
      </c>
      <c r="F3806" s="64">
        <v>63.59</v>
      </c>
    </row>
    <row r="3807" spans="1:6" x14ac:dyDescent="0.25">
      <c r="D3807" s="94" t="s">
        <v>3848</v>
      </c>
    </row>
    <row r="3808" spans="1:6" ht="30" x14ac:dyDescent="0.25">
      <c r="A3808" s="62" t="s">
        <v>4398</v>
      </c>
      <c r="B3808" s="96">
        <v>470901</v>
      </c>
      <c r="C3808" s="96" t="str">
        <f t="shared" ref="C3808:C3811" si="343">A3808&amp;B3808</f>
        <v>CPOS470901</v>
      </c>
      <c r="D3808" s="95" t="s">
        <v>3849</v>
      </c>
      <c r="E3808" s="63" t="s">
        <v>58</v>
      </c>
      <c r="F3808" s="64">
        <v>164.58</v>
      </c>
    </row>
    <row r="3809" spans="1:6" ht="30" x14ac:dyDescent="0.25">
      <c r="A3809" s="62" t="s">
        <v>4398</v>
      </c>
      <c r="B3809" s="96">
        <v>470902</v>
      </c>
      <c r="C3809" s="96" t="str">
        <f t="shared" si="343"/>
        <v>CPOS470902</v>
      </c>
      <c r="D3809" s="95" t="s">
        <v>3850</v>
      </c>
      <c r="E3809" s="63" t="s">
        <v>58</v>
      </c>
      <c r="F3809" s="64">
        <v>224.76</v>
      </c>
    </row>
    <row r="3810" spans="1:6" ht="30" x14ac:dyDescent="0.25">
      <c r="A3810" s="62" t="s">
        <v>4398</v>
      </c>
      <c r="B3810" s="96">
        <v>470903</v>
      </c>
      <c r="C3810" s="96" t="str">
        <f t="shared" si="343"/>
        <v>CPOS470903</v>
      </c>
      <c r="D3810" s="95" t="s">
        <v>3851</v>
      </c>
      <c r="E3810" s="63" t="s">
        <v>58</v>
      </c>
      <c r="F3810" s="64">
        <v>396.97</v>
      </c>
    </row>
    <row r="3811" spans="1:6" ht="30" x14ac:dyDescent="0.25">
      <c r="A3811" s="62" t="s">
        <v>4398</v>
      </c>
      <c r="B3811" s="96">
        <v>470904</v>
      </c>
      <c r="C3811" s="96" t="str">
        <f t="shared" si="343"/>
        <v>CPOS470904</v>
      </c>
      <c r="D3811" s="95" t="s">
        <v>3852</v>
      </c>
      <c r="E3811" s="63" t="s">
        <v>58</v>
      </c>
      <c r="F3811" s="64">
        <v>549.74</v>
      </c>
    </row>
    <row r="3812" spans="1:6" x14ac:dyDescent="0.25">
      <c r="D3812" s="94" t="s">
        <v>3853</v>
      </c>
    </row>
    <row r="3813" spans="1:6" ht="30" x14ac:dyDescent="0.25">
      <c r="A3813" s="62" t="s">
        <v>4398</v>
      </c>
      <c r="B3813" s="96">
        <v>471001</v>
      </c>
      <c r="C3813" s="96" t="str">
        <f>A3813&amp;B3813</f>
        <v>CPOS471001</v>
      </c>
      <c r="D3813" s="95" t="s">
        <v>3854</v>
      </c>
      <c r="E3813" s="63" t="s">
        <v>58</v>
      </c>
      <c r="F3813" s="64">
        <v>307.58999999999997</v>
      </c>
    </row>
    <row r="3814" spans="1:6" x14ac:dyDescent="0.25">
      <c r="D3814" s="94" t="s">
        <v>3855</v>
      </c>
    </row>
    <row r="3815" spans="1:6" ht="30" x14ac:dyDescent="0.25">
      <c r="A3815" s="62" t="s">
        <v>4398</v>
      </c>
      <c r="B3815" s="96">
        <v>471102</v>
      </c>
      <c r="C3815" s="96" t="str">
        <f t="shared" ref="C3815:C3818" si="344">A3815&amp;B3815</f>
        <v>CPOS471102</v>
      </c>
      <c r="D3815" s="95" t="s">
        <v>3856</v>
      </c>
      <c r="E3815" s="63" t="s">
        <v>58</v>
      </c>
      <c r="F3815" s="64">
        <v>354.12</v>
      </c>
    </row>
    <row r="3816" spans="1:6" x14ac:dyDescent="0.25">
      <c r="A3816" s="62" t="s">
        <v>4398</v>
      </c>
      <c r="B3816" s="96">
        <v>471108</v>
      </c>
      <c r="C3816" s="96" t="str">
        <f t="shared" si="344"/>
        <v>CPOS471108</v>
      </c>
      <c r="D3816" s="95" t="s">
        <v>3857</v>
      </c>
      <c r="E3816" s="63" t="s">
        <v>58</v>
      </c>
      <c r="F3816" s="64">
        <v>104.15</v>
      </c>
    </row>
    <row r="3817" spans="1:6" x14ac:dyDescent="0.25">
      <c r="A3817" s="62" t="s">
        <v>4398</v>
      </c>
      <c r="B3817" s="96">
        <v>471110</v>
      </c>
      <c r="C3817" s="96" t="str">
        <f t="shared" si="344"/>
        <v>CPOS471110</v>
      </c>
      <c r="D3817" s="95" t="s">
        <v>3858</v>
      </c>
      <c r="E3817" s="63" t="s">
        <v>58</v>
      </c>
      <c r="F3817" s="64">
        <v>99.7</v>
      </c>
    </row>
    <row r="3818" spans="1:6" ht="30" x14ac:dyDescent="0.25">
      <c r="A3818" s="62" t="s">
        <v>4398</v>
      </c>
      <c r="B3818" s="96">
        <v>471111</v>
      </c>
      <c r="C3818" s="96" t="str">
        <f t="shared" si="344"/>
        <v>CPOS471111</v>
      </c>
      <c r="D3818" s="95" t="s">
        <v>3859</v>
      </c>
      <c r="E3818" s="63" t="s">
        <v>58</v>
      </c>
      <c r="F3818" s="64">
        <v>691.64</v>
      </c>
    </row>
    <row r="3819" spans="1:6" x14ac:dyDescent="0.25">
      <c r="D3819" s="94" t="s">
        <v>3860</v>
      </c>
    </row>
    <row r="3820" spans="1:6" x14ac:dyDescent="0.25">
      <c r="A3820" s="62" t="s">
        <v>4398</v>
      </c>
      <c r="B3820" s="96">
        <v>471204</v>
      </c>
      <c r="C3820" s="96" t="str">
        <f t="shared" ref="C3820:C3829" si="345">A3820&amp;B3820</f>
        <v>CPOS471204</v>
      </c>
      <c r="D3820" s="95" t="s">
        <v>3861</v>
      </c>
      <c r="E3820" s="63" t="s">
        <v>58</v>
      </c>
      <c r="F3820" s="64">
        <v>1722.8</v>
      </c>
    </row>
    <row r="3821" spans="1:6" x14ac:dyDescent="0.25">
      <c r="A3821" s="62" t="s">
        <v>4398</v>
      </c>
      <c r="B3821" s="96">
        <v>471227</v>
      </c>
      <c r="C3821" s="96" t="str">
        <f t="shared" si="345"/>
        <v>CPOS471227</v>
      </c>
      <c r="D3821" s="95" t="s">
        <v>3862</v>
      </c>
      <c r="E3821" s="63" t="s">
        <v>58</v>
      </c>
      <c r="F3821" s="64">
        <v>602.66999999999996</v>
      </c>
    </row>
    <row r="3822" spans="1:6" ht="30" x14ac:dyDescent="0.25">
      <c r="A3822" s="62" t="s">
        <v>4398</v>
      </c>
      <c r="B3822" s="96">
        <v>471228</v>
      </c>
      <c r="C3822" s="96" t="str">
        <f t="shared" si="345"/>
        <v>CPOS471228</v>
      </c>
      <c r="D3822" s="95" t="s">
        <v>3863</v>
      </c>
      <c r="E3822" s="63" t="s">
        <v>58</v>
      </c>
      <c r="F3822" s="64">
        <v>788.74</v>
      </c>
    </row>
    <row r="3823" spans="1:6" ht="30" x14ac:dyDescent="0.25">
      <c r="A3823" s="62" t="s">
        <v>4398</v>
      </c>
      <c r="B3823" s="96">
        <v>471229</v>
      </c>
      <c r="C3823" s="96" t="str">
        <f t="shared" si="345"/>
        <v>CPOS471229</v>
      </c>
      <c r="D3823" s="95" t="s">
        <v>3864</v>
      </c>
      <c r="E3823" s="63" t="s">
        <v>58</v>
      </c>
      <c r="F3823" s="64">
        <v>1172.99</v>
      </c>
    </row>
    <row r="3824" spans="1:6" ht="30" x14ac:dyDescent="0.25">
      <c r="A3824" s="62" t="s">
        <v>4398</v>
      </c>
      <c r="B3824" s="96">
        <v>471230</v>
      </c>
      <c r="C3824" s="96" t="str">
        <f t="shared" si="345"/>
        <v>CPOS471230</v>
      </c>
      <c r="D3824" s="95" t="s">
        <v>3865</v>
      </c>
      <c r="E3824" s="63" t="s">
        <v>58</v>
      </c>
      <c r="F3824" s="64">
        <v>1654.28</v>
      </c>
    </row>
    <row r="3825" spans="1:6" x14ac:dyDescent="0.25">
      <c r="A3825" s="62" t="s">
        <v>4398</v>
      </c>
      <c r="B3825" s="96">
        <v>471231</v>
      </c>
      <c r="C3825" s="96" t="str">
        <f t="shared" si="345"/>
        <v>CPOS471231</v>
      </c>
      <c r="D3825" s="95" t="s">
        <v>3866</v>
      </c>
      <c r="E3825" s="63" t="s">
        <v>58</v>
      </c>
      <c r="F3825" s="64">
        <v>4029.2400000000002</v>
      </c>
    </row>
    <row r="3826" spans="1:6" x14ac:dyDescent="0.25">
      <c r="A3826" s="62" t="s">
        <v>4398</v>
      </c>
      <c r="B3826" s="96">
        <v>471232</v>
      </c>
      <c r="C3826" s="96" t="str">
        <f t="shared" si="345"/>
        <v>CPOS471232</v>
      </c>
      <c r="D3826" s="95" t="s">
        <v>3867</v>
      </c>
      <c r="E3826" s="63" t="s">
        <v>58</v>
      </c>
      <c r="F3826" s="64">
        <v>640.95000000000005</v>
      </c>
    </row>
    <row r="3827" spans="1:6" x14ac:dyDescent="0.25">
      <c r="A3827" s="62" t="s">
        <v>4398</v>
      </c>
      <c r="B3827" s="96">
        <v>471233</v>
      </c>
      <c r="C3827" s="96" t="str">
        <f t="shared" si="345"/>
        <v>CPOS471233</v>
      </c>
      <c r="D3827" s="95" t="s">
        <v>3868</v>
      </c>
      <c r="E3827" s="63" t="s">
        <v>58</v>
      </c>
      <c r="F3827" s="64">
        <v>1009.97</v>
      </c>
    </row>
    <row r="3828" spans="1:6" x14ac:dyDescent="0.25">
      <c r="A3828" s="62" t="s">
        <v>4398</v>
      </c>
      <c r="B3828" s="96">
        <v>471234</v>
      </c>
      <c r="C3828" s="96" t="str">
        <f t="shared" si="345"/>
        <v>CPOS471234</v>
      </c>
      <c r="D3828" s="95" t="s">
        <v>3869</v>
      </c>
      <c r="E3828" s="63" t="s">
        <v>58</v>
      </c>
      <c r="F3828" s="64">
        <v>591.5</v>
      </c>
    </row>
    <row r="3829" spans="1:6" ht="30" x14ac:dyDescent="0.25">
      <c r="A3829" s="62" t="s">
        <v>4398</v>
      </c>
      <c r="B3829" s="96">
        <v>471235</v>
      </c>
      <c r="C3829" s="96" t="str">
        <f t="shared" si="345"/>
        <v>CPOS471235</v>
      </c>
      <c r="D3829" s="95" t="s">
        <v>3870</v>
      </c>
      <c r="E3829" s="63" t="s">
        <v>58</v>
      </c>
      <c r="F3829" s="64">
        <v>1190.22</v>
      </c>
    </row>
    <row r="3830" spans="1:6" x14ac:dyDescent="0.25">
      <c r="D3830" s="94" t="s">
        <v>3871</v>
      </c>
    </row>
    <row r="3831" spans="1:6" x14ac:dyDescent="0.25">
      <c r="A3831" s="62" t="s">
        <v>4398</v>
      </c>
      <c r="B3831" s="96">
        <v>471402</v>
      </c>
      <c r="C3831" s="96" t="str">
        <f t="shared" ref="C3831:C3832" si="346">A3831&amp;B3831</f>
        <v>CPOS471402</v>
      </c>
      <c r="D3831" s="95" t="s">
        <v>3872</v>
      </c>
      <c r="E3831" s="63" t="s">
        <v>58</v>
      </c>
      <c r="F3831" s="64">
        <v>35.03</v>
      </c>
    </row>
    <row r="3832" spans="1:6" ht="30" x14ac:dyDescent="0.25">
      <c r="A3832" s="62" t="s">
        <v>4398</v>
      </c>
      <c r="B3832" s="96">
        <v>471420</v>
      </c>
      <c r="C3832" s="96" t="str">
        <f t="shared" si="346"/>
        <v>CPOS471420</v>
      </c>
      <c r="D3832" s="95" t="s">
        <v>3873</v>
      </c>
      <c r="E3832" s="63" t="s">
        <v>58</v>
      </c>
      <c r="F3832" s="64">
        <v>39.17</v>
      </c>
    </row>
    <row r="3833" spans="1:6" x14ac:dyDescent="0.25">
      <c r="D3833" s="94" t="s">
        <v>693</v>
      </c>
    </row>
    <row r="3834" spans="1:6" x14ac:dyDescent="0.25">
      <c r="A3834" s="62" t="s">
        <v>4398</v>
      </c>
      <c r="B3834" s="96">
        <v>472001</v>
      </c>
      <c r="C3834" s="96" t="str">
        <f t="shared" ref="C3834:C3848" si="347">A3834&amp;B3834</f>
        <v>CPOS472001</v>
      </c>
      <c r="D3834" s="95" t="s">
        <v>3874</v>
      </c>
      <c r="E3834" s="63" t="s">
        <v>58</v>
      </c>
      <c r="F3834" s="64">
        <v>55.81</v>
      </c>
    </row>
    <row r="3835" spans="1:6" x14ac:dyDescent="0.25">
      <c r="A3835" s="62" t="s">
        <v>4398</v>
      </c>
      <c r="B3835" s="96">
        <v>472002</v>
      </c>
      <c r="C3835" s="96" t="str">
        <f t="shared" si="347"/>
        <v>CPOS472002</v>
      </c>
      <c r="D3835" s="95" t="s">
        <v>3875</v>
      </c>
      <c r="E3835" s="63" t="s">
        <v>58</v>
      </c>
      <c r="F3835" s="64">
        <v>216.1</v>
      </c>
    </row>
    <row r="3836" spans="1:6" ht="30" x14ac:dyDescent="0.25">
      <c r="A3836" s="62" t="s">
        <v>4398</v>
      </c>
      <c r="B3836" s="96">
        <v>472003</v>
      </c>
      <c r="C3836" s="96" t="str">
        <f t="shared" si="347"/>
        <v>CPOS472003</v>
      </c>
      <c r="D3836" s="95" t="s">
        <v>3876</v>
      </c>
      <c r="E3836" s="63" t="s">
        <v>58</v>
      </c>
      <c r="F3836" s="64">
        <v>366.89</v>
      </c>
    </row>
    <row r="3837" spans="1:6" x14ac:dyDescent="0.25">
      <c r="A3837" s="62" t="s">
        <v>4398</v>
      </c>
      <c r="B3837" s="96">
        <v>472005</v>
      </c>
      <c r="C3837" s="96" t="str">
        <f t="shared" si="347"/>
        <v>CPOS472005</v>
      </c>
      <c r="D3837" s="95" t="s">
        <v>3877</v>
      </c>
      <c r="E3837" s="63" t="s">
        <v>58</v>
      </c>
      <c r="F3837" s="64">
        <v>1718.52</v>
      </c>
    </row>
    <row r="3838" spans="1:6" x14ac:dyDescent="0.25">
      <c r="A3838" s="62" t="s">
        <v>4398</v>
      </c>
      <c r="B3838" s="96">
        <v>472006</v>
      </c>
      <c r="C3838" s="96" t="str">
        <f t="shared" si="347"/>
        <v>CPOS472006</v>
      </c>
      <c r="D3838" s="95" t="s">
        <v>3878</v>
      </c>
      <c r="E3838" s="63" t="s">
        <v>58</v>
      </c>
      <c r="F3838" s="64">
        <v>4890.84</v>
      </c>
    </row>
    <row r="3839" spans="1:6" ht="30" x14ac:dyDescent="0.25">
      <c r="A3839" s="62" t="s">
        <v>4398</v>
      </c>
      <c r="B3839" s="96">
        <v>472007</v>
      </c>
      <c r="C3839" s="96" t="str">
        <f t="shared" si="347"/>
        <v>CPOS472007</v>
      </c>
      <c r="D3839" s="95" t="s">
        <v>3879</v>
      </c>
      <c r="E3839" s="63" t="s">
        <v>58</v>
      </c>
      <c r="F3839" s="64">
        <v>28.68</v>
      </c>
    </row>
    <row r="3840" spans="1:6" ht="30" x14ac:dyDescent="0.25">
      <c r="A3840" s="62" t="s">
        <v>4398</v>
      </c>
      <c r="B3840" s="96">
        <v>472008</v>
      </c>
      <c r="C3840" s="96" t="str">
        <f t="shared" si="347"/>
        <v>CPOS472008</v>
      </c>
      <c r="D3840" s="95" t="s">
        <v>3880</v>
      </c>
      <c r="E3840" s="63" t="s">
        <v>58</v>
      </c>
      <c r="F3840" s="64">
        <v>431.89</v>
      </c>
    </row>
    <row r="3841" spans="1:6" ht="30" x14ac:dyDescent="0.25">
      <c r="A3841" s="62" t="s">
        <v>4398</v>
      </c>
      <c r="B3841" s="96">
        <v>472010</v>
      </c>
      <c r="C3841" s="96" t="str">
        <f t="shared" si="347"/>
        <v>CPOS472010</v>
      </c>
      <c r="D3841" s="95" t="s">
        <v>3881</v>
      </c>
      <c r="E3841" s="63" t="s">
        <v>58</v>
      </c>
      <c r="F3841" s="64">
        <v>204.95000000000002</v>
      </c>
    </row>
    <row r="3842" spans="1:6" x14ac:dyDescent="0.25">
      <c r="A3842" s="62" t="s">
        <v>4398</v>
      </c>
      <c r="B3842" s="96">
        <v>472012</v>
      </c>
      <c r="C3842" s="96" t="str">
        <f t="shared" si="347"/>
        <v>CPOS472012</v>
      </c>
      <c r="D3842" s="95" t="s">
        <v>3882</v>
      </c>
      <c r="E3842" s="63" t="s">
        <v>58</v>
      </c>
      <c r="F3842" s="64">
        <v>61.36</v>
      </c>
    </row>
    <row r="3843" spans="1:6" ht="30" x14ac:dyDescent="0.25">
      <c r="A3843" s="62" t="s">
        <v>4398</v>
      </c>
      <c r="B3843" s="96">
        <v>472018</v>
      </c>
      <c r="C3843" s="96" t="str">
        <f t="shared" si="347"/>
        <v>CPOS472018</v>
      </c>
      <c r="D3843" s="95" t="s">
        <v>3883</v>
      </c>
      <c r="E3843" s="63" t="s">
        <v>58</v>
      </c>
      <c r="F3843" s="64">
        <v>1879.76</v>
      </c>
    </row>
    <row r="3844" spans="1:6" x14ac:dyDescent="0.25">
      <c r="A3844" s="62" t="s">
        <v>4398</v>
      </c>
      <c r="B3844" s="96">
        <v>472019</v>
      </c>
      <c r="C3844" s="96" t="str">
        <f t="shared" si="347"/>
        <v>CPOS472019</v>
      </c>
      <c r="D3844" s="95" t="s">
        <v>3884</v>
      </c>
      <c r="E3844" s="63" t="s">
        <v>58</v>
      </c>
      <c r="F3844" s="64">
        <v>87.19</v>
      </c>
    </row>
    <row r="3845" spans="1:6" ht="30" x14ac:dyDescent="0.25">
      <c r="A3845" s="62" t="s">
        <v>4398</v>
      </c>
      <c r="B3845" s="96">
        <v>472030</v>
      </c>
      <c r="C3845" s="96" t="str">
        <f t="shared" si="347"/>
        <v>CPOS472030</v>
      </c>
      <c r="D3845" s="95" t="s">
        <v>3885</v>
      </c>
      <c r="E3845" s="63" t="s">
        <v>58</v>
      </c>
      <c r="F3845" s="64">
        <v>278.57</v>
      </c>
    </row>
    <row r="3846" spans="1:6" x14ac:dyDescent="0.25">
      <c r="A3846" s="62" t="s">
        <v>4398</v>
      </c>
      <c r="B3846" s="96">
        <v>472031</v>
      </c>
      <c r="C3846" s="96" t="str">
        <f t="shared" si="347"/>
        <v>CPOS472031</v>
      </c>
      <c r="D3846" s="95" t="s">
        <v>3886</v>
      </c>
      <c r="E3846" s="63" t="s">
        <v>58</v>
      </c>
      <c r="F3846" s="64">
        <v>192.78</v>
      </c>
    </row>
    <row r="3847" spans="1:6" x14ac:dyDescent="0.25">
      <c r="A3847" s="62" t="s">
        <v>4398</v>
      </c>
      <c r="B3847" s="96">
        <v>472032</v>
      </c>
      <c r="C3847" s="96" t="str">
        <f t="shared" si="347"/>
        <v>CPOS472032</v>
      </c>
      <c r="D3847" s="95" t="s">
        <v>3887</v>
      </c>
      <c r="E3847" s="63" t="s">
        <v>58</v>
      </c>
      <c r="F3847" s="64">
        <v>216.33</v>
      </c>
    </row>
    <row r="3848" spans="1:6" x14ac:dyDescent="0.25">
      <c r="A3848" s="62" t="s">
        <v>4398</v>
      </c>
      <c r="B3848" s="96">
        <v>472033</v>
      </c>
      <c r="C3848" s="96" t="str">
        <f t="shared" si="347"/>
        <v>CPOS472033</v>
      </c>
      <c r="D3848" s="95" t="s">
        <v>3888</v>
      </c>
      <c r="E3848" s="63" t="s">
        <v>58</v>
      </c>
      <c r="F3848" s="64">
        <v>276.87</v>
      </c>
    </row>
    <row r="3849" spans="1:6" x14ac:dyDescent="0.25">
      <c r="D3849" s="94" t="s">
        <v>3889</v>
      </c>
    </row>
    <row r="3850" spans="1:6" x14ac:dyDescent="0.25">
      <c r="D3850" s="94" t="s">
        <v>3890</v>
      </c>
    </row>
    <row r="3851" spans="1:6" x14ac:dyDescent="0.25">
      <c r="A3851" s="62" t="s">
        <v>4398</v>
      </c>
      <c r="B3851" s="96">
        <v>480201</v>
      </c>
      <c r="C3851" s="96" t="str">
        <f t="shared" ref="C3851:C3863" si="348">A3851&amp;B3851</f>
        <v>CPOS480201</v>
      </c>
      <c r="D3851" s="95" t="s">
        <v>3891</v>
      </c>
      <c r="E3851" s="63" t="s">
        <v>58</v>
      </c>
      <c r="F3851" s="64">
        <v>5183.54</v>
      </c>
    </row>
    <row r="3852" spans="1:6" x14ac:dyDescent="0.25">
      <c r="A3852" s="62" t="s">
        <v>4398</v>
      </c>
      <c r="B3852" s="96">
        <v>480202</v>
      </c>
      <c r="C3852" s="96" t="str">
        <f t="shared" si="348"/>
        <v>CPOS480202</v>
      </c>
      <c r="D3852" s="95" t="s">
        <v>3892</v>
      </c>
      <c r="E3852" s="63" t="s">
        <v>58</v>
      </c>
      <c r="F3852" s="64">
        <v>413.81</v>
      </c>
    </row>
    <row r="3853" spans="1:6" x14ac:dyDescent="0.25">
      <c r="A3853" s="62" t="s">
        <v>4398</v>
      </c>
      <c r="B3853" s="96">
        <v>480203</v>
      </c>
      <c r="C3853" s="96" t="str">
        <f t="shared" si="348"/>
        <v>CPOS480203</v>
      </c>
      <c r="D3853" s="95" t="s">
        <v>3893</v>
      </c>
      <c r="E3853" s="63" t="s">
        <v>58</v>
      </c>
      <c r="F3853" s="64">
        <v>263</v>
      </c>
    </row>
    <row r="3854" spans="1:6" x14ac:dyDescent="0.25">
      <c r="A3854" s="62" t="s">
        <v>4398</v>
      </c>
      <c r="B3854" s="96">
        <v>480204</v>
      </c>
      <c r="C3854" s="96" t="str">
        <f t="shared" si="348"/>
        <v>CPOS480204</v>
      </c>
      <c r="D3854" s="95" t="s">
        <v>3894</v>
      </c>
      <c r="E3854" s="63" t="s">
        <v>58</v>
      </c>
      <c r="F3854" s="64">
        <v>205.64000000000001</v>
      </c>
    </row>
    <row r="3855" spans="1:6" x14ac:dyDescent="0.25">
      <c r="A3855" s="62" t="s">
        <v>4398</v>
      </c>
      <c r="B3855" s="96">
        <v>480205</v>
      </c>
      <c r="C3855" s="96" t="str">
        <f t="shared" si="348"/>
        <v>CPOS480205</v>
      </c>
      <c r="D3855" s="95" t="s">
        <v>3895</v>
      </c>
      <c r="E3855" s="63" t="s">
        <v>58</v>
      </c>
      <c r="F3855" s="64">
        <v>1064.03</v>
      </c>
    </row>
    <row r="3856" spans="1:6" x14ac:dyDescent="0.25">
      <c r="A3856" s="62" t="s">
        <v>4398</v>
      </c>
      <c r="B3856" s="96">
        <v>480207</v>
      </c>
      <c r="C3856" s="96" t="str">
        <f t="shared" si="348"/>
        <v>CPOS480207</v>
      </c>
      <c r="D3856" s="95" t="s">
        <v>3896</v>
      </c>
      <c r="E3856" s="63" t="s">
        <v>58</v>
      </c>
      <c r="F3856" s="64">
        <v>3457.44</v>
      </c>
    </row>
    <row r="3857" spans="1:6" x14ac:dyDescent="0.25">
      <c r="A3857" s="62" t="s">
        <v>4398</v>
      </c>
      <c r="B3857" s="96">
        <v>480208</v>
      </c>
      <c r="C3857" s="96" t="str">
        <f t="shared" si="348"/>
        <v>CPOS480208</v>
      </c>
      <c r="D3857" s="95" t="s">
        <v>3897</v>
      </c>
      <c r="E3857" s="63" t="s">
        <v>58</v>
      </c>
      <c r="F3857" s="64">
        <v>639.51</v>
      </c>
    </row>
    <row r="3858" spans="1:6" x14ac:dyDescent="0.25">
      <c r="A3858" s="62" t="s">
        <v>4398</v>
      </c>
      <c r="B3858" s="96">
        <v>480210</v>
      </c>
      <c r="C3858" s="96" t="str">
        <f t="shared" si="348"/>
        <v>CPOS480210</v>
      </c>
      <c r="D3858" s="95" t="s">
        <v>3898</v>
      </c>
      <c r="E3858" s="63" t="s">
        <v>58</v>
      </c>
      <c r="F3858" s="64">
        <v>784.6</v>
      </c>
    </row>
    <row r="3859" spans="1:6" x14ac:dyDescent="0.25">
      <c r="A3859" s="62" t="s">
        <v>4398</v>
      </c>
      <c r="B3859" s="96">
        <v>480215</v>
      </c>
      <c r="C3859" s="96" t="str">
        <f t="shared" si="348"/>
        <v>CPOS480215</v>
      </c>
      <c r="D3859" s="95" t="s">
        <v>3899</v>
      </c>
      <c r="E3859" s="63" t="s">
        <v>58</v>
      </c>
      <c r="F3859" s="64">
        <v>6853.13</v>
      </c>
    </row>
    <row r="3860" spans="1:6" x14ac:dyDescent="0.25">
      <c r="A3860" s="62" t="s">
        <v>4398</v>
      </c>
      <c r="B3860" s="96">
        <v>480222</v>
      </c>
      <c r="C3860" s="96" t="str">
        <f t="shared" si="348"/>
        <v>CPOS480222</v>
      </c>
      <c r="D3860" s="95" t="s">
        <v>3900</v>
      </c>
      <c r="E3860" s="63" t="s">
        <v>58</v>
      </c>
      <c r="F3860" s="64">
        <v>10737.300000000001</v>
      </c>
    </row>
    <row r="3861" spans="1:6" ht="30" x14ac:dyDescent="0.25">
      <c r="A3861" s="62" t="s">
        <v>4398</v>
      </c>
      <c r="B3861" s="96">
        <v>480230</v>
      </c>
      <c r="C3861" s="96" t="str">
        <f t="shared" si="348"/>
        <v>CPOS480230</v>
      </c>
      <c r="D3861" s="95" t="s">
        <v>3901</v>
      </c>
      <c r="E3861" s="63" t="s">
        <v>117</v>
      </c>
      <c r="F3861" s="64">
        <v>6213.68</v>
      </c>
    </row>
    <row r="3862" spans="1:6" ht="30" x14ac:dyDescent="0.25">
      <c r="A3862" s="62" t="s">
        <v>4398</v>
      </c>
      <c r="B3862" s="96">
        <v>480231</v>
      </c>
      <c r="C3862" s="96" t="str">
        <f t="shared" si="348"/>
        <v>CPOS480231</v>
      </c>
      <c r="D3862" s="95" t="s">
        <v>3902</v>
      </c>
      <c r="E3862" s="63" t="s">
        <v>117</v>
      </c>
      <c r="F3862" s="64">
        <v>10506.050000000001</v>
      </c>
    </row>
    <row r="3863" spans="1:6" ht="30" x14ac:dyDescent="0.25">
      <c r="A3863" s="62" t="s">
        <v>4398</v>
      </c>
      <c r="B3863" s="96">
        <v>480232</v>
      </c>
      <c r="C3863" s="96" t="str">
        <f t="shared" si="348"/>
        <v>CPOS480232</v>
      </c>
      <c r="D3863" s="95" t="s">
        <v>3903</v>
      </c>
      <c r="E3863" s="63" t="s">
        <v>58</v>
      </c>
      <c r="F3863" s="64">
        <v>3105.9700000000003</v>
      </c>
    </row>
    <row r="3864" spans="1:6" x14ac:dyDescent="0.25">
      <c r="D3864" s="94" t="s">
        <v>3904</v>
      </c>
    </row>
    <row r="3865" spans="1:6" x14ac:dyDescent="0.25">
      <c r="A3865" s="62" t="s">
        <v>4398</v>
      </c>
      <c r="B3865" s="96">
        <v>480301</v>
      </c>
      <c r="C3865" s="96" t="str">
        <f t="shared" ref="C3865:C3868" si="349">A3865&amp;B3865</f>
        <v>CPOS480301</v>
      </c>
      <c r="D3865" s="95" t="s">
        <v>3905</v>
      </c>
      <c r="E3865" s="63" t="s">
        <v>117</v>
      </c>
      <c r="F3865" s="64">
        <v>1358.29</v>
      </c>
    </row>
    <row r="3866" spans="1:6" x14ac:dyDescent="0.25">
      <c r="A3866" s="62" t="s">
        <v>4398</v>
      </c>
      <c r="B3866" s="96">
        <v>480312</v>
      </c>
      <c r="C3866" s="96" t="str">
        <f t="shared" si="349"/>
        <v>CPOS480312</v>
      </c>
      <c r="D3866" s="95" t="s">
        <v>3906</v>
      </c>
      <c r="E3866" s="63" t="s">
        <v>117</v>
      </c>
      <c r="F3866" s="64">
        <v>11060.87</v>
      </c>
    </row>
    <row r="3867" spans="1:6" x14ac:dyDescent="0.25">
      <c r="A3867" s="62" t="s">
        <v>4398</v>
      </c>
      <c r="B3867" s="96">
        <v>480313</v>
      </c>
      <c r="C3867" s="96" t="str">
        <f t="shared" si="349"/>
        <v>CPOS480313</v>
      </c>
      <c r="D3867" s="95" t="s">
        <v>3907</v>
      </c>
      <c r="E3867" s="63" t="s">
        <v>117</v>
      </c>
      <c r="F3867" s="64">
        <v>6911.22</v>
      </c>
    </row>
    <row r="3868" spans="1:6" x14ac:dyDescent="0.25">
      <c r="A3868" s="62" t="s">
        <v>4398</v>
      </c>
      <c r="B3868" s="96">
        <v>480317</v>
      </c>
      <c r="C3868" s="96" t="str">
        <f t="shared" si="349"/>
        <v>CPOS480317</v>
      </c>
      <c r="D3868" s="95" t="s">
        <v>3908</v>
      </c>
      <c r="E3868" s="63" t="s">
        <v>117</v>
      </c>
      <c r="F3868" s="64">
        <v>3937.7400000000002</v>
      </c>
    </row>
    <row r="3869" spans="1:6" x14ac:dyDescent="0.25">
      <c r="D3869" s="94" t="s">
        <v>3909</v>
      </c>
    </row>
    <row r="3870" spans="1:6" ht="30" x14ac:dyDescent="0.25">
      <c r="A3870" s="62" t="s">
        <v>4398</v>
      </c>
      <c r="B3870" s="96">
        <v>480438</v>
      </c>
      <c r="C3870" s="96" t="str">
        <f t="shared" ref="C3870:C3871" si="350">A3870&amp;B3870</f>
        <v>CPOS480438</v>
      </c>
      <c r="D3870" s="95" t="s">
        <v>3910</v>
      </c>
      <c r="E3870" s="63" t="s">
        <v>110</v>
      </c>
      <c r="F3870" s="64">
        <v>21399.21</v>
      </c>
    </row>
    <row r="3871" spans="1:6" ht="30" x14ac:dyDescent="0.25">
      <c r="A3871" s="62" t="s">
        <v>4398</v>
      </c>
      <c r="B3871" s="96">
        <v>480439</v>
      </c>
      <c r="C3871" s="96" t="str">
        <f t="shared" si="350"/>
        <v>CPOS480439</v>
      </c>
      <c r="D3871" s="95" t="s">
        <v>3911</v>
      </c>
      <c r="E3871" s="63" t="s">
        <v>110</v>
      </c>
      <c r="F3871" s="64">
        <v>30572.59</v>
      </c>
    </row>
    <row r="3872" spans="1:6" x14ac:dyDescent="0.25">
      <c r="D3872" s="94" t="s">
        <v>3912</v>
      </c>
    </row>
    <row r="3873" spans="1:6" x14ac:dyDescent="0.25">
      <c r="A3873" s="62" t="s">
        <v>4398</v>
      </c>
      <c r="B3873" s="96">
        <v>480501</v>
      </c>
      <c r="C3873" s="96" t="str">
        <f t="shared" ref="C3873:C3880" si="351">A3873&amp;B3873</f>
        <v>CPOS480501</v>
      </c>
      <c r="D3873" s="95" t="s">
        <v>3913</v>
      </c>
      <c r="E3873" s="63" t="s">
        <v>58</v>
      </c>
      <c r="F3873" s="64">
        <v>53.21</v>
      </c>
    </row>
    <row r="3874" spans="1:6" x14ac:dyDescent="0.25">
      <c r="A3874" s="62" t="s">
        <v>4398</v>
      </c>
      <c r="B3874" s="96">
        <v>480502</v>
      </c>
      <c r="C3874" s="96" t="str">
        <f t="shared" si="351"/>
        <v>CPOS480502</v>
      </c>
      <c r="D3874" s="95" t="s">
        <v>3914</v>
      </c>
      <c r="E3874" s="63" t="s">
        <v>58</v>
      </c>
      <c r="F3874" s="64">
        <v>68.36</v>
      </c>
    </row>
    <row r="3875" spans="1:6" x14ac:dyDescent="0.25">
      <c r="A3875" s="62" t="s">
        <v>4398</v>
      </c>
      <c r="B3875" s="96">
        <v>480503</v>
      </c>
      <c r="C3875" s="96" t="str">
        <f t="shared" si="351"/>
        <v>CPOS480503</v>
      </c>
      <c r="D3875" s="95" t="s">
        <v>3915</v>
      </c>
      <c r="E3875" s="63" t="s">
        <v>58</v>
      </c>
      <c r="F3875" s="64">
        <v>97.54</v>
      </c>
    </row>
    <row r="3876" spans="1:6" x14ac:dyDescent="0.25">
      <c r="A3876" s="62" t="s">
        <v>4398</v>
      </c>
      <c r="B3876" s="96">
        <v>480504</v>
      </c>
      <c r="C3876" s="96" t="str">
        <f t="shared" si="351"/>
        <v>CPOS480504</v>
      </c>
      <c r="D3876" s="95" t="s">
        <v>3916</v>
      </c>
      <c r="E3876" s="63" t="s">
        <v>58</v>
      </c>
      <c r="F3876" s="64">
        <v>115.46000000000001</v>
      </c>
    </row>
    <row r="3877" spans="1:6" x14ac:dyDescent="0.25">
      <c r="A3877" s="62" t="s">
        <v>4398</v>
      </c>
      <c r="B3877" s="96">
        <v>480505</v>
      </c>
      <c r="C3877" s="96" t="str">
        <f t="shared" si="351"/>
        <v>CPOS480505</v>
      </c>
      <c r="D3877" s="95" t="s">
        <v>3917</v>
      </c>
      <c r="E3877" s="63" t="s">
        <v>58</v>
      </c>
      <c r="F3877" s="64">
        <v>126.91</v>
      </c>
    </row>
    <row r="3878" spans="1:6" x14ac:dyDescent="0.25">
      <c r="A3878" s="62" t="s">
        <v>4398</v>
      </c>
      <c r="B3878" s="96">
        <v>480507</v>
      </c>
      <c r="C3878" s="96" t="str">
        <f t="shared" si="351"/>
        <v>CPOS480507</v>
      </c>
      <c r="D3878" s="95" t="s">
        <v>3918</v>
      </c>
      <c r="E3878" s="63" t="s">
        <v>58</v>
      </c>
      <c r="F3878" s="64">
        <v>1355.53</v>
      </c>
    </row>
    <row r="3879" spans="1:6" x14ac:dyDescent="0.25">
      <c r="A3879" s="62" t="s">
        <v>4398</v>
      </c>
      <c r="B3879" s="96">
        <v>480508</v>
      </c>
      <c r="C3879" s="96" t="str">
        <f t="shared" si="351"/>
        <v>CPOS480508</v>
      </c>
      <c r="D3879" s="95" t="s">
        <v>3919</v>
      </c>
      <c r="E3879" s="63" t="s">
        <v>58</v>
      </c>
      <c r="F3879" s="64">
        <v>4873.07</v>
      </c>
    </row>
    <row r="3880" spans="1:6" x14ac:dyDescent="0.25">
      <c r="A3880" s="62" t="s">
        <v>4398</v>
      </c>
      <c r="B3880" s="96">
        <v>480509</v>
      </c>
      <c r="C3880" s="96" t="str">
        <f t="shared" si="351"/>
        <v>CPOS480509</v>
      </c>
      <c r="D3880" s="95" t="s">
        <v>3920</v>
      </c>
      <c r="E3880" s="63" t="s">
        <v>58</v>
      </c>
      <c r="F3880" s="64">
        <v>561.4</v>
      </c>
    </row>
    <row r="3881" spans="1:6" x14ac:dyDescent="0.25">
      <c r="D3881" s="94" t="s">
        <v>693</v>
      </c>
    </row>
    <row r="3882" spans="1:6" x14ac:dyDescent="0.25">
      <c r="A3882" s="62" t="s">
        <v>4398</v>
      </c>
      <c r="B3882" s="96">
        <v>482002</v>
      </c>
      <c r="C3882" s="96" t="str">
        <f t="shared" ref="C3882:C3884" si="352">A3882&amp;B3882</f>
        <v>CPOS482002</v>
      </c>
      <c r="D3882" s="95" t="s">
        <v>3921</v>
      </c>
      <c r="E3882" s="63" t="s">
        <v>58</v>
      </c>
      <c r="F3882" s="64">
        <v>34.020000000000003</v>
      </c>
    </row>
    <row r="3883" spans="1:6" x14ac:dyDescent="0.25">
      <c r="A3883" s="62" t="s">
        <v>4398</v>
      </c>
      <c r="B3883" s="96">
        <v>482004</v>
      </c>
      <c r="C3883" s="96" t="str">
        <f t="shared" si="352"/>
        <v>CPOS482004</v>
      </c>
      <c r="D3883" s="95" t="s">
        <v>3922</v>
      </c>
      <c r="E3883" s="63" t="s">
        <v>58</v>
      </c>
      <c r="F3883" s="64">
        <v>90.72</v>
      </c>
    </row>
    <row r="3884" spans="1:6" x14ac:dyDescent="0.25">
      <c r="A3884" s="62" t="s">
        <v>4398</v>
      </c>
      <c r="B3884" s="96">
        <v>482006</v>
      </c>
      <c r="C3884" s="96" t="str">
        <f t="shared" si="352"/>
        <v>CPOS482006</v>
      </c>
      <c r="D3884" s="95" t="s">
        <v>3923</v>
      </c>
      <c r="E3884" s="63" t="s">
        <v>58</v>
      </c>
      <c r="F3884" s="64">
        <v>204.12</v>
      </c>
    </row>
    <row r="3885" spans="1:6" x14ac:dyDescent="0.25">
      <c r="D3885" s="94" t="s">
        <v>3924</v>
      </c>
    </row>
    <row r="3886" spans="1:6" x14ac:dyDescent="0.25">
      <c r="D3886" s="94" t="s">
        <v>3925</v>
      </c>
    </row>
    <row r="3887" spans="1:6" x14ac:dyDescent="0.25">
      <c r="A3887" s="62" t="s">
        <v>4398</v>
      </c>
      <c r="B3887" s="96">
        <v>490102</v>
      </c>
      <c r="C3887" s="96" t="str">
        <f t="shared" ref="C3887:C3892" si="353">A3887&amp;B3887</f>
        <v>CPOS490102</v>
      </c>
      <c r="D3887" s="95" t="s">
        <v>3926</v>
      </c>
      <c r="E3887" s="63" t="s">
        <v>58</v>
      </c>
      <c r="F3887" s="64">
        <v>46.69</v>
      </c>
    </row>
    <row r="3888" spans="1:6" x14ac:dyDescent="0.25">
      <c r="A3888" s="62" t="s">
        <v>4398</v>
      </c>
      <c r="B3888" s="96">
        <v>490103</v>
      </c>
      <c r="C3888" s="96" t="str">
        <f t="shared" si="353"/>
        <v>CPOS490103</v>
      </c>
      <c r="D3888" s="95" t="s">
        <v>3927</v>
      </c>
      <c r="E3888" s="63" t="s">
        <v>58</v>
      </c>
      <c r="F3888" s="64">
        <v>56.35</v>
      </c>
    </row>
    <row r="3889" spans="1:6" x14ac:dyDescent="0.25">
      <c r="A3889" s="62" t="s">
        <v>4398</v>
      </c>
      <c r="B3889" s="96">
        <v>490104</v>
      </c>
      <c r="C3889" s="96" t="str">
        <f t="shared" si="353"/>
        <v>CPOS490104</v>
      </c>
      <c r="D3889" s="95" t="s">
        <v>3928</v>
      </c>
      <c r="E3889" s="63" t="s">
        <v>58</v>
      </c>
      <c r="F3889" s="64">
        <v>58.61</v>
      </c>
    </row>
    <row r="3890" spans="1:6" x14ac:dyDescent="0.25">
      <c r="A3890" s="62" t="s">
        <v>4398</v>
      </c>
      <c r="B3890" s="96">
        <v>490105</v>
      </c>
      <c r="C3890" s="96" t="str">
        <f t="shared" si="353"/>
        <v>CPOS490105</v>
      </c>
      <c r="D3890" s="95" t="s">
        <v>3929</v>
      </c>
      <c r="E3890" s="63" t="s">
        <v>58</v>
      </c>
      <c r="F3890" s="64">
        <v>62.39</v>
      </c>
    </row>
    <row r="3891" spans="1:6" x14ac:dyDescent="0.25">
      <c r="A3891" s="62" t="s">
        <v>4398</v>
      </c>
      <c r="B3891" s="96">
        <v>490107</v>
      </c>
      <c r="C3891" s="96" t="str">
        <f t="shared" si="353"/>
        <v>CPOS490107</v>
      </c>
      <c r="D3891" s="95" t="s">
        <v>3930</v>
      </c>
      <c r="E3891" s="63" t="s">
        <v>58</v>
      </c>
      <c r="F3891" s="64">
        <v>65.27</v>
      </c>
    </row>
    <row r="3892" spans="1:6" x14ac:dyDescent="0.25">
      <c r="A3892" s="62" t="s">
        <v>4398</v>
      </c>
      <c r="B3892" s="96">
        <v>490108</v>
      </c>
      <c r="C3892" s="96" t="str">
        <f t="shared" si="353"/>
        <v>CPOS490108</v>
      </c>
      <c r="D3892" s="95" t="s">
        <v>3931</v>
      </c>
      <c r="E3892" s="63" t="s">
        <v>58</v>
      </c>
      <c r="F3892" s="64">
        <v>41.88</v>
      </c>
    </row>
    <row r="3893" spans="1:6" x14ac:dyDescent="0.25">
      <c r="D3893" s="94" t="s">
        <v>3932</v>
      </c>
    </row>
    <row r="3894" spans="1:6" x14ac:dyDescent="0.25">
      <c r="A3894" s="62" t="s">
        <v>4398</v>
      </c>
      <c r="B3894" s="96">
        <v>490302</v>
      </c>
      <c r="C3894" s="96" t="str">
        <f>A3894&amp;B3894</f>
        <v>CPOS490302</v>
      </c>
      <c r="D3894" s="95" t="s">
        <v>3933</v>
      </c>
      <c r="E3894" s="63" t="s">
        <v>58</v>
      </c>
      <c r="F3894" s="64">
        <v>183.66</v>
      </c>
    </row>
    <row r="3895" spans="1:6" x14ac:dyDescent="0.25">
      <c r="D3895" s="94" t="s">
        <v>3934</v>
      </c>
    </row>
    <row r="3896" spans="1:6" x14ac:dyDescent="0.25">
      <c r="A3896" s="62" t="s">
        <v>4398</v>
      </c>
      <c r="B3896" s="96">
        <v>490401</v>
      </c>
      <c r="C3896" s="96" t="str">
        <f>A3896&amp;B3896</f>
        <v>CPOS490401</v>
      </c>
      <c r="D3896" s="95" t="s">
        <v>3935</v>
      </c>
      <c r="E3896" s="63" t="s">
        <v>58</v>
      </c>
      <c r="F3896" s="64">
        <v>40.24</v>
      </c>
    </row>
    <row r="3897" spans="1:6" x14ac:dyDescent="0.25">
      <c r="D3897" s="94" t="s">
        <v>3936</v>
      </c>
    </row>
    <row r="3898" spans="1:6" x14ac:dyDescent="0.25">
      <c r="A3898" s="62" t="s">
        <v>4398</v>
      </c>
      <c r="B3898" s="96">
        <v>490502</v>
      </c>
      <c r="C3898" s="96" t="str">
        <f t="shared" ref="C3898:C3899" si="354">A3898&amp;B3898</f>
        <v>CPOS490502</v>
      </c>
      <c r="D3898" s="95" t="s">
        <v>3937</v>
      </c>
      <c r="E3898" s="63" t="s">
        <v>58</v>
      </c>
      <c r="F3898" s="64">
        <v>81.069999999999993</v>
      </c>
    </row>
    <row r="3899" spans="1:6" x14ac:dyDescent="0.25">
      <c r="A3899" s="62" t="s">
        <v>4398</v>
      </c>
      <c r="B3899" s="96">
        <v>490504</v>
      </c>
      <c r="C3899" s="96" t="str">
        <f t="shared" si="354"/>
        <v>CPOS490504</v>
      </c>
      <c r="D3899" s="95" t="s">
        <v>3938</v>
      </c>
      <c r="E3899" s="63" t="s">
        <v>58</v>
      </c>
      <c r="F3899" s="64">
        <v>309.26</v>
      </c>
    </row>
    <row r="3900" spans="1:6" x14ac:dyDescent="0.25">
      <c r="D3900" s="94" t="s">
        <v>3939</v>
      </c>
    </row>
    <row r="3901" spans="1:6" x14ac:dyDescent="0.25">
      <c r="A3901" s="62" t="s">
        <v>4398</v>
      </c>
      <c r="B3901" s="96">
        <v>490601</v>
      </c>
      <c r="C3901" s="96" t="str">
        <f t="shared" ref="C3901:C3922" si="355">A3901&amp;B3901</f>
        <v>CPOS490601</v>
      </c>
      <c r="D3901" s="95" t="s">
        <v>3940</v>
      </c>
      <c r="E3901" s="63" t="s">
        <v>58</v>
      </c>
      <c r="F3901" s="64">
        <v>7.18</v>
      </c>
    </row>
    <row r="3902" spans="1:6" x14ac:dyDescent="0.25">
      <c r="A3902" s="62" t="s">
        <v>4398</v>
      </c>
      <c r="B3902" s="96">
        <v>490602</v>
      </c>
      <c r="C3902" s="96" t="str">
        <f t="shared" si="355"/>
        <v>CPOS490602</v>
      </c>
      <c r="D3902" s="95" t="s">
        <v>3941</v>
      </c>
      <c r="E3902" s="63" t="s">
        <v>81</v>
      </c>
      <c r="F3902" s="64">
        <v>682.61</v>
      </c>
    </row>
    <row r="3903" spans="1:6" x14ac:dyDescent="0.25">
      <c r="A3903" s="62" t="s">
        <v>4398</v>
      </c>
      <c r="B3903" s="96">
        <v>490603</v>
      </c>
      <c r="C3903" s="96" t="str">
        <f t="shared" si="355"/>
        <v>CPOS490603</v>
      </c>
      <c r="D3903" s="95" t="s">
        <v>3942</v>
      </c>
      <c r="E3903" s="63" t="s">
        <v>58</v>
      </c>
      <c r="F3903" s="64">
        <v>5.72</v>
      </c>
    </row>
    <row r="3904" spans="1:6" x14ac:dyDescent="0.25">
      <c r="A3904" s="62" t="s">
        <v>4398</v>
      </c>
      <c r="B3904" s="96">
        <v>490607</v>
      </c>
      <c r="C3904" s="96" t="str">
        <f t="shared" si="355"/>
        <v>CPOS490607</v>
      </c>
      <c r="D3904" s="95" t="s">
        <v>3943</v>
      </c>
      <c r="E3904" s="63" t="s">
        <v>58</v>
      </c>
      <c r="F3904" s="64">
        <v>282.36</v>
      </c>
    </row>
    <row r="3905" spans="1:6" x14ac:dyDescent="0.25">
      <c r="A3905" s="62" t="s">
        <v>4398</v>
      </c>
      <c r="B3905" s="96">
        <v>490608</v>
      </c>
      <c r="C3905" s="96" t="str">
        <f t="shared" si="355"/>
        <v>CPOS490608</v>
      </c>
      <c r="D3905" s="95" t="s">
        <v>3944</v>
      </c>
      <c r="E3905" s="63" t="s">
        <v>58</v>
      </c>
      <c r="F3905" s="64">
        <v>14.72</v>
      </c>
    </row>
    <row r="3906" spans="1:6" x14ac:dyDescent="0.25">
      <c r="A3906" s="62" t="s">
        <v>4398</v>
      </c>
      <c r="B3906" s="96">
        <v>490611</v>
      </c>
      <c r="C3906" s="96" t="str">
        <f t="shared" si="355"/>
        <v>CPOS490611</v>
      </c>
      <c r="D3906" s="95" t="s">
        <v>3945</v>
      </c>
      <c r="E3906" s="63" t="s">
        <v>58</v>
      </c>
      <c r="F3906" s="64">
        <v>5.16</v>
      </c>
    </row>
    <row r="3907" spans="1:6" x14ac:dyDescent="0.25">
      <c r="A3907" s="62" t="s">
        <v>4398</v>
      </c>
      <c r="B3907" s="96">
        <v>490614</v>
      </c>
      <c r="C3907" s="96" t="str">
        <f t="shared" si="355"/>
        <v>CPOS490614</v>
      </c>
      <c r="D3907" s="95" t="s">
        <v>3946</v>
      </c>
      <c r="E3907" s="63" t="s">
        <v>58</v>
      </c>
      <c r="F3907" s="64">
        <v>12.89</v>
      </c>
    </row>
    <row r="3908" spans="1:6" x14ac:dyDescent="0.25">
      <c r="A3908" s="62" t="s">
        <v>4398</v>
      </c>
      <c r="B3908" s="96">
        <v>490616</v>
      </c>
      <c r="C3908" s="96" t="str">
        <f t="shared" si="355"/>
        <v>CPOS490616</v>
      </c>
      <c r="D3908" s="95" t="s">
        <v>3947</v>
      </c>
      <c r="E3908" s="63" t="s">
        <v>81</v>
      </c>
      <c r="F3908" s="64">
        <v>724.2</v>
      </c>
    </row>
    <row r="3909" spans="1:6" x14ac:dyDescent="0.25">
      <c r="A3909" s="62" t="s">
        <v>4398</v>
      </c>
      <c r="B3909" s="96">
        <v>490617</v>
      </c>
      <c r="C3909" s="96" t="str">
        <f t="shared" si="355"/>
        <v>CPOS490617</v>
      </c>
      <c r="D3909" s="95" t="s">
        <v>3948</v>
      </c>
      <c r="E3909" s="63" t="s">
        <v>81</v>
      </c>
      <c r="F3909" s="64">
        <v>603.19000000000005</v>
      </c>
    </row>
    <row r="3910" spans="1:6" x14ac:dyDescent="0.25">
      <c r="A3910" s="62" t="s">
        <v>4398</v>
      </c>
      <c r="B3910" s="96">
        <v>490619</v>
      </c>
      <c r="C3910" s="96" t="str">
        <f t="shared" si="355"/>
        <v>CPOS490619</v>
      </c>
      <c r="D3910" s="95" t="s">
        <v>3949</v>
      </c>
      <c r="E3910" s="63" t="s">
        <v>58</v>
      </c>
      <c r="F3910" s="64">
        <v>53.02</v>
      </c>
    </row>
    <row r="3911" spans="1:6" ht="30" x14ac:dyDescent="0.25">
      <c r="A3911" s="62" t="s">
        <v>4398</v>
      </c>
      <c r="B3911" s="96">
        <v>490620</v>
      </c>
      <c r="C3911" s="96" t="str">
        <f t="shared" si="355"/>
        <v>CPOS490620</v>
      </c>
      <c r="D3911" s="95" t="s">
        <v>3950</v>
      </c>
      <c r="E3911" s="63" t="s">
        <v>58</v>
      </c>
      <c r="F3911" s="64">
        <v>3037.5</v>
      </c>
    </row>
    <row r="3912" spans="1:6" ht="30" x14ac:dyDescent="0.25">
      <c r="A3912" s="62" t="s">
        <v>4398</v>
      </c>
      <c r="B3912" s="96">
        <v>490621</v>
      </c>
      <c r="C3912" s="96" t="str">
        <f t="shared" si="355"/>
        <v>CPOS490621</v>
      </c>
      <c r="D3912" s="95" t="s">
        <v>3951</v>
      </c>
      <c r="E3912" s="63" t="s">
        <v>58</v>
      </c>
      <c r="F3912" s="64">
        <v>3973.84</v>
      </c>
    </row>
    <row r="3913" spans="1:6" x14ac:dyDescent="0.25">
      <c r="A3913" s="62" t="s">
        <v>4398</v>
      </c>
      <c r="B3913" s="96">
        <v>490640</v>
      </c>
      <c r="C3913" s="96" t="str">
        <f t="shared" si="355"/>
        <v>CPOS490640</v>
      </c>
      <c r="D3913" s="95" t="s">
        <v>3952</v>
      </c>
      <c r="E3913" s="63" t="s">
        <v>58</v>
      </c>
      <c r="F3913" s="64">
        <v>272.43</v>
      </c>
    </row>
    <row r="3914" spans="1:6" x14ac:dyDescent="0.25">
      <c r="A3914" s="62" t="s">
        <v>4398</v>
      </c>
      <c r="B3914" s="96">
        <v>490641</v>
      </c>
      <c r="C3914" s="96" t="str">
        <f t="shared" si="355"/>
        <v>CPOS490641</v>
      </c>
      <c r="D3914" s="95" t="s">
        <v>3953</v>
      </c>
      <c r="E3914" s="63" t="s">
        <v>58</v>
      </c>
      <c r="F3914" s="64">
        <v>294.12</v>
      </c>
    </row>
    <row r="3915" spans="1:6" x14ac:dyDescent="0.25">
      <c r="A3915" s="62" t="s">
        <v>4398</v>
      </c>
      <c r="B3915" s="96">
        <v>490642</v>
      </c>
      <c r="C3915" s="96" t="str">
        <f t="shared" si="355"/>
        <v>CPOS490642</v>
      </c>
      <c r="D3915" s="95" t="s">
        <v>3954</v>
      </c>
      <c r="E3915" s="63" t="s">
        <v>58</v>
      </c>
      <c r="F3915" s="64">
        <v>356.17</v>
      </c>
    </row>
    <row r="3916" spans="1:6" x14ac:dyDescent="0.25">
      <c r="A3916" s="62" t="s">
        <v>4398</v>
      </c>
      <c r="B3916" s="96">
        <v>490643</v>
      </c>
      <c r="C3916" s="96" t="str">
        <f t="shared" si="355"/>
        <v>CPOS490643</v>
      </c>
      <c r="D3916" s="95" t="s">
        <v>3955</v>
      </c>
      <c r="E3916" s="63" t="s">
        <v>58</v>
      </c>
      <c r="F3916" s="64">
        <v>170.44</v>
      </c>
    </row>
    <row r="3917" spans="1:6" x14ac:dyDescent="0.25">
      <c r="A3917" s="62" t="s">
        <v>4398</v>
      </c>
      <c r="B3917" s="96">
        <v>490644</v>
      </c>
      <c r="C3917" s="96" t="str">
        <f t="shared" si="355"/>
        <v>CPOS490644</v>
      </c>
      <c r="D3917" s="95" t="s">
        <v>3956</v>
      </c>
      <c r="E3917" s="63" t="s">
        <v>58</v>
      </c>
      <c r="F3917" s="64">
        <v>210.56</v>
      </c>
    </row>
    <row r="3918" spans="1:6" x14ac:dyDescent="0.25">
      <c r="A3918" s="62" t="s">
        <v>4398</v>
      </c>
      <c r="B3918" s="96">
        <v>490645</v>
      </c>
      <c r="C3918" s="96" t="str">
        <f t="shared" si="355"/>
        <v>CPOS490645</v>
      </c>
      <c r="D3918" s="95" t="s">
        <v>3957</v>
      </c>
      <c r="E3918" s="63" t="s">
        <v>58</v>
      </c>
      <c r="F3918" s="64">
        <v>219.14000000000001</v>
      </c>
    </row>
    <row r="3919" spans="1:6" x14ac:dyDescent="0.25">
      <c r="A3919" s="62" t="s">
        <v>4398</v>
      </c>
      <c r="B3919" s="96">
        <v>490646</v>
      </c>
      <c r="C3919" s="96" t="str">
        <f t="shared" si="355"/>
        <v>CPOS490646</v>
      </c>
      <c r="D3919" s="95" t="s">
        <v>3958</v>
      </c>
      <c r="E3919" s="63" t="s">
        <v>58</v>
      </c>
      <c r="F3919" s="64">
        <v>249.58</v>
      </c>
    </row>
    <row r="3920" spans="1:6" ht="30" x14ac:dyDescent="0.25">
      <c r="A3920" s="62" t="s">
        <v>4398</v>
      </c>
      <c r="B3920" s="96">
        <v>490648</v>
      </c>
      <c r="C3920" s="96" t="str">
        <f t="shared" si="355"/>
        <v>CPOS490648</v>
      </c>
      <c r="D3920" s="95" t="s">
        <v>3959</v>
      </c>
      <c r="E3920" s="63" t="s">
        <v>58</v>
      </c>
      <c r="F3920" s="64">
        <v>188.75</v>
      </c>
    </row>
    <row r="3921" spans="1:6" x14ac:dyDescent="0.25">
      <c r="A3921" s="62" t="s">
        <v>4398</v>
      </c>
      <c r="B3921" s="96">
        <v>490655</v>
      </c>
      <c r="C3921" s="96" t="str">
        <f t="shared" si="355"/>
        <v>CPOS490655</v>
      </c>
      <c r="D3921" s="95" t="s">
        <v>3960</v>
      </c>
      <c r="E3921" s="63" t="s">
        <v>110</v>
      </c>
      <c r="F3921" s="64">
        <v>652.67999999999995</v>
      </c>
    </row>
    <row r="3922" spans="1:6" x14ac:dyDescent="0.25">
      <c r="A3922" s="62" t="s">
        <v>4398</v>
      </c>
      <c r="B3922" s="96">
        <v>490656</v>
      </c>
      <c r="C3922" s="96" t="str">
        <f t="shared" si="355"/>
        <v>CPOS490656</v>
      </c>
      <c r="D3922" s="95" t="s">
        <v>3961</v>
      </c>
      <c r="E3922" s="63" t="s">
        <v>110</v>
      </c>
      <c r="F3922" s="64">
        <v>742.09</v>
      </c>
    </row>
    <row r="3923" spans="1:6" x14ac:dyDescent="0.25">
      <c r="D3923" s="94" t="s">
        <v>3962</v>
      </c>
    </row>
    <row r="3924" spans="1:6" x14ac:dyDescent="0.25">
      <c r="A3924" s="62" t="s">
        <v>4398</v>
      </c>
      <c r="B3924" s="96">
        <v>490825</v>
      </c>
      <c r="C3924" s="96" t="str">
        <f>A3924&amp;B3924</f>
        <v>CPOS490825</v>
      </c>
      <c r="D3924" s="95" t="s">
        <v>3963</v>
      </c>
      <c r="E3924" s="63" t="s">
        <v>58</v>
      </c>
      <c r="F3924" s="64">
        <v>250.12</v>
      </c>
    </row>
    <row r="3925" spans="1:6" x14ac:dyDescent="0.25">
      <c r="D3925" s="94" t="s">
        <v>3964</v>
      </c>
    </row>
    <row r="3926" spans="1:6" x14ac:dyDescent="0.25">
      <c r="A3926" s="62" t="s">
        <v>4398</v>
      </c>
      <c r="B3926" s="96">
        <v>491113</v>
      </c>
      <c r="C3926" s="96" t="str">
        <f t="shared" ref="C3926:C3927" si="356">A3926&amp;B3926</f>
        <v>CPOS491113</v>
      </c>
      <c r="D3926" s="95" t="s">
        <v>3965</v>
      </c>
      <c r="E3926" s="63" t="s">
        <v>110</v>
      </c>
      <c r="F3926" s="64">
        <v>158.87</v>
      </c>
    </row>
    <row r="3927" spans="1:6" x14ac:dyDescent="0.25">
      <c r="A3927" s="62" t="s">
        <v>4398</v>
      </c>
      <c r="B3927" s="96">
        <v>491114</v>
      </c>
      <c r="C3927" s="96" t="str">
        <f t="shared" si="356"/>
        <v>CPOS491114</v>
      </c>
      <c r="D3927" s="95" t="s">
        <v>3966</v>
      </c>
      <c r="E3927" s="63" t="s">
        <v>110</v>
      </c>
      <c r="F3927" s="64">
        <v>176.94</v>
      </c>
    </row>
    <row r="3928" spans="1:6" x14ac:dyDescent="0.25">
      <c r="D3928" s="94" t="s">
        <v>3967</v>
      </c>
    </row>
    <row r="3929" spans="1:6" x14ac:dyDescent="0.25">
      <c r="A3929" s="62" t="s">
        <v>4398</v>
      </c>
      <c r="B3929" s="96">
        <v>491201</v>
      </c>
      <c r="C3929" s="96" t="str">
        <f t="shared" ref="C3929:C3936" si="357">A3929&amp;B3929</f>
        <v>CPOS491201</v>
      </c>
      <c r="D3929" s="95" t="s">
        <v>3968</v>
      </c>
      <c r="E3929" s="63" t="s">
        <v>58</v>
      </c>
      <c r="F3929" s="64">
        <v>1868.6100000000001</v>
      </c>
    </row>
    <row r="3930" spans="1:6" x14ac:dyDescent="0.25">
      <c r="A3930" s="62" t="s">
        <v>4398</v>
      </c>
      <c r="B3930" s="96">
        <v>491203</v>
      </c>
      <c r="C3930" s="96" t="str">
        <f t="shared" si="357"/>
        <v>CPOS491203</v>
      </c>
      <c r="D3930" s="95" t="s">
        <v>3969</v>
      </c>
      <c r="E3930" s="63" t="s">
        <v>58</v>
      </c>
      <c r="F3930" s="64">
        <v>3044.31</v>
      </c>
    </row>
    <row r="3931" spans="1:6" x14ac:dyDescent="0.25">
      <c r="A3931" s="62" t="s">
        <v>4398</v>
      </c>
      <c r="B3931" s="96">
        <v>491204</v>
      </c>
      <c r="C3931" s="96" t="str">
        <f t="shared" si="357"/>
        <v>CPOS491204</v>
      </c>
      <c r="D3931" s="95" t="s">
        <v>3970</v>
      </c>
      <c r="E3931" s="63" t="s">
        <v>58</v>
      </c>
      <c r="F3931" s="64">
        <v>1609.82</v>
      </c>
    </row>
    <row r="3932" spans="1:6" x14ac:dyDescent="0.25">
      <c r="A3932" s="62" t="s">
        <v>4398</v>
      </c>
      <c r="B3932" s="96">
        <v>491205</v>
      </c>
      <c r="C3932" s="96" t="str">
        <f t="shared" si="357"/>
        <v>CPOS491205</v>
      </c>
      <c r="D3932" s="95" t="s">
        <v>3971</v>
      </c>
      <c r="E3932" s="63" t="s">
        <v>58</v>
      </c>
      <c r="F3932" s="64">
        <v>4183.99</v>
      </c>
    </row>
    <row r="3933" spans="1:6" x14ac:dyDescent="0.25">
      <c r="A3933" s="62" t="s">
        <v>4398</v>
      </c>
      <c r="B3933" s="96">
        <v>491210</v>
      </c>
      <c r="C3933" s="96" t="str">
        <f t="shared" si="357"/>
        <v>CPOS491210</v>
      </c>
      <c r="D3933" s="95" t="s">
        <v>3972</v>
      </c>
      <c r="E3933" s="63" t="s">
        <v>58</v>
      </c>
      <c r="F3933" s="64">
        <v>496.56</v>
      </c>
    </row>
    <row r="3934" spans="1:6" x14ac:dyDescent="0.25">
      <c r="A3934" s="62" t="s">
        <v>4398</v>
      </c>
      <c r="B3934" s="96">
        <v>491211</v>
      </c>
      <c r="C3934" s="96" t="str">
        <f t="shared" si="357"/>
        <v>CPOS491211</v>
      </c>
      <c r="D3934" s="95" t="s">
        <v>3973</v>
      </c>
      <c r="E3934" s="63" t="s">
        <v>58</v>
      </c>
      <c r="F3934" s="64">
        <v>3324.81</v>
      </c>
    </row>
    <row r="3935" spans="1:6" ht="30" x14ac:dyDescent="0.25">
      <c r="A3935" s="62" t="s">
        <v>4398</v>
      </c>
      <c r="B3935" s="96">
        <v>491212</v>
      </c>
      <c r="C3935" s="96" t="str">
        <f t="shared" si="357"/>
        <v>CPOS491212</v>
      </c>
      <c r="D3935" s="95" t="s">
        <v>3974</v>
      </c>
      <c r="E3935" s="63" t="s">
        <v>110</v>
      </c>
      <c r="F3935" s="64">
        <v>374.77</v>
      </c>
    </row>
    <row r="3936" spans="1:6" x14ac:dyDescent="0.25">
      <c r="A3936" s="62" t="s">
        <v>4398</v>
      </c>
      <c r="B3936" s="96">
        <v>491214</v>
      </c>
      <c r="C3936" s="96" t="str">
        <f t="shared" si="357"/>
        <v>CPOS491214</v>
      </c>
      <c r="D3936" s="95" t="s">
        <v>3975</v>
      </c>
      <c r="E3936" s="63" t="s">
        <v>58</v>
      </c>
      <c r="F3936" s="64">
        <v>2502.94</v>
      </c>
    </row>
    <row r="3937" spans="1:6" x14ac:dyDescent="0.25">
      <c r="D3937" s="94" t="s">
        <v>3976</v>
      </c>
    </row>
    <row r="3938" spans="1:6" ht="30" x14ac:dyDescent="0.25">
      <c r="A3938" s="62" t="s">
        <v>4398</v>
      </c>
      <c r="B3938" s="96">
        <v>491301</v>
      </c>
      <c r="C3938" s="96" t="str">
        <f t="shared" ref="C3938:C3941" si="358">A3938&amp;B3938</f>
        <v>CPOS491301</v>
      </c>
      <c r="D3938" s="95" t="s">
        <v>3977</v>
      </c>
      <c r="E3938" s="63" t="s">
        <v>58</v>
      </c>
      <c r="F3938" s="64">
        <v>3816.98</v>
      </c>
    </row>
    <row r="3939" spans="1:6" ht="30" x14ac:dyDescent="0.25">
      <c r="A3939" s="62" t="s">
        <v>4398</v>
      </c>
      <c r="B3939" s="96">
        <v>491302</v>
      </c>
      <c r="C3939" s="96" t="str">
        <f t="shared" si="358"/>
        <v>CPOS491302</v>
      </c>
      <c r="D3939" s="95" t="s">
        <v>3978</v>
      </c>
      <c r="E3939" s="63" t="s">
        <v>58</v>
      </c>
      <c r="F3939" s="64">
        <v>6056.3</v>
      </c>
    </row>
    <row r="3940" spans="1:6" ht="30" x14ac:dyDescent="0.25">
      <c r="A3940" s="62" t="s">
        <v>4398</v>
      </c>
      <c r="B3940" s="96">
        <v>491303</v>
      </c>
      <c r="C3940" s="96" t="str">
        <f t="shared" si="358"/>
        <v>CPOS491303</v>
      </c>
      <c r="D3940" s="95" t="s">
        <v>3979</v>
      </c>
      <c r="E3940" s="63" t="s">
        <v>58</v>
      </c>
      <c r="F3940" s="64">
        <v>8258.68</v>
      </c>
    </row>
    <row r="3941" spans="1:6" ht="30" x14ac:dyDescent="0.25">
      <c r="A3941" s="62" t="s">
        <v>4398</v>
      </c>
      <c r="B3941" s="96">
        <v>491304</v>
      </c>
      <c r="C3941" s="96" t="str">
        <f t="shared" si="358"/>
        <v>CPOS491304</v>
      </c>
      <c r="D3941" s="95" t="s">
        <v>3980</v>
      </c>
      <c r="E3941" s="63" t="s">
        <v>58</v>
      </c>
      <c r="F3941" s="64">
        <v>11878.92</v>
      </c>
    </row>
    <row r="3942" spans="1:6" x14ac:dyDescent="0.25">
      <c r="D3942" s="94" t="s">
        <v>3981</v>
      </c>
    </row>
    <row r="3943" spans="1:6" ht="30" x14ac:dyDescent="0.25">
      <c r="A3943" s="62" t="s">
        <v>4398</v>
      </c>
      <c r="B3943" s="96">
        <v>491401</v>
      </c>
      <c r="C3943" s="96" t="str">
        <f t="shared" ref="C3943:C3947" si="359">A3943&amp;B3943</f>
        <v>CPOS491401</v>
      </c>
      <c r="D3943" s="95" t="s">
        <v>3982</v>
      </c>
      <c r="E3943" s="63" t="s">
        <v>58</v>
      </c>
      <c r="F3943" s="64">
        <v>2397.94</v>
      </c>
    </row>
    <row r="3944" spans="1:6" ht="30" x14ac:dyDescent="0.25">
      <c r="A3944" s="62" t="s">
        <v>4398</v>
      </c>
      <c r="B3944" s="96">
        <v>491402</v>
      </c>
      <c r="C3944" s="96" t="str">
        <f t="shared" si="359"/>
        <v>CPOS491402</v>
      </c>
      <c r="D3944" s="95" t="s">
        <v>3983</v>
      </c>
      <c r="E3944" s="63" t="s">
        <v>58</v>
      </c>
      <c r="F3944" s="64">
        <v>5143.13</v>
      </c>
    </row>
    <row r="3945" spans="1:6" ht="30" x14ac:dyDescent="0.25">
      <c r="A3945" s="62" t="s">
        <v>4398</v>
      </c>
      <c r="B3945" s="96">
        <v>491403</v>
      </c>
      <c r="C3945" s="96" t="str">
        <f t="shared" si="359"/>
        <v>CPOS491403</v>
      </c>
      <c r="D3945" s="95" t="s">
        <v>3984</v>
      </c>
      <c r="E3945" s="63" t="s">
        <v>58</v>
      </c>
      <c r="F3945" s="64">
        <v>8382.3700000000008</v>
      </c>
    </row>
    <row r="3946" spans="1:6" x14ac:dyDescent="0.25">
      <c r="A3946" s="62" t="s">
        <v>4398</v>
      </c>
      <c r="B3946" s="96">
        <v>491406</v>
      </c>
      <c r="C3946" s="96" t="str">
        <f t="shared" si="359"/>
        <v>CPOS491406</v>
      </c>
      <c r="D3946" s="95" t="s">
        <v>3985</v>
      </c>
      <c r="E3946" s="63" t="s">
        <v>110</v>
      </c>
      <c r="F3946" s="64">
        <v>638.70000000000005</v>
      </c>
    </row>
    <row r="3947" spans="1:6" x14ac:dyDescent="0.25">
      <c r="A3947" s="62" t="s">
        <v>4398</v>
      </c>
      <c r="B3947" s="96">
        <v>491407</v>
      </c>
      <c r="C3947" s="96" t="str">
        <f t="shared" si="359"/>
        <v>CPOS491407</v>
      </c>
      <c r="D3947" s="95" t="s">
        <v>3986</v>
      </c>
      <c r="E3947" s="63" t="s">
        <v>58</v>
      </c>
      <c r="F3947" s="64">
        <v>735.26</v>
      </c>
    </row>
    <row r="3948" spans="1:6" x14ac:dyDescent="0.25">
      <c r="D3948" s="94" t="s">
        <v>3987</v>
      </c>
    </row>
    <row r="3949" spans="1:6" x14ac:dyDescent="0.25">
      <c r="A3949" s="62" t="s">
        <v>4398</v>
      </c>
      <c r="B3949" s="96">
        <v>491501</v>
      </c>
      <c r="C3949" s="96" t="str">
        <f t="shared" ref="C3949:C3954" si="360">A3949&amp;B3949</f>
        <v>CPOS491501</v>
      </c>
      <c r="D3949" s="95" t="s">
        <v>3988</v>
      </c>
      <c r="E3949" s="63" t="s">
        <v>110</v>
      </c>
      <c r="F3949" s="64">
        <v>255.62</v>
      </c>
    </row>
    <row r="3950" spans="1:6" x14ac:dyDescent="0.25">
      <c r="A3950" s="62" t="s">
        <v>4398</v>
      </c>
      <c r="B3950" s="96">
        <v>491503</v>
      </c>
      <c r="C3950" s="96" t="str">
        <f t="shared" si="360"/>
        <v>CPOS491503</v>
      </c>
      <c r="D3950" s="95" t="s">
        <v>3989</v>
      </c>
      <c r="E3950" s="63" t="s">
        <v>110</v>
      </c>
      <c r="F3950" s="64">
        <v>371.08</v>
      </c>
    </row>
    <row r="3951" spans="1:6" x14ac:dyDescent="0.25">
      <c r="A3951" s="62" t="s">
        <v>4398</v>
      </c>
      <c r="B3951" s="96">
        <v>491504</v>
      </c>
      <c r="C3951" s="96" t="str">
        <f t="shared" si="360"/>
        <v>CPOS491504</v>
      </c>
      <c r="D3951" s="95" t="s">
        <v>3990</v>
      </c>
      <c r="E3951" s="63" t="s">
        <v>110</v>
      </c>
      <c r="F3951" s="64">
        <v>386.21000000000004</v>
      </c>
    </row>
    <row r="3952" spans="1:6" x14ac:dyDescent="0.25">
      <c r="A3952" s="62" t="s">
        <v>4398</v>
      </c>
      <c r="B3952" s="96">
        <v>491505</v>
      </c>
      <c r="C3952" s="96" t="str">
        <f t="shared" si="360"/>
        <v>CPOS491505</v>
      </c>
      <c r="D3952" s="95" t="s">
        <v>3991</v>
      </c>
      <c r="E3952" s="63" t="s">
        <v>110</v>
      </c>
      <c r="F3952" s="64">
        <v>633.22</v>
      </c>
    </row>
    <row r="3953" spans="1:6" x14ac:dyDescent="0.25">
      <c r="A3953" s="62" t="s">
        <v>4398</v>
      </c>
      <c r="B3953" s="96">
        <v>491506</v>
      </c>
      <c r="C3953" s="96" t="str">
        <f t="shared" si="360"/>
        <v>CPOS491506</v>
      </c>
      <c r="D3953" s="95" t="s">
        <v>3992</v>
      </c>
      <c r="E3953" s="63" t="s">
        <v>110</v>
      </c>
      <c r="F3953" s="64">
        <v>829.57</v>
      </c>
    </row>
    <row r="3954" spans="1:6" x14ac:dyDescent="0.25">
      <c r="A3954" s="62" t="s">
        <v>4398</v>
      </c>
      <c r="B3954" s="96">
        <v>491510</v>
      </c>
      <c r="C3954" s="96" t="str">
        <f t="shared" si="360"/>
        <v>CPOS491510</v>
      </c>
      <c r="D3954" s="95" t="s">
        <v>3993</v>
      </c>
      <c r="E3954" s="63" t="s">
        <v>110</v>
      </c>
      <c r="F3954" s="64">
        <v>1713.53</v>
      </c>
    </row>
    <row r="3955" spans="1:6" x14ac:dyDescent="0.25">
      <c r="D3955" s="94" t="s">
        <v>3994</v>
      </c>
    </row>
    <row r="3956" spans="1:6" x14ac:dyDescent="0.25">
      <c r="D3956" s="94" t="s">
        <v>3995</v>
      </c>
    </row>
    <row r="3957" spans="1:6" x14ac:dyDescent="0.25">
      <c r="A3957" s="62" t="s">
        <v>4398</v>
      </c>
      <c r="B3957" s="96">
        <v>500103</v>
      </c>
      <c r="C3957" s="96" t="str">
        <f t="shared" ref="C3957:C3973" si="361">A3957&amp;B3957</f>
        <v>CPOS500103</v>
      </c>
      <c r="D3957" s="95" t="s">
        <v>3996</v>
      </c>
      <c r="E3957" s="63" t="s">
        <v>58</v>
      </c>
      <c r="F3957" s="64">
        <v>732.98</v>
      </c>
    </row>
    <row r="3958" spans="1:6" x14ac:dyDescent="0.25">
      <c r="A3958" s="62" t="s">
        <v>4398</v>
      </c>
      <c r="B3958" s="96">
        <v>500106</v>
      </c>
      <c r="C3958" s="96" t="str">
        <f t="shared" si="361"/>
        <v>CPOS500106</v>
      </c>
      <c r="D3958" s="95" t="s">
        <v>3997</v>
      </c>
      <c r="E3958" s="63" t="s">
        <v>58</v>
      </c>
      <c r="F3958" s="64">
        <v>318.66000000000003</v>
      </c>
    </row>
    <row r="3959" spans="1:6" x14ac:dyDescent="0.25">
      <c r="A3959" s="62" t="s">
        <v>4398</v>
      </c>
      <c r="B3959" s="96">
        <v>500108</v>
      </c>
      <c r="C3959" s="96" t="str">
        <f t="shared" si="361"/>
        <v>CPOS500108</v>
      </c>
      <c r="D3959" s="95" t="s">
        <v>3998</v>
      </c>
      <c r="E3959" s="63" t="s">
        <v>110</v>
      </c>
      <c r="F3959" s="64">
        <v>17.93</v>
      </c>
    </row>
    <row r="3960" spans="1:6" x14ac:dyDescent="0.25">
      <c r="A3960" s="62" t="s">
        <v>4398</v>
      </c>
      <c r="B3960" s="96">
        <v>500109</v>
      </c>
      <c r="C3960" s="96" t="str">
        <f t="shared" si="361"/>
        <v>CPOS500109</v>
      </c>
      <c r="D3960" s="95" t="s">
        <v>3999</v>
      </c>
      <c r="E3960" s="63" t="s">
        <v>58</v>
      </c>
      <c r="F3960" s="64">
        <v>68.12</v>
      </c>
    </row>
    <row r="3961" spans="1:6" x14ac:dyDescent="0.25">
      <c r="A3961" s="62" t="s">
        <v>4398</v>
      </c>
      <c r="B3961" s="96">
        <v>500110</v>
      </c>
      <c r="C3961" s="96" t="str">
        <f t="shared" si="361"/>
        <v>CPOS500110</v>
      </c>
      <c r="D3961" s="95" t="s">
        <v>4000</v>
      </c>
      <c r="E3961" s="63" t="s">
        <v>110</v>
      </c>
      <c r="F3961" s="64">
        <v>24.59</v>
      </c>
    </row>
    <row r="3962" spans="1:6" x14ac:dyDescent="0.25">
      <c r="A3962" s="62" t="s">
        <v>4398</v>
      </c>
      <c r="B3962" s="96">
        <v>500111</v>
      </c>
      <c r="C3962" s="96" t="str">
        <f t="shared" si="361"/>
        <v>CPOS500111</v>
      </c>
      <c r="D3962" s="95" t="s">
        <v>4001</v>
      </c>
      <c r="E3962" s="63" t="s">
        <v>58</v>
      </c>
      <c r="F3962" s="64">
        <v>134.59</v>
      </c>
    </row>
    <row r="3963" spans="1:6" ht="30" x14ac:dyDescent="0.25">
      <c r="A3963" s="62" t="s">
        <v>4398</v>
      </c>
      <c r="B3963" s="96">
        <v>500113</v>
      </c>
      <c r="C3963" s="96" t="str">
        <f t="shared" si="361"/>
        <v>CPOS500113</v>
      </c>
      <c r="D3963" s="95" t="s">
        <v>4002</v>
      </c>
      <c r="E3963" s="63" t="s">
        <v>58</v>
      </c>
      <c r="F3963" s="64">
        <v>2613.6999999999998</v>
      </c>
    </row>
    <row r="3964" spans="1:6" x14ac:dyDescent="0.25">
      <c r="A3964" s="62" t="s">
        <v>4398</v>
      </c>
      <c r="B3964" s="96">
        <v>500116</v>
      </c>
      <c r="C3964" s="96" t="str">
        <f t="shared" si="361"/>
        <v>CPOS500116</v>
      </c>
      <c r="D3964" s="95" t="s">
        <v>4003</v>
      </c>
      <c r="E3964" s="63" t="s">
        <v>58</v>
      </c>
      <c r="F3964" s="64">
        <v>29.72</v>
      </c>
    </row>
    <row r="3965" spans="1:6" x14ac:dyDescent="0.25">
      <c r="A3965" s="62" t="s">
        <v>4398</v>
      </c>
      <c r="B3965" s="96">
        <v>500117</v>
      </c>
      <c r="C3965" s="96" t="str">
        <f t="shared" si="361"/>
        <v>CPOS500117</v>
      </c>
      <c r="D3965" s="95" t="s">
        <v>4004</v>
      </c>
      <c r="E3965" s="63" t="s">
        <v>58</v>
      </c>
      <c r="F3965" s="64">
        <v>42.14</v>
      </c>
    </row>
    <row r="3966" spans="1:6" x14ac:dyDescent="0.25">
      <c r="A3966" s="62" t="s">
        <v>4398</v>
      </c>
      <c r="B3966" s="96">
        <v>500118</v>
      </c>
      <c r="C3966" s="96" t="str">
        <f t="shared" si="361"/>
        <v>CPOS500118</v>
      </c>
      <c r="D3966" s="95" t="s">
        <v>4005</v>
      </c>
      <c r="E3966" s="63" t="s">
        <v>58</v>
      </c>
      <c r="F3966" s="64">
        <v>961.32</v>
      </c>
    </row>
    <row r="3967" spans="1:6" x14ac:dyDescent="0.25">
      <c r="A3967" s="62" t="s">
        <v>4398</v>
      </c>
      <c r="B3967" s="96">
        <v>500119</v>
      </c>
      <c r="C3967" s="96" t="str">
        <f t="shared" si="361"/>
        <v>CPOS500119</v>
      </c>
      <c r="D3967" s="95" t="s">
        <v>4006</v>
      </c>
      <c r="E3967" s="63" t="s">
        <v>58</v>
      </c>
      <c r="F3967" s="64">
        <v>56.02</v>
      </c>
    </row>
    <row r="3968" spans="1:6" x14ac:dyDescent="0.25">
      <c r="A3968" s="62" t="s">
        <v>4398</v>
      </c>
      <c r="B3968" s="96">
        <v>500120</v>
      </c>
      <c r="C3968" s="96" t="str">
        <f t="shared" si="361"/>
        <v>CPOS500120</v>
      </c>
      <c r="D3968" s="95" t="s">
        <v>4007</v>
      </c>
      <c r="E3968" s="63" t="s">
        <v>58</v>
      </c>
      <c r="F3968" s="64">
        <v>36.86</v>
      </c>
    </row>
    <row r="3969" spans="1:6" x14ac:dyDescent="0.25">
      <c r="A3969" s="62" t="s">
        <v>4398</v>
      </c>
      <c r="B3969" s="96">
        <v>500121</v>
      </c>
      <c r="C3969" s="96" t="str">
        <f t="shared" si="361"/>
        <v>CPOS500121</v>
      </c>
      <c r="D3969" s="95" t="s">
        <v>4008</v>
      </c>
      <c r="E3969" s="63" t="s">
        <v>58</v>
      </c>
      <c r="F3969" s="64">
        <v>11.65</v>
      </c>
    </row>
    <row r="3970" spans="1:6" x14ac:dyDescent="0.25">
      <c r="A3970" s="62" t="s">
        <v>4398</v>
      </c>
      <c r="B3970" s="96">
        <v>500122</v>
      </c>
      <c r="C3970" s="96" t="str">
        <f t="shared" si="361"/>
        <v>CPOS500122</v>
      </c>
      <c r="D3970" s="95" t="s">
        <v>4009</v>
      </c>
      <c r="E3970" s="63" t="s">
        <v>58</v>
      </c>
      <c r="F3970" s="64">
        <v>78.819999999999993</v>
      </c>
    </row>
    <row r="3971" spans="1:6" x14ac:dyDescent="0.25">
      <c r="A3971" s="62" t="s">
        <v>4398</v>
      </c>
      <c r="B3971" s="96">
        <v>500132</v>
      </c>
      <c r="C3971" s="96" t="str">
        <f t="shared" si="361"/>
        <v>CPOS500132</v>
      </c>
      <c r="D3971" s="95" t="s">
        <v>4010</v>
      </c>
      <c r="E3971" s="63" t="s">
        <v>58</v>
      </c>
      <c r="F3971" s="64">
        <v>1228.8499999999999</v>
      </c>
    </row>
    <row r="3972" spans="1:6" x14ac:dyDescent="0.25">
      <c r="A3972" s="62" t="s">
        <v>4398</v>
      </c>
      <c r="B3972" s="96">
        <v>500133</v>
      </c>
      <c r="C3972" s="96" t="str">
        <f t="shared" si="361"/>
        <v>CPOS500133</v>
      </c>
      <c r="D3972" s="95" t="s">
        <v>4011</v>
      </c>
      <c r="E3972" s="63" t="s">
        <v>58</v>
      </c>
      <c r="F3972" s="64">
        <v>1558.65</v>
      </c>
    </row>
    <row r="3973" spans="1:6" ht="30" x14ac:dyDescent="0.25">
      <c r="A3973" s="62" t="s">
        <v>4398</v>
      </c>
      <c r="B3973" s="96">
        <v>500134</v>
      </c>
      <c r="C3973" s="96" t="str">
        <f t="shared" si="361"/>
        <v>CPOS500134</v>
      </c>
      <c r="D3973" s="95" t="s">
        <v>4012</v>
      </c>
      <c r="E3973" s="63" t="s">
        <v>58</v>
      </c>
      <c r="F3973" s="64">
        <v>1739.19</v>
      </c>
    </row>
    <row r="3974" spans="1:6" x14ac:dyDescent="0.25">
      <c r="D3974" s="94" t="s">
        <v>4013</v>
      </c>
    </row>
    <row r="3975" spans="1:6" x14ac:dyDescent="0.25">
      <c r="A3975" s="62" t="s">
        <v>4398</v>
      </c>
      <c r="B3975" s="96">
        <v>500202</v>
      </c>
      <c r="C3975" s="96" t="str">
        <f t="shared" ref="C3975:C3978" si="362">A3975&amp;B3975</f>
        <v>CPOS500202</v>
      </c>
      <c r="D3975" s="95" t="s">
        <v>4014</v>
      </c>
      <c r="E3975" s="63" t="s">
        <v>58</v>
      </c>
      <c r="F3975" s="64">
        <v>26.61</v>
      </c>
    </row>
    <row r="3976" spans="1:6" x14ac:dyDescent="0.25">
      <c r="A3976" s="62" t="s">
        <v>4398</v>
      </c>
      <c r="B3976" s="96">
        <v>500205</v>
      </c>
      <c r="C3976" s="96" t="str">
        <f t="shared" si="362"/>
        <v>CPOS500205</v>
      </c>
      <c r="D3976" s="95" t="s">
        <v>4015</v>
      </c>
      <c r="E3976" s="63" t="s">
        <v>58</v>
      </c>
      <c r="F3976" s="64">
        <v>494.01</v>
      </c>
    </row>
    <row r="3977" spans="1:6" x14ac:dyDescent="0.25">
      <c r="A3977" s="62" t="s">
        <v>4398</v>
      </c>
      <c r="B3977" s="96">
        <v>500206</v>
      </c>
      <c r="C3977" s="96" t="str">
        <f t="shared" si="362"/>
        <v>CPOS500206</v>
      </c>
      <c r="D3977" s="95" t="s">
        <v>4016</v>
      </c>
      <c r="E3977" s="63" t="s">
        <v>58</v>
      </c>
      <c r="F3977" s="64">
        <v>27.8</v>
      </c>
    </row>
    <row r="3978" spans="1:6" ht="30" x14ac:dyDescent="0.25">
      <c r="A3978" s="62" t="s">
        <v>4398</v>
      </c>
      <c r="B3978" s="96">
        <v>500208</v>
      </c>
      <c r="C3978" s="96" t="str">
        <f t="shared" si="362"/>
        <v>CPOS500208</v>
      </c>
      <c r="D3978" s="95" t="s">
        <v>4017</v>
      </c>
      <c r="E3978" s="63" t="s">
        <v>58</v>
      </c>
      <c r="F3978" s="64">
        <v>4735.49</v>
      </c>
    </row>
    <row r="3979" spans="1:6" x14ac:dyDescent="0.25">
      <c r="D3979" s="94" t="s">
        <v>4018</v>
      </c>
    </row>
    <row r="3980" spans="1:6" x14ac:dyDescent="0.25">
      <c r="A3980" s="62" t="s">
        <v>4398</v>
      </c>
      <c r="B3980" s="96">
        <v>500506</v>
      </c>
      <c r="C3980" s="96" t="str">
        <f t="shared" ref="C3980:C3997" si="363">A3980&amp;B3980</f>
        <v>CPOS500506</v>
      </c>
      <c r="D3980" s="95" t="s">
        <v>4019</v>
      </c>
      <c r="E3980" s="63" t="s">
        <v>58</v>
      </c>
      <c r="F3980" s="64">
        <v>13540.76</v>
      </c>
    </row>
    <row r="3981" spans="1:6" ht="30" x14ac:dyDescent="0.25">
      <c r="A3981" s="62" t="s">
        <v>4398</v>
      </c>
      <c r="B3981" s="96">
        <v>500507</v>
      </c>
      <c r="C3981" s="96" t="str">
        <f t="shared" si="363"/>
        <v>CPOS500507</v>
      </c>
      <c r="D3981" s="95" t="s">
        <v>4020</v>
      </c>
      <c r="E3981" s="63" t="s">
        <v>58</v>
      </c>
      <c r="F3981" s="64">
        <v>188.8</v>
      </c>
    </row>
    <row r="3982" spans="1:6" ht="30" x14ac:dyDescent="0.25">
      <c r="A3982" s="62" t="s">
        <v>4398</v>
      </c>
      <c r="B3982" s="96">
        <v>500508</v>
      </c>
      <c r="C3982" s="96" t="str">
        <f t="shared" si="363"/>
        <v>CPOS500508</v>
      </c>
      <c r="D3982" s="95" t="s">
        <v>4021</v>
      </c>
      <c r="E3982" s="63" t="s">
        <v>58</v>
      </c>
      <c r="F3982" s="64">
        <v>88.350000000000009</v>
      </c>
    </row>
    <row r="3983" spans="1:6" ht="30" x14ac:dyDescent="0.25">
      <c r="A3983" s="62" t="s">
        <v>4398</v>
      </c>
      <c r="B3983" s="96">
        <v>500516</v>
      </c>
      <c r="C3983" s="96" t="str">
        <f t="shared" si="363"/>
        <v>CPOS500516</v>
      </c>
      <c r="D3983" s="95" t="s">
        <v>4022</v>
      </c>
      <c r="E3983" s="63" t="s">
        <v>58</v>
      </c>
      <c r="F3983" s="64">
        <v>169.05</v>
      </c>
    </row>
    <row r="3984" spans="1:6" x14ac:dyDescent="0.25">
      <c r="A3984" s="62" t="s">
        <v>4398</v>
      </c>
      <c r="B3984" s="96">
        <v>500517</v>
      </c>
      <c r="C3984" s="96" t="str">
        <f t="shared" si="363"/>
        <v>CPOS500517</v>
      </c>
      <c r="D3984" s="95" t="s">
        <v>4023</v>
      </c>
      <c r="E3984" s="63" t="s">
        <v>58</v>
      </c>
      <c r="F3984" s="64">
        <v>46.79</v>
      </c>
    </row>
    <row r="3985" spans="1:6" x14ac:dyDescent="0.25">
      <c r="A3985" s="62" t="s">
        <v>4398</v>
      </c>
      <c r="B3985" s="96">
        <v>500521</v>
      </c>
      <c r="C3985" s="96" t="str">
        <f t="shared" si="363"/>
        <v>CPOS500521</v>
      </c>
      <c r="D3985" s="95" t="s">
        <v>4024</v>
      </c>
      <c r="E3985" s="63" t="s">
        <v>58</v>
      </c>
      <c r="F3985" s="64">
        <v>113.88</v>
      </c>
    </row>
    <row r="3986" spans="1:6" x14ac:dyDescent="0.25">
      <c r="A3986" s="62" t="s">
        <v>4398</v>
      </c>
      <c r="B3986" s="96">
        <v>500523</v>
      </c>
      <c r="C3986" s="96" t="str">
        <f t="shared" si="363"/>
        <v>CPOS500523</v>
      </c>
      <c r="D3986" s="95" t="s">
        <v>4025</v>
      </c>
      <c r="E3986" s="63" t="s">
        <v>58</v>
      </c>
      <c r="F3986" s="64">
        <v>172.64000000000001</v>
      </c>
    </row>
    <row r="3987" spans="1:6" ht="30" x14ac:dyDescent="0.25">
      <c r="A3987" s="62" t="s">
        <v>4398</v>
      </c>
      <c r="B3987" s="96">
        <v>500524</v>
      </c>
      <c r="C3987" s="96" t="str">
        <f t="shared" si="363"/>
        <v>CPOS500524</v>
      </c>
      <c r="D3987" s="95" t="s">
        <v>4026</v>
      </c>
      <c r="E3987" s="63" t="s">
        <v>58</v>
      </c>
      <c r="F3987" s="64">
        <v>107.65</v>
      </c>
    </row>
    <row r="3988" spans="1:6" x14ac:dyDescent="0.25">
      <c r="A3988" s="62" t="s">
        <v>4398</v>
      </c>
      <c r="B3988" s="96">
        <v>500525</v>
      </c>
      <c r="C3988" s="96" t="str">
        <f t="shared" si="363"/>
        <v>CPOS500525</v>
      </c>
      <c r="D3988" s="95" t="s">
        <v>4027</v>
      </c>
      <c r="E3988" s="63" t="s">
        <v>58</v>
      </c>
      <c r="F3988" s="64">
        <v>507.28000000000003</v>
      </c>
    </row>
    <row r="3989" spans="1:6" ht="30" x14ac:dyDescent="0.25">
      <c r="A3989" s="62" t="s">
        <v>4398</v>
      </c>
      <c r="B3989" s="96">
        <v>500526</v>
      </c>
      <c r="C3989" s="96" t="str">
        <f t="shared" si="363"/>
        <v>CPOS500526</v>
      </c>
      <c r="D3989" s="95" t="s">
        <v>4028</v>
      </c>
      <c r="E3989" s="63" t="s">
        <v>58</v>
      </c>
      <c r="F3989" s="64">
        <v>203.18</v>
      </c>
    </row>
    <row r="3990" spans="1:6" ht="30" x14ac:dyDescent="0.25">
      <c r="A3990" s="62" t="s">
        <v>4398</v>
      </c>
      <c r="B3990" s="96">
        <v>500527</v>
      </c>
      <c r="C3990" s="96" t="str">
        <f t="shared" si="363"/>
        <v>CPOS500527</v>
      </c>
      <c r="D3990" s="95" t="s">
        <v>4029</v>
      </c>
      <c r="E3990" s="63" t="s">
        <v>58</v>
      </c>
      <c r="F3990" s="64">
        <v>555.84</v>
      </c>
    </row>
    <row r="3991" spans="1:6" x14ac:dyDescent="0.25">
      <c r="A3991" s="62" t="s">
        <v>4398</v>
      </c>
      <c r="B3991" s="96">
        <v>500528</v>
      </c>
      <c r="C3991" s="96" t="str">
        <f t="shared" si="363"/>
        <v>CPOS500528</v>
      </c>
      <c r="D3991" s="95" t="s">
        <v>4030</v>
      </c>
      <c r="E3991" s="63" t="s">
        <v>58</v>
      </c>
      <c r="F3991" s="64">
        <v>47.76</v>
      </c>
    </row>
    <row r="3992" spans="1:6" ht="30" x14ac:dyDescent="0.25">
      <c r="A3992" s="62" t="s">
        <v>4398</v>
      </c>
      <c r="B3992" s="96">
        <v>500531</v>
      </c>
      <c r="C3992" s="96" t="str">
        <f t="shared" si="363"/>
        <v>CPOS500531</v>
      </c>
      <c r="D3992" s="95" t="s">
        <v>4031</v>
      </c>
      <c r="E3992" s="63" t="s">
        <v>58</v>
      </c>
      <c r="F3992" s="64">
        <v>424.42</v>
      </c>
    </row>
    <row r="3993" spans="1:6" x14ac:dyDescent="0.25">
      <c r="A3993" s="62" t="s">
        <v>4398</v>
      </c>
      <c r="B3993" s="96">
        <v>500540</v>
      </c>
      <c r="C3993" s="96" t="str">
        <f t="shared" si="363"/>
        <v>CPOS500540</v>
      </c>
      <c r="D3993" s="95" t="s">
        <v>4032</v>
      </c>
      <c r="E3993" s="63" t="s">
        <v>58</v>
      </c>
      <c r="F3993" s="64">
        <v>104.91</v>
      </c>
    </row>
    <row r="3994" spans="1:6" x14ac:dyDescent="0.25">
      <c r="A3994" s="62" t="s">
        <v>4398</v>
      </c>
      <c r="B3994" s="96">
        <v>500543</v>
      </c>
      <c r="C3994" s="96" t="str">
        <f t="shared" si="363"/>
        <v>CPOS500543</v>
      </c>
      <c r="D3994" s="95" t="s">
        <v>4033</v>
      </c>
      <c r="E3994" s="63" t="s">
        <v>58</v>
      </c>
      <c r="F3994" s="64">
        <v>144.69</v>
      </c>
    </row>
    <row r="3995" spans="1:6" x14ac:dyDescent="0.25">
      <c r="A3995" s="62" t="s">
        <v>4398</v>
      </c>
      <c r="B3995" s="96">
        <v>500544</v>
      </c>
      <c r="C3995" s="96" t="str">
        <f t="shared" si="363"/>
        <v>CPOS500544</v>
      </c>
      <c r="D3995" s="95" t="s">
        <v>4034</v>
      </c>
      <c r="E3995" s="63" t="s">
        <v>58</v>
      </c>
      <c r="F3995" s="64">
        <v>1193</v>
      </c>
    </row>
    <row r="3996" spans="1:6" x14ac:dyDescent="0.25">
      <c r="A3996" s="62" t="s">
        <v>4398</v>
      </c>
      <c r="B3996" s="96">
        <v>500545</v>
      </c>
      <c r="C3996" s="96" t="str">
        <f t="shared" si="363"/>
        <v>CPOS500545</v>
      </c>
      <c r="D3996" s="95" t="s">
        <v>4035</v>
      </c>
      <c r="E3996" s="63" t="s">
        <v>58</v>
      </c>
      <c r="F3996" s="64">
        <v>109.64</v>
      </c>
    </row>
    <row r="3997" spans="1:6" x14ac:dyDescent="0.25">
      <c r="A3997" s="62" t="s">
        <v>4398</v>
      </c>
      <c r="B3997" s="96">
        <v>500547</v>
      </c>
      <c r="C3997" s="96" t="str">
        <f t="shared" si="363"/>
        <v>CPOS500547</v>
      </c>
      <c r="D3997" s="95" t="s">
        <v>4036</v>
      </c>
      <c r="E3997" s="63" t="s">
        <v>58</v>
      </c>
      <c r="F3997" s="64">
        <v>156.49</v>
      </c>
    </row>
    <row r="3998" spans="1:6" x14ac:dyDescent="0.25">
      <c r="D3998" s="94" t="s">
        <v>4037</v>
      </c>
    </row>
    <row r="3999" spans="1:6" x14ac:dyDescent="0.25">
      <c r="A3999" s="62" t="s">
        <v>4398</v>
      </c>
      <c r="B3999" s="96">
        <v>501003</v>
      </c>
      <c r="C3999" s="96" t="str">
        <f t="shared" ref="C3999:C4010" si="364">A3999&amp;B3999</f>
        <v>CPOS501003</v>
      </c>
      <c r="D3999" s="95" t="s">
        <v>4038</v>
      </c>
      <c r="E3999" s="63" t="s">
        <v>58</v>
      </c>
      <c r="F3999" s="64">
        <v>703.95</v>
      </c>
    </row>
    <row r="4000" spans="1:6" x14ac:dyDescent="0.25">
      <c r="A4000" s="62" t="s">
        <v>4398</v>
      </c>
      <c r="B4000" s="96">
        <v>501004</v>
      </c>
      <c r="C4000" s="96" t="str">
        <f t="shared" si="364"/>
        <v>CPOS501004</v>
      </c>
      <c r="D4000" s="95" t="s">
        <v>4039</v>
      </c>
      <c r="E4000" s="63" t="s">
        <v>58</v>
      </c>
      <c r="F4000" s="64">
        <v>112.41</v>
      </c>
    </row>
    <row r="4001" spans="1:6" x14ac:dyDescent="0.25">
      <c r="A4001" s="62" t="s">
        <v>4398</v>
      </c>
      <c r="B4001" s="96">
        <v>501005</v>
      </c>
      <c r="C4001" s="96" t="str">
        <f t="shared" si="364"/>
        <v>CPOS501005</v>
      </c>
      <c r="D4001" s="95" t="s">
        <v>4040</v>
      </c>
      <c r="E4001" s="63" t="s">
        <v>58</v>
      </c>
      <c r="F4001" s="64">
        <v>2933.71</v>
      </c>
    </row>
    <row r="4002" spans="1:6" x14ac:dyDescent="0.25">
      <c r="A4002" s="62" t="s">
        <v>4398</v>
      </c>
      <c r="B4002" s="96">
        <v>501006</v>
      </c>
      <c r="C4002" s="96" t="str">
        <f t="shared" si="364"/>
        <v>CPOS501006</v>
      </c>
      <c r="D4002" s="95" t="s">
        <v>4041</v>
      </c>
      <c r="E4002" s="63" t="s">
        <v>58</v>
      </c>
      <c r="F4002" s="64">
        <v>145.69999999999999</v>
      </c>
    </row>
    <row r="4003" spans="1:6" x14ac:dyDescent="0.25">
      <c r="A4003" s="62" t="s">
        <v>4398</v>
      </c>
      <c r="B4003" s="96">
        <v>501008</v>
      </c>
      <c r="C4003" s="96" t="str">
        <f t="shared" si="364"/>
        <v>CPOS501008</v>
      </c>
      <c r="D4003" s="95" t="s">
        <v>4042</v>
      </c>
      <c r="E4003" s="63" t="s">
        <v>58</v>
      </c>
      <c r="F4003" s="64">
        <v>175.05</v>
      </c>
    </row>
    <row r="4004" spans="1:6" x14ac:dyDescent="0.25">
      <c r="A4004" s="62" t="s">
        <v>4398</v>
      </c>
      <c r="B4004" s="96">
        <v>501009</v>
      </c>
      <c r="C4004" s="96" t="str">
        <f t="shared" si="364"/>
        <v>CPOS501009</v>
      </c>
      <c r="D4004" s="95" t="s">
        <v>4043</v>
      </c>
      <c r="E4004" s="63" t="s">
        <v>58</v>
      </c>
      <c r="F4004" s="64">
        <v>658.44</v>
      </c>
    </row>
    <row r="4005" spans="1:6" x14ac:dyDescent="0.25">
      <c r="A4005" s="62" t="s">
        <v>4398</v>
      </c>
      <c r="B4005" s="96">
        <v>501010</v>
      </c>
      <c r="C4005" s="96" t="str">
        <f t="shared" si="364"/>
        <v>CPOS501010</v>
      </c>
      <c r="D4005" s="95" t="s">
        <v>4044</v>
      </c>
      <c r="E4005" s="63" t="s">
        <v>58</v>
      </c>
      <c r="F4005" s="64">
        <v>110.53</v>
      </c>
    </row>
    <row r="4006" spans="1:6" x14ac:dyDescent="0.25">
      <c r="A4006" s="62" t="s">
        <v>4398</v>
      </c>
      <c r="B4006" s="96">
        <v>501011</v>
      </c>
      <c r="C4006" s="96" t="str">
        <f t="shared" si="364"/>
        <v>CPOS501011</v>
      </c>
      <c r="D4006" s="95" t="s">
        <v>4045</v>
      </c>
      <c r="E4006" s="63" t="s">
        <v>58</v>
      </c>
      <c r="F4006" s="64">
        <v>141.9</v>
      </c>
    </row>
    <row r="4007" spans="1:6" x14ac:dyDescent="0.25">
      <c r="A4007" s="62" t="s">
        <v>4398</v>
      </c>
      <c r="B4007" s="96">
        <v>501012</v>
      </c>
      <c r="C4007" s="96" t="str">
        <f t="shared" si="364"/>
        <v>CPOS501012</v>
      </c>
      <c r="D4007" s="95" t="s">
        <v>4046</v>
      </c>
      <c r="E4007" s="63" t="s">
        <v>58</v>
      </c>
      <c r="F4007" s="64">
        <v>158.03</v>
      </c>
    </row>
    <row r="4008" spans="1:6" x14ac:dyDescent="0.25">
      <c r="A4008" s="62" t="s">
        <v>4398</v>
      </c>
      <c r="B4008" s="96">
        <v>501014</v>
      </c>
      <c r="C4008" s="96" t="str">
        <f t="shared" si="364"/>
        <v>CPOS501014</v>
      </c>
      <c r="D4008" s="95" t="s">
        <v>4047</v>
      </c>
      <c r="E4008" s="63" t="s">
        <v>58</v>
      </c>
      <c r="F4008" s="64">
        <v>356.82</v>
      </c>
    </row>
    <row r="4009" spans="1:6" x14ac:dyDescent="0.25">
      <c r="A4009" s="62" t="s">
        <v>4398</v>
      </c>
      <c r="B4009" s="96">
        <v>501021</v>
      </c>
      <c r="C4009" s="96" t="str">
        <f t="shared" si="364"/>
        <v>CPOS501021</v>
      </c>
      <c r="D4009" s="95" t="s">
        <v>4048</v>
      </c>
      <c r="E4009" s="63" t="s">
        <v>58</v>
      </c>
      <c r="F4009" s="64">
        <v>84.62</v>
      </c>
    </row>
    <row r="4010" spans="1:6" x14ac:dyDescent="0.25">
      <c r="A4010" s="62" t="s">
        <v>4398</v>
      </c>
      <c r="B4010" s="96">
        <v>501022</v>
      </c>
      <c r="C4010" s="96" t="str">
        <f t="shared" si="364"/>
        <v>CPOS501022</v>
      </c>
      <c r="D4010" s="95" t="s">
        <v>4049</v>
      </c>
      <c r="E4010" s="63" t="s">
        <v>58</v>
      </c>
      <c r="F4010" s="64">
        <v>267.79000000000002</v>
      </c>
    </row>
    <row r="4011" spans="1:6" x14ac:dyDescent="0.25">
      <c r="D4011" s="94" t="s">
        <v>693</v>
      </c>
    </row>
    <row r="4012" spans="1:6" x14ac:dyDescent="0.25">
      <c r="A4012" s="62" t="s">
        <v>4398</v>
      </c>
      <c r="B4012" s="96">
        <v>502002</v>
      </c>
      <c r="C4012" s="96" t="str">
        <f t="shared" ref="C4012:C4018" si="365">A4012&amp;B4012</f>
        <v>CPOS502002</v>
      </c>
      <c r="D4012" s="95" t="s">
        <v>4050</v>
      </c>
      <c r="E4012" s="63" t="s">
        <v>58</v>
      </c>
      <c r="F4012" s="64">
        <v>234.08</v>
      </c>
    </row>
    <row r="4013" spans="1:6" x14ac:dyDescent="0.25">
      <c r="A4013" s="62" t="s">
        <v>4398</v>
      </c>
      <c r="B4013" s="96">
        <v>502011</v>
      </c>
      <c r="C4013" s="96" t="str">
        <f t="shared" si="365"/>
        <v>CPOS502011</v>
      </c>
      <c r="D4013" s="95" t="s">
        <v>4051</v>
      </c>
      <c r="E4013" s="63" t="s">
        <v>463</v>
      </c>
      <c r="F4013" s="64">
        <v>2.65</v>
      </c>
    </row>
    <row r="4014" spans="1:6" x14ac:dyDescent="0.25">
      <c r="A4014" s="62" t="s">
        <v>4398</v>
      </c>
      <c r="B4014" s="96">
        <v>502012</v>
      </c>
      <c r="C4014" s="96" t="str">
        <f t="shared" si="365"/>
        <v>CPOS502012</v>
      </c>
      <c r="D4014" s="95" t="s">
        <v>4052</v>
      </c>
      <c r="E4014" s="63" t="s">
        <v>329</v>
      </c>
      <c r="F4014" s="64">
        <v>9.17</v>
      </c>
    </row>
    <row r="4015" spans="1:6" x14ac:dyDescent="0.25">
      <c r="A4015" s="62" t="s">
        <v>4398</v>
      </c>
      <c r="B4015" s="96">
        <v>502013</v>
      </c>
      <c r="C4015" s="96" t="str">
        <f t="shared" si="365"/>
        <v>CPOS502013</v>
      </c>
      <c r="D4015" s="95" t="s">
        <v>4053</v>
      </c>
      <c r="E4015" s="63" t="s">
        <v>329</v>
      </c>
      <c r="F4015" s="64">
        <v>8.58</v>
      </c>
    </row>
    <row r="4016" spans="1:6" ht="30" x14ac:dyDescent="0.25">
      <c r="A4016" s="62" t="s">
        <v>4398</v>
      </c>
      <c r="B4016" s="96">
        <v>502016</v>
      </c>
      <c r="C4016" s="96" t="str">
        <f t="shared" si="365"/>
        <v>CPOS502016</v>
      </c>
      <c r="D4016" s="95" t="s">
        <v>4054</v>
      </c>
      <c r="E4016" s="63" t="s">
        <v>58</v>
      </c>
      <c r="F4016" s="64">
        <v>20.78</v>
      </c>
    </row>
    <row r="4017" spans="1:6" ht="30" x14ac:dyDescent="0.25">
      <c r="A4017" s="62" t="s">
        <v>4398</v>
      </c>
      <c r="B4017" s="96">
        <v>502017</v>
      </c>
      <c r="C4017" s="96" t="str">
        <f t="shared" si="365"/>
        <v>CPOS502017</v>
      </c>
      <c r="D4017" s="95" t="s">
        <v>4055</v>
      </c>
      <c r="E4017" s="63" t="s">
        <v>58</v>
      </c>
      <c r="F4017" s="64">
        <v>14.91</v>
      </c>
    </row>
    <row r="4018" spans="1:6" x14ac:dyDescent="0.25">
      <c r="A4018" s="62" t="s">
        <v>4398</v>
      </c>
      <c r="B4018" s="96">
        <v>502020</v>
      </c>
      <c r="C4018" s="96" t="str">
        <f t="shared" si="365"/>
        <v>CPOS502020</v>
      </c>
      <c r="D4018" s="95" t="s">
        <v>4056</v>
      </c>
      <c r="E4018" s="63" t="s">
        <v>58</v>
      </c>
      <c r="F4018" s="64">
        <v>9.7799999999999994</v>
      </c>
    </row>
    <row r="4019" spans="1:6" x14ac:dyDescent="0.25">
      <c r="D4019" s="94" t="s">
        <v>4057</v>
      </c>
    </row>
    <row r="4020" spans="1:6" x14ac:dyDescent="0.25">
      <c r="D4020" s="94" t="s">
        <v>4058</v>
      </c>
    </row>
    <row r="4021" spans="1:6" ht="30" x14ac:dyDescent="0.25">
      <c r="A4021" s="62" t="s">
        <v>4398</v>
      </c>
      <c r="B4021" s="96">
        <v>540101</v>
      </c>
      <c r="C4021" s="96" t="str">
        <f t="shared" ref="C4021:C4029" si="366">A4021&amp;B4021</f>
        <v>CPOS540101</v>
      </c>
      <c r="D4021" s="95" t="s">
        <v>4059</v>
      </c>
      <c r="E4021" s="63" t="s">
        <v>81</v>
      </c>
      <c r="F4021" s="64">
        <v>1.79</v>
      </c>
    </row>
    <row r="4022" spans="1:6" ht="30" x14ac:dyDescent="0.25">
      <c r="A4022" s="62" t="s">
        <v>4398</v>
      </c>
      <c r="B4022" s="96">
        <v>540103</v>
      </c>
      <c r="C4022" s="96" t="str">
        <f t="shared" si="366"/>
        <v>CPOS540103</v>
      </c>
      <c r="D4022" s="95" t="s">
        <v>4060</v>
      </c>
      <c r="E4022" s="63" t="s">
        <v>81</v>
      </c>
      <c r="F4022" s="64">
        <v>12.780000000000001</v>
      </c>
    </row>
    <row r="4023" spans="1:6" x14ac:dyDescent="0.25">
      <c r="A4023" s="62" t="s">
        <v>4398</v>
      </c>
      <c r="B4023" s="96">
        <v>540105</v>
      </c>
      <c r="C4023" s="96" t="str">
        <f t="shared" si="366"/>
        <v>CPOS540105</v>
      </c>
      <c r="D4023" s="95" t="s">
        <v>4061</v>
      </c>
      <c r="E4023" s="63" t="s">
        <v>119</v>
      </c>
      <c r="F4023" s="64">
        <v>10.94</v>
      </c>
    </row>
    <row r="4024" spans="1:6" x14ac:dyDescent="0.25">
      <c r="A4024" s="62" t="s">
        <v>4398</v>
      </c>
      <c r="B4024" s="96">
        <v>540120</v>
      </c>
      <c r="C4024" s="96" t="str">
        <f t="shared" si="366"/>
        <v>CPOS540120</v>
      </c>
      <c r="D4024" s="95" t="s">
        <v>4062</v>
      </c>
      <c r="E4024" s="63" t="s">
        <v>119</v>
      </c>
      <c r="F4024" s="64">
        <v>173.19</v>
      </c>
    </row>
    <row r="4025" spans="1:6" x14ac:dyDescent="0.25">
      <c r="A4025" s="62" t="s">
        <v>4398</v>
      </c>
      <c r="B4025" s="96">
        <v>540121</v>
      </c>
      <c r="C4025" s="96" t="str">
        <f t="shared" si="366"/>
        <v>CPOS540121</v>
      </c>
      <c r="D4025" s="95" t="s">
        <v>4063</v>
      </c>
      <c r="E4025" s="63" t="s">
        <v>119</v>
      </c>
      <c r="F4025" s="64">
        <v>130.33000000000001</v>
      </c>
    </row>
    <row r="4026" spans="1:6" x14ac:dyDescent="0.25">
      <c r="A4026" s="62" t="s">
        <v>4398</v>
      </c>
      <c r="B4026" s="96">
        <v>540122</v>
      </c>
      <c r="C4026" s="96" t="str">
        <f t="shared" si="366"/>
        <v>CPOS540122</v>
      </c>
      <c r="D4026" s="95" t="s">
        <v>4064</v>
      </c>
      <c r="E4026" s="63" t="s">
        <v>119</v>
      </c>
      <c r="F4026" s="64">
        <v>108.69</v>
      </c>
    </row>
    <row r="4027" spans="1:6" x14ac:dyDescent="0.25">
      <c r="A4027" s="62" t="s">
        <v>4398</v>
      </c>
      <c r="B4027" s="96">
        <v>540123</v>
      </c>
      <c r="C4027" s="96" t="str">
        <f t="shared" si="366"/>
        <v>CPOS540123</v>
      </c>
      <c r="D4027" s="95" t="s">
        <v>4065</v>
      </c>
      <c r="E4027" s="63" t="s">
        <v>119</v>
      </c>
      <c r="F4027" s="64">
        <v>384.3</v>
      </c>
    </row>
    <row r="4028" spans="1:6" ht="30" x14ac:dyDescent="0.25">
      <c r="A4028" s="62" t="s">
        <v>4398</v>
      </c>
      <c r="B4028" s="96">
        <v>540140</v>
      </c>
      <c r="C4028" s="96" t="str">
        <f t="shared" si="366"/>
        <v>CPOS540140</v>
      </c>
      <c r="D4028" s="95" t="s">
        <v>4066</v>
      </c>
      <c r="E4028" s="63" t="s">
        <v>81</v>
      </c>
      <c r="F4028" s="64">
        <v>10.76</v>
      </c>
    </row>
    <row r="4029" spans="1:6" x14ac:dyDescent="0.25">
      <c r="A4029" s="62" t="s">
        <v>4398</v>
      </c>
      <c r="B4029" s="96">
        <v>540141</v>
      </c>
      <c r="C4029" s="96" t="str">
        <f t="shared" si="366"/>
        <v>CPOS540141</v>
      </c>
      <c r="D4029" s="95" t="s">
        <v>4067</v>
      </c>
      <c r="E4029" s="63" t="s">
        <v>81</v>
      </c>
      <c r="F4029" s="64">
        <v>0.45</v>
      </c>
    </row>
    <row r="4030" spans="1:6" x14ac:dyDescent="0.25">
      <c r="D4030" s="94" t="s">
        <v>4068</v>
      </c>
    </row>
    <row r="4031" spans="1:6" x14ac:dyDescent="0.25">
      <c r="A4031" s="62" t="s">
        <v>4398</v>
      </c>
      <c r="B4031" s="96">
        <v>540203</v>
      </c>
      <c r="C4031" s="96" t="str">
        <f>A4031&amp;B4031</f>
        <v>CPOS540203</v>
      </c>
      <c r="D4031" s="95" t="s">
        <v>4069</v>
      </c>
      <c r="E4031" s="63" t="s">
        <v>119</v>
      </c>
      <c r="F4031" s="64">
        <v>65.45</v>
      </c>
    </row>
    <row r="4032" spans="1:6" x14ac:dyDescent="0.25">
      <c r="D4032" s="94" t="s">
        <v>4070</v>
      </c>
    </row>
    <row r="4033" spans="1:6" x14ac:dyDescent="0.25">
      <c r="A4033" s="62" t="s">
        <v>4398</v>
      </c>
      <c r="B4033" s="96">
        <v>540320</v>
      </c>
      <c r="C4033" s="96" t="str">
        <f t="shared" ref="C4033:C4039" si="367">A4033&amp;B4033</f>
        <v>CPOS540320</v>
      </c>
      <c r="D4033" s="95" t="s">
        <v>4071</v>
      </c>
      <c r="E4033" s="63" t="s">
        <v>119</v>
      </c>
      <c r="F4033" s="64">
        <v>629.28</v>
      </c>
    </row>
    <row r="4034" spans="1:6" x14ac:dyDescent="0.25">
      <c r="A4034" s="62" t="s">
        <v>4398</v>
      </c>
      <c r="B4034" s="96">
        <v>540321</v>
      </c>
      <c r="C4034" s="96" t="str">
        <f t="shared" si="367"/>
        <v>CPOS540321</v>
      </c>
      <c r="D4034" s="95" t="s">
        <v>4072</v>
      </c>
      <c r="E4034" s="63" t="s">
        <v>119</v>
      </c>
      <c r="F4034" s="64">
        <v>660.46</v>
      </c>
    </row>
    <row r="4035" spans="1:6" x14ac:dyDescent="0.25">
      <c r="A4035" s="62" t="s">
        <v>4398</v>
      </c>
      <c r="B4035" s="96">
        <v>540322</v>
      </c>
      <c r="C4035" s="96" t="str">
        <f t="shared" si="367"/>
        <v>CPOS540322</v>
      </c>
      <c r="D4035" s="95" t="s">
        <v>4073</v>
      </c>
      <c r="E4035" s="63" t="s">
        <v>119</v>
      </c>
      <c r="F4035" s="64">
        <v>610.54999999999995</v>
      </c>
    </row>
    <row r="4036" spans="1:6" x14ac:dyDescent="0.25">
      <c r="A4036" s="62" t="s">
        <v>4398</v>
      </c>
      <c r="B4036" s="96">
        <v>540323</v>
      </c>
      <c r="C4036" s="96" t="str">
        <f t="shared" si="367"/>
        <v>CPOS540323</v>
      </c>
      <c r="D4036" s="95" t="s">
        <v>4074</v>
      </c>
      <c r="E4036" s="63" t="s">
        <v>81</v>
      </c>
      <c r="F4036" s="64">
        <v>2.72</v>
      </c>
    </row>
    <row r="4037" spans="1:6" x14ac:dyDescent="0.25">
      <c r="A4037" s="62" t="s">
        <v>4398</v>
      </c>
      <c r="B4037" s="96">
        <v>540324</v>
      </c>
      <c r="C4037" s="96" t="str">
        <f t="shared" si="367"/>
        <v>CPOS540324</v>
      </c>
      <c r="D4037" s="95" t="s">
        <v>4075</v>
      </c>
      <c r="E4037" s="63" t="s">
        <v>81</v>
      </c>
      <c r="F4037" s="64">
        <v>5.45</v>
      </c>
    </row>
    <row r="4038" spans="1:6" x14ac:dyDescent="0.25">
      <c r="A4038" s="62" t="s">
        <v>4398</v>
      </c>
      <c r="B4038" s="96">
        <v>540325</v>
      </c>
      <c r="C4038" s="96" t="str">
        <f t="shared" si="367"/>
        <v>CPOS540325</v>
      </c>
      <c r="D4038" s="95" t="s">
        <v>4076</v>
      </c>
      <c r="E4038" s="63" t="s">
        <v>119</v>
      </c>
      <c r="F4038" s="64">
        <v>466.23</v>
      </c>
    </row>
    <row r="4039" spans="1:6" x14ac:dyDescent="0.25">
      <c r="A4039" s="62" t="s">
        <v>4398</v>
      </c>
      <c r="B4039" s="96">
        <v>540326</v>
      </c>
      <c r="C4039" s="96" t="str">
        <f t="shared" si="367"/>
        <v>CPOS540326</v>
      </c>
      <c r="D4039" s="95" t="s">
        <v>4077</v>
      </c>
      <c r="E4039" s="63" t="s">
        <v>119</v>
      </c>
      <c r="F4039" s="64">
        <v>490.99</v>
      </c>
    </row>
    <row r="4040" spans="1:6" x14ac:dyDescent="0.25">
      <c r="D4040" s="94" t="s">
        <v>4078</v>
      </c>
    </row>
    <row r="4041" spans="1:6" x14ac:dyDescent="0.25">
      <c r="A4041" s="62" t="s">
        <v>4398</v>
      </c>
      <c r="B4041" s="96">
        <v>540403</v>
      </c>
      <c r="C4041" s="96" t="str">
        <f t="shared" ref="C4041:C4047" si="368">A4041&amp;B4041</f>
        <v>CPOS540403</v>
      </c>
      <c r="D4041" s="95" t="s">
        <v>4079</v>
      </c>
      <c r="E4041" s="63" t="s">
        <v>81</v>
      </c>
      <c r="F4041" s="64">
        <v>154.77000000000001</v>
      </c>
    </row>
    <row r="4042" spans="1:6" x14ac:dyDescent="0.25">
      <c r="A4042" s="62" t="s">
        <v>4398</v>
      </c>
      <c r="B4042" s="96">
        <v>540404</v>
      </c>
      <c r="C4042" s="96" t="str">
        <f t="shared" si="368"/>
        <v>CPOS540404</v>
      </c>
      <c r="D4042" s="95" t="s">
        <v>4080</v>
      </c>
      <c r="E4042" s="63" t="s">
        <v>81</v>
      </c>
      <c r="F4042" s="64">
        <v>9.61</v>
      </c>
    </row>
    <row r="4043" spans="1:6" x14ac:dyDescent="0.25">
      <c r="A4043" s="62" t="s">
        <v>4398</v>
      </c>
      <c r="B4043" s="96">
        <v>540405</v>
      </c>
      <c r="C4043" s="96" t="str">
        <f t="shared" si="368"/>
        <v>CPOS540405</v>
      </c>
      <c r="D4043" s="95" t="s">
        <v>4081</v>
      </c>
      <c r="E4043" s="63" t="s">
        <v>81</v>
      </c>
      <c r="F4043" s="64">
        <v>10.09</v>
      </c>
    </row>
    <row r="4044" spans="1:6" x14ac:dyDescent="0.25">
      <c r="A4044" s="62" t="s">
        <v>4398</v>
      </c>
      <c r="B4044" s="96">
        <v>540406</v>
      </c>
      <c r="C4044" s="96" t="str">
        <f t="shared" si="368"/>
        <v>CPOS540406</v>
      </c>
      <c r="D4044" s="95" t="s">
        <v>4082</v>
      </c>
      <c r="E4044" s="63" t="s">
        <v>81</v>
      </c>
      <c r="F4044" s="64">
        <v>23.77</v>
      </c>
    </row>
    <row r="4045" spans="1:6" ht="30" x14ac:dyDescent="0.25">
      <c r="A4045" s="62" t="s">
        <v>4398</v>
      </c>
      <c r="B4045" s="96">
        <v>540434</v>
      </c>
      <c r="C4045" s="96" t="str">
        <f t="shared" si="368"/>
        <v>CPOS540434</v>
      </c>
      <c r="D4045" s="95" t="s">
        <v>4083</v>
      </c>
      <c r="E4045" s="63" t="s">
        <v>81</v>
      </c>
      <c r="F4045" s="64">
        <v>55.01</v>
      </c>
    </row>
    <row r="4046" spans="1:6" ht="30" x14ac:dyDescent="0.25">
      <c r="A4046" s="62" t="s">
        <v>4398</v>
      </c>
      <c r="B4046" s="96">
        <v>540435</v>
      </c>
      <c r="C4046" s="96" t="str">
        <f t="shared" si="368"/>
        <v>CPOS540435</v>
      </c>
      <c r="D4046" s="95" t="s">
        <v>4084</v>
      </c>
      <c r="E4046" s="63" t="s">
        <v>81</v>
      </c>
      <c r="F4046" s="64">
        <v>62.58</v>
      </c>
    </row>
    <row r="4047" spans="1:6" ht="30" x14ac:dyDescent="0.25">
      <c r="A4047" s="62" t="s">
        <v>4398</v>
      </c>
      <c r="B4047" s="96">
        <v>540436</v>
      </c>
      <c r="C4047" s="96" t="str">
        <f t="shared" si="368"/>
        <v>CPOS540436</v>
      </c>
      <c r="D4047" s="95" t="s">
        <v>4085</v>
      </c>
      <c r="E4047" s="63" t="s">
        <v>81</v>
      </c>
      <c r="F4047" s="64">
        <v>62.35</v>
      </c>
    </row>
    <row r="4048" spans="1:6" x14ac:dyDescent="0.25">
      <c r="D4048" s="94" t="s">
        <v>4086</v>
      </c>
    </row>
    <row r="4049" spans="1:6" x14ac:dyDescent="0.25">
      <c r="A4049" s="62" t="s">
        <v>4398</v>
      </c>
      <c r="B4049" s="96">
        <v>540602</v>
      </c>
      <c r="C4049" s="96" t="str">
        <f t="shared" ref="C4049:C4055" si="369">A4049&amp;B4049</f>
        <v>CPOS540602</v>
      </c>
      <c r="D4049" s="95" t="s">
        <v>4087</v>
      </c>
      <c r="E4049" s="63" t="s">
        <v>110</v>
      </c>
      <c r="F4049" s="64">
        <v>36.380000000000003</v>
      </c>
    </row>
    <row r="4050" spans="1:6" x14ac:dyDescent="0.25">
      <c r="A4050" s="62" t="s">
        <v>4398</v>
      </c>
      <c r="B4050" s="96">
        <v>540604</v>
      </c>
      <c r="C4050" s="96" t="str">
        <f t="shared" si="369"/>
        <v>CPOS540604</v>
      </c>
      <c r="D4050" s="95" t="s">
        <v>4088</v>
      </c>
      <c r="E4050" s="63" t="s">
        <v>110</v>
      </c>
      <c r="F4050" s="64">
        <v>34.71</v>
      </c>
    </row>
    <row r="4051" spans="1:6" x14ac:dyDescent="0.25">
      <c r="A4051" s="62" t="s">
        <v>4398</v>
      </c>
      <c r="B4051" s="96">
        <v>540610</v>
      </c>
      <c r="C4051" s="96" t="str">
        <f t="shared" si="369"/>
        <v>CPOS540610</v>
      </c>
      <c r="D4051" s="95" t="s">
        <v>4089</v>
      </c>
      <c r="E4051" s="63" t="s">
        <v>119</v>
      </c>
      <c r="F4051" s="64">
        <v>313.77999999999997</v>
      </c>
    </row>
    <row r="4052" spans="1:6" x14ac:dyDescent="0.25">
      <c r="A4052" s="62" t="s">
        <v>4398</v>
      </c>
      <c r="B4052" s="96">
        <v>540611</v>
      </c>
      <c r="C4052" s="96" t="str">
        <f t="shared" si="369"/>
        <v>CPOS540611</v>
      </c>
      <c r="D4052" s="95" t="s">
        <v>4090</v>
      </c>
      <c r="E4052" s="63" t="s">
        <v>119</v>
      </c>
      <c r="F4052" s="64">
        <v>326.39</v>
      </c>
    </row>
    <row r="4053" spans="1:6" x14ac:dyDescent="0.25">
      <c r="A4053" s="62" t="s">
        <v>4398</v>
      </c>
      <c r="B4053" s="96">
        <v>540615</v>
      </c>
      <c r="C4053" s="96" t="str">
        <f t="shared" si="369"/>
        <v>CPOS540615</v>
      </c>
      <c r="D4053" s="95" t="s">
        <v>4091</v>
      </c>
      <c r="E4053" s="63" t="s">
        <v>119</v>
      </c>
      <c r="F4053" s="64">
        <v>405.96000000000004</v>
      </c>
    </row>
    <row r="4054" spans="1:6" x14ac:dyDescent="0.25">
      <c r="A4054" s="62" t="s">
        <v>4398</v>
      </c>
      <c r="B4054" s="96">
        <v>540616</v>
      </c>
      <c r="C4054" s="96" t="str">
        <f t="shared" si="369"/>
        <v>CPOS540616</v>
      </c>
      <c r="D4054" s="95" t="s">
        <v>4092</v>
      </c>
      <c r="E4054" s="63" t="s">
        <v>119</v>
      </c>
      <c r="F4054" s="64">
        <v>427.12</v>
      </c>
    </row>
    <row r="4055" spans="1:6" x14ac:dyDescent="0.25">
      <c r="A4055" s="62" t="s">
        <v>4398</v>
      </c>
      <c r="B4055" s="96">
        <v>540617</v>
      </c>
      <c r="C4055" s="96" t="str">
        <f t="shared" si="369"/>
        <v>CPOS540617</v>
      </c>
      <c r="D4055" s="95" t="s">
        <v>4093</v>
      </c>
      <c r="E4055" s="63" t="s">
        <v>119</v>
      </c>
      <c r="F4055" s="64">
        <v>439.73</v>
      </c>
    </row>
    <row r="4056" spans="1:6" x14ac:dyDescent="0.25">
      <c r="D4056" s="94" t="s">
        <v>1724</v>
      </c>
    </row>
    <row r="4057" spans="1:6" x14ac:dyDescent="0.25">
      <c r="A4057" s="62" t="s">
        <v>4398</v>
      </c>
      <c r="B4057" s="96">
        <v>540704</v>
      </c>
      <c r="C4057" s="96" t="str">
        <f t="shared" ref="C4057:C4064" si="370">A4057&amp;B4057</f>
        <v>CPOS540704</v>
      </c>
      <c r="D4057" s="95" t="s">
        <v>4094</v>
      </c>
      <c r="E4057" s="63" t="s">
        <v>81</v>
      </c>
      <c r="F4057" s="64">
        <v>158.1</v>
      </c>
    </row>
    <row r="4058" spans="1:6" ht="30" x14ac:dyDescent="0.25">
      <c r="A4058" s="62" t="s">
        <v>4398</v>
      </c>
      <c r="B4058" s="96">
        <v>540710</v>
      </c>
      <c r="C4058" s="96" t="str">
        <f t="shared" si="370"/>
        <v>CPOS540710</v>
      </c>
      <c r="D4058" s="95" t="s">
        <v>4095</v>
      </c>
      <c r="E4058" s="63" t="s">
        <v>81</v>
      </c>
      <c r="F4058" s="64">
        <v>96.63</v>
      </c>
    </row>
    <row r="4059" spans="1:6" ht="30" x14ac:dyDescent="0.25">
      <c r="A4059" s="62" t="s">
        <v>4398</v>
      </c>
      <c r="B4059" s="96">
        <v>540711</v>
      </c>
      <c r="C4059" s="96" t="str">
        <f t="shared" si="370"/>
        <v>CPOS540711</v>
      </c>
      <c r="D4059" s="95" t="s">
        <v>4096</v>
      </c>
      <c r="E4059" s="63" t="s">
        <v>81</v>
      </c>
      <c r="F4059" s="64">
        <v>56.56</v>
      </c>
    </row>
    <row r="4060" spans="1:6" x14ac:dyDescent="0.25">
      <c r="A4060" s="62" t="s">
        <v>4398</v>
      </c>
      <c r="B4060" s="96">
        <v>540712</v>
      </c>
      <c r="C4060" s="96" t="str">
        <f t="shared" si="370"/>
        <v>CPOS540712</v>
      </c>
      <c r="D4060" s="95" t="s">
        <v>4097</v>
      </c>
      <c r="E4060" s="63" t="s">
        <v>81</v>
      </c>
      <c r="F4060" s="64">
        <v>98.75</v>
      </c>
    </row>
    <row r="4061" spans="1:6" ht="30" x14ac:dyDescent="0.25">
      <c r="A4061" s="62" t="s">
        <v>4398</v>
      </c>
      <c r="B4061" s="96">
        <v>540713</v>
      </c>
      <c r="C4061" s="96" t="str">
        <f t="shared" si="370"/>
        <v>CPOS540713</v>
      </c>
      <c r="D4061" s="95" t="s">
        <v>4098</v>
      </c>
      <c r="E4061" s="63" t="s">
        <v>81</v>
      </c>
      <c r="F4061" s="64">
        <v>58.68</v>
      </c>
    </row>
    <row r="4062" spans="1:6" ht="30" x14ac:dyDescent="0.25">
      <c r="A4062" s="62" t="s">
        <v>4398</v>
      </c>
      <c r="B4062" s="96">
        <v>540720</v>
      </c>
      <c r="C4062" s="96" t="str">
        <f t="shared" si="370"/>
        <v>CPOS540720</v>
      </c>
      <c r="D4062" s="95" t="s">
        <v>4099</v>
      </c>
      <c r="E4062" s="63" t="s">
        <v>81</v>
      </c>
      <c r="F4062" s="64">
        <v>6.51</v>
      </c>
    </row>
    <row r="4063" spans="1:6" ht="30" x14ac:dyDescent="0.25">
      <c r="A4063" s="62" t="s">
        <v>4398</v>
      </c>
      <c r="B4063" s="96">
        <v>540721</v>
      </c>
      <c r="C4063" s="96" t="str">
        <f t="shared" si="370"/>
        <v>CPOS540721</v>
      </c>
      <c r="D4063" s="95" t="s">
        <v>4100</v>
      </c>
      <c r="E4063" s="63" t="s">
        <v>81</v>
      </c>
      <c r="F4063" s="64">
        <v>7.62</v>
      </c>
    </row>
    <row r="4064" spans="1:6" ht="30" x14ac:dyDescent="0.25">
      <c r="A4064" s="62" t="s">
        <v>4398</v>
      </c>
      <c r="B4064" s="96">
        <v>540726</v>
      </c>
      <c r="C4064" s="96" t="str">
        <f t="shared" si="370"/>
        <v>CPOS540726</v>
      </c>
      <c r="D4064" s="95" t="s">
        <v>4101</v>
      </c>
      <c r="E4064" s="63" t="s">
        <v>81</v>
      </c>
      <c r="F4064" s="64">
        <v>75.64</v>
      </c>
    </row>
    <row r="4065" spans="1:6" x14ac:dyDescent="0.25">
      <c r="D4065" s="94" t="s">
        <v>693</v>
      </c>
    </row>
    <row r="4066" spans="1:6" x14ac:dyDescent="0.25">
      <c r="A4066" s="62" t="s">
        <v>4398</v>
      </c>
      <c r="B4066" s="96">
        <v>542004</v>
      </c>
      <c r="C4066" s="96" t="str">
        <f t="shared" ref="C4066:C4071" si="371">A4066&amp;B4066</f>
        <v>CPOS542004</v>
      </c>
      <c r="D4066" s="95" t="s">
        <v>4102</v>
      </c>
      <c r="E4066" s="63" t="s">
        <v>110</v>
      </c>
      <c r="F4066" s="64">
        <v>34.1</v>
      </c>
    </row>
    <row r="4067" spans="1:6" x14ac:dyDescent="0.25">
      <c r="A4067" s="62" t="s">
        <v>4398</v>
      </c>
      <c r="B4067" s="96">
        <v>542010</v>
      </c>
      <c r="C4067" s="96" t="str">
        <f t="shared" si="371"/>
        <v>CPOS542010</v>
      </c>
      <c r="D4067" s="95" t="s">
        <v>4103</v>
      </c>
      <c r="E4067" s="63" t="s">
        <v>110</v>
      </c>
      <c r="F4067" s="64">
        <v>12.86</v>
      </c>
    </row>
    <row r="4068" spans="1:6" x14ac:dyDescent="0.25">
      <c r="A4068" s="62" t="s">
        <v>4398</v>
      </c>
      <c r="B4068" s="96">
        <v>542011</v>
      </c>
      <c r="C4068" s="96" t="str">
        <f t="shared" si="371"/>
        <v>CPOS542011</v>
      </c>
      <c r="D4068" s="95" t="s">
        <v>4104</v>
      </c>
      <c r="E4068" s="63" t="s">
        <v>81</v>
      </c>
      <c r="F4068" s="64">
        <v>22.11</v>
      </c>
    </row>
    <row r="4069" spans="1:6" ht="30" x14ac:dyDescent="0.25">
      <c r="A4069" s="62" t="s">
        <v>4398</v>
      </c>
      <c r="B4069" s="96">
        <v>542012</v>
      </c>
      <c r="C4069" s="96" t="str">
        <f t="shared" si="371"/>
        <v>CPOS542012</v>
      </c>
      <c r="D4069" s="95" t="s">
        <v>4105</v>
      </c>
      <c r="E4069" s="63" t="s">
        <v>81</v>
      </c>
      <c r="F4069" s="64">
        <v>13.74</v>
      </c>
    </row>
    <row r="4070" spans="1:6" ht="30" x14ac:dyDescent="0.25">
      <c r="A4070" s="62" t="s">
        <v>4398</v>
      </c>
      <c r="B4070" s="96">
        <v>542013</v>
      </c>
      <c r="C4070" s="96" t="str">
        <f t="shared" si="371"/>
        <v>CPOS542013</v>
      </c>
      <c r="D4070" s="95" t="s">
        <v>4106</v>
      </c>
      <c r="E4070" s="63" t="s">
        <v>81</v>
      </c>
      <c r="F4070" s="64">
        <v>15.21</v>
      </c>
    </row>
    <row r="4071" spans="1:6" ht="30" x14ac:dyDescent="0.25">
      <c r="A4071" s="62" t="s">
        <v>4398</v>
      </c>
      <c r="B4071" s="96">
        <v>542014</v>
      </c>
      <c r="C4071" s="96" t="str">
        <f t="shared" si="371"/>
        <v>CPOS542014</v>
      </c>
      <c r="D4071" s="95" t="s">
        <v>4107</v>
      </c>
      <c r="E4071" s="63" t="s">
        <v>81</v>
      </c>
      <c r="F4071" s="64">
        <v>17.38</v>
      </c>
    </row>
    <row r="4072" spans="1:6" x14ac:dyDescent="0.25">
      <c r="D4072" s="94" t="s">
        <v>4108</v>
      </c>
    </row>
    <row r="4073" spans="1:6" x14ac:dyDescent="0.25">
      <c r="D4073" s="94" t="s">
        <v>4109</v>
      </c>
    </row>
    <row r="4074" spans="1:6" x14ac:dyDescent="0.25">
      <c r="A4074" s="62" t="s">
        <v>4398</v>
      </c>
      <c r="B4074" s="96">
        <v>550102</v>
      </c>
      <c r="C4074" s="96" t="str">
        <f t="shared" ref="C4074:C4080" si="372">A4074&amp;B4074</f>
        <v>CPOS550102</v>
      </c>
      <c r="D4074" s="95" t="s">
        <v>4110</v>
      </c>
      <c r="E4074" s="63" t="s">
        <v>81</v>
      </c>
      <c r="F4074" s="64">
        <v>7.94</v>
      </c>
    </row>
    <row r="4075" spans="1:6" x14ac:dyDescent="0.25">
      <c r="A4075" s="62" t="s">
        <v>4398</v>
      </c>
      <c r="B4075" s="96">
        <v>550103</v>
      </c>
      <c r="C4075" s="96" t="str">
        <f t="shared" si="372"/>
        <v>CPOS550103</v>
      </c>
      <c r="D4075" s="95" t="s">
        <v>4111</v>
      </c>
      <c r="E4075" s="63" t="s">
        <v>81</v>
      </c>
      <c r="F4075" s="64">
        <v>4.6900000000000004</v>
      </c>
    </row>
    <row r="4076" spans="1:6" x14ac:dyDescent="0.25">
      <c r="A4076" s="62" t="s">
        <v>4398</v>
      </c>
      <c r="B4076" s="96">
        <v>550107</v>
      </c>
      <c r="C4076" s="96" t="str">
        <f t="shared" si="372"/>
        <v>CPOS550107</v>
      </c>
      <c r="D4076" s="95" t="s">
        <v>4112</v>
      </c>
      <c r="E4076" s="63" t="s">
        <v>81</v>
      </c>
      <c r="F4076" s="64">
        <v>2.67</v>
      </c>
    </row>
    <row r="4077" spans="1:6" x14ac:dyDescent="0.25">
      <c r="A4077" s="62" t="s">
        <v>4398</v>
      </c>
      <c r="B4077" s="96">
        <v>550108</v>
      </c>
      <c r="C4077" s="96" t="str">
        <f t="shared" si="372"/>
        <v>CPOS550108</v>
      </c>
      <c r="D4077" s="95" t="s">
        <v>4113</v>
      </c>
      <c r="E4077" s="63" t="s">
        <v>58</v>
      </c>
      <c r="F4077" s="64">
        <v>9.07</v>
      </c>
    </row>
    <row r="4078" spans="1:6" x14ac:dyDescent="0.25">
      <c r="A4078" s="62" t="s">
        <v>4398</v>
      </c>
      <c r="B4078" s="96">
        <v>550110</v>
      </c>
      <c r="C4078" s="96" t="str">
        <f t="shared" si="372"/>
        <v>CPOS550110</v>
      </c>
      <c r="D4078" s="95" t="s">
        <v>4114</v>
      </c>
      <c r="E4078" s="63" t="s">
        <v>81</v>
      </c>
      <c r="F4078" s="64">
        <v>8.51</v>
      </c>
    </row>
    <row r="4079" spans="1:6" ht="30" x14ac:dyDescent="0.25">
      <c r="A4079" s="62" t="s">
        <v>4398</v>
      </c>
      <c r="B4079" s="96">
        <v>550113</v>
      </c>
      <c r="C4079" s="96" t="str">
        <f t="shared" si="372"/>
        <v>CPOS550113</v>
      </c>
      <c r="D4079" s="95" t="s">
        <v>4115</v>
      </c>
      <c r="E4079" s="63" t="s">
        <v>81</v>
      </c>
      <c r="F4079" s="64">
        <v>7.4</v>
      </c>
    </row>
    <row r="4080" spans="1:6" x14ac:dyDescent="0.25">
      <c r="A4080" s="62" t="s">
        <v>4398</v>
      </c>
      <c r="B4080" s="96">
        <v>550114</v>
      </c>
      <c r="C4080" s="96" t="str">
        <f t="shared" si="372"/>
        <v>CPOS550114</v>
      </c>
      <c r="D4080" s="95" t="s">
        <v>4116</v>
      </c>
      <c r="E4080" s="63" t="s">
        <v>81</v>
      </c>
      <c r="F4080" s="64">
        <v>3.74</v>
      </c>
    </row>
    <row r="4081" spans="1:6" x14ac:dyDescent="0.25">
      <c r="D4081" s="94" t="s">
        <v>4117</v>
      </c>
    </row>
    <row r="4082" spans="1:6" x14ac:dyDescent="0.25">
      <c r="A4082" s="62" t="s">
        <v>4398</v>
      </c>
      <c r="B4082" s="96">
        <v>550201</v>
      </c>
      <c r="C4082" s="96" t="str">
        <f t="shared" ref="C4082:C4086" si="373">A4082&amp;B4082</f>
        <v>CPOS550201</v>
      </c>
      <c r="D4082" s="95" t="s">
        <v>4118</v>
      </c>
      <c r="E4082" s="63" t="s">
        <v>58</v>
      </c>
      <c r="F4082" s="64">
        <v>3.4</v>
      </c>
    </row>
    <row r="4083" spans="1:6" x14ac:dyDescent="0.25">
      <c r="A4083" s="62" t="s">
        <v>4398</v>
      </c>
      <c r="B4083" s="96">
        <v>550202</v>
      </c>
      <c r="C4083" s="96" t="str">
        <f t="shared" si="373"/>
        <v>CPOS550202</v>
      </c>
      <c r="D4083" s="95" t="s">
        <v>4119</v>
      </c>
      <c r="E4083" s="63" t="s">
        <v>119</v>
      </c>
      <c r="F4083" s="64">
        <v>103.39</v>
      </c>
    </row>
    <row r="4084" spans="1:6" x14ac:dyDescent="0.25">
      <c r="A4084" s="62" t="s">
        <v>4398</v>
      </c>
      <c r="B4084" s="96">
        <v>550204</v>
      </c>
      <c r="C4084" s="96" t="str">
        <f t="shared" si="373"/>
        <v>CPOS550204</v>
      </c>
      <c r="D4084" s="95" t="s">
        <v>4120</v>
      </c>
      <c r="E4084" s="63" t="s">
        <v>58</v>
      </c>
      <c r="F4084" s="64">
        <v>11.72</v>
      </c>
    </row>
    <row r="4085" spans="1:6" x14ac:dyDescent="0.25">
      <c r="A4085" s="62" t="s">
        <v>4398</v>
      </c>
      <c r="B4085" s="96">
        <v>550205</v>
      </c>
      <c r="C4085" s="96" t="str">
        <f t="shared" si="373"/>
        <v>CPOS550205</v>
      </c>
      <c r="D4085" s="95" t="s">
        <v>4121</v>
      </c>
      <c r="E4085" s="63" t="s">
        <v>110</v>
      </c>
      <c r="F4085" s="64">
        <v>5.86</v>
      </c>
    </row>
    <row r="4086" spans="1:6" x14ac:dyDescent="0.25">
      <c r="A4086" s="62" t="s">
        <v>4398</v>
      </c>
      <c r="B4086" s="96">
        <v>550206</v>
      </c>
      <c r="C4086" s="96" t="str">
        <f t="shared" si="373"/>
        <v>CPOS550206</v>
      </c>
      <c r="D4086" s="95" t="s">
        <v>4122</v>
      </c>
      <c r="E4086" s="63" t="s">
        <v>110</v>
      </c>
      <c r="F4086" s="64">
        <v>6.78</v>
      </c>
    </row>
    <row r="4087" spans="1:6" x14ac:dyDescent="0.25">
      <c r="D4087" s="94" t="s">
        <v>4123</v>
      </c>
    </row>
    <row r="4088" spans="1:6" x14ac:dyDescent="0.25">
      <c r="A4088" s="62" t="s">
        <v>4398</v>
      </c>
      <c r="B4088" s="96">
        <v>551003</v>
      </c>
      <c r="C4088" s="96" t="str">
        <f>A4088&amp;B4088</f>
        <v>CPOS551003</v>
      </c>
      <c r="D4088" s="95" t="s">
        <v>4124</v>
      </c>
      <c r="E4088" s="63" t="s">
        <v>240</v>
      </c>
      <c r="F4088" s="64">
        <v>55.61</v>
      </c>
    </row>
    <row r="4089" spans="1:6" x14ac:dyDescent="0.25">
      <c r="D4089" s="94" t="s">
        <v>4125</v>
      </c>
    </row>
    <row r="4090" spans="1:6" x14ac:dyDescent="0.25">
      <c r="D4090" s="94" t="s">
        <v>4126</v>
      </c>
    </row>
    <row r="4091" spans="1:6" ht="30" x14ac:dyDescent="0.25">
      <c r="A4091" s="62" t="s">
        <v>4398</v>
      </c>
      <c r="B4091" s="96">
        <v>610167</v>
      </c>
      <c r="C4091" s="96" t="str">
        <f t="shared" ref="C4091:C4097" si="374">A4091&amp;B4091</f>
        <v>CPOS610167</v>
      </c>
      <c r="D4091" s="95" t="s">
        <v>4127</v>
      </c>
      <c r="E4091" s="63" t="s">
        <v>117</v>
      </c>
      <c r="F4091" s="64">
        <v>89572.83</v>
      </c>
    </row>
    <row r="4092" spans="1:6" ht="30" x14ac:dyDescent="0.25">
      <c r="A4092" s="62" t="s">
        <v>4398</v>
      </c>
      <c r="B4092" s="96">
        <v>610168</v>
      </c>
      <c r="C4092" s="96" t="str">
        <f t="shared" si="374"/>
        <v>CPOS610168</v>
      </c>
      <c r="D4092" s="95" t="s">
        <v>4128</v>
      </c>
      <c r="E4092" s="63" t="s">
        <v>117</v>
      </c>
      <c r="F4092" s="64">
        <v>95307</v>
      </c>
    </row>
    <row r="4093" spans="1:6" ht="30" x14ac:dyDescent="0.25">
      <c r="A4093" s="62" t="s">
        <v>4398</v>
      </c>
      <c r="B4093" s="96">
        <v>610169</v>
      </c>
      <c r="C4093" s="96" t="str">
        <f t="shared" si="374"/>
        <v>CPOS610169</v>
      </c>
      <c r="D4093" s="95" t="s">
        <v>4129</v>
      </c>
      <c r="E4093" s="63" t="s">
        <v>117</v>
      </c>
      <c r="F4093" s="64">
        <v>103214.5</v>
      </c>
    </row>
    <row r="4094" spans="1:6" ht="30" x14ac:dyDescent="0.25">
      <c r="A4094" s="62" t="s">
        <v>4398</v>
      </c>
      <c r="B4094" s="96">
        <v>610176</v>
      </c>
      <c r="C4094" s="96" t="str">
        <f t="shared" si="374"/>
        <v>CPOS610176</v>
      </c>
      <c r="D4094" s="95" t="s">
        <v>4130</v>
      </c>
      <c r="E4094" s="63" t="s">
        <v>117</v>
      </c>
      <c r="F4094" s="64">
        <v>110004.17</v>
      </c>
    </row>
    <row r="4095" spans="1:6" ht="30" x14ac:dyDescent="0.25">
      <c r="A4095" s="62" t="s">
        <v>4398</v>
      </c>
      <c r="B4095" s="96">
        <v>610177</v>
      </c>
      <c r="C4095" s="96" t="str">
        <f t="shared" si="374"/>
        <v>CPOS610177</v>
      </c>
      <c r="D4095" s="95" t="s">
        <v>4131</v>
      </c>
      <c r="E4095" s="63" t="s">
        <v>117</v>
      </c>
      <c r="F4095" s="64">
        <v>101783.67</v>
      </c>
    </row>
    <row r="4096" spans="1:6" x14ac:dyDescent="0.25">
      <c r="A4096" s="62" t="s">
        <v>4398</v>
      </c>
      <c r="B4096" s="96">
        <v>610180</v>
      </c>
      <c r="C4096" s="96" t="str">
        <f t="shared" si="374"/>
        <v>CPOS610180</v>
      </c>
      <c r="D4096" s="95" t="s">
        <v>4132</v>
      </c>
      <c r="E4096" s="63" t="s">
        <v>81</v>
      </c>
      <c r="F4096" s="64">
        <v>438.32</v>
      </c>
    </row>
    <row r="4097" spans="1:6" ht="30" x14ac:dyDescent="0.25">
      <c r="A4097" s="62" t="s">
        <v>4398</v>
      </c>
      <c r="B4097" s="96">
        <v>610182</v>
      </c>
      <c r="C4097" s="96" t="str">
        <f t="shared" si="374"/>
        <v>CPOS610182</v>
      </c>
      <c r="D4097" s="95" t="s">
        <v>4133</v>
      </c>
      <c r="E4097" s="63" t="s">
        <v>117</v>
      </c>
      <c r="F4097" s="64">
        <v>103021.75</v>
      </c>
    </row>
    <row r="4098" spans="1:6" x14ac:dyDescent="0.25">
      <c r="D4098" s="94" t="s">
        <v>4134</v>
      </c>
    </row>
    <row r="4099" spans="1:6" x14ac:dyDescent="0.25">
      <c r="A4099" s="62" t="s">
        <v>4398</v>
      </c>
      <c r="B4099" s="96">
        <v>611212</v>
      </c>
      <c r="C4099" s="96" t="str">
        <f>A4099&amp;B4099</f>
        <v>CPOS611212</v>
      </c>
      <c r="D4099" s="95" t="s">
        <v>4135</v>
      </c>
      <c r="E4099" s="63" t="s">
        <v>58</v>
      </c>
      <c r="F4099" s="64">
        <v>345</v>
      </c>
    </row>
    <row r="4100" spans="1:6" x14ac:dyDescent="0.25">
      <c r="D4100" s="94" t="s">
        <v>4136</v>
      </c>
    </row>
    <row r="4101" spans="1:6" ht="30" x14ac:dyDescent="0.25">
      <c r="A4101" s="62" t="s">
        <v>4398</v>
      </c>
      <c r="B4101" s="96">
        <v>611404</v>
      </c>
      <c r="C4101" s="96" t="str">
        <f t="shared" ref="C4101:C4105" si="375">A4101&amp;B4101</f>
        <v>CPOS611404</v>
      </c>
      <c r="D4101" s="95" t="s">
        <v>4137</v>
      </c>
      <c r="E4101" s="63" t="s">
        <v>58</v>
      </c>
      <c r="F4101" s="64">
        <v>3424.11</v>
      </c>
    </row>
    <row r="4102" spans="1:6" ht="30" x14ac:dyDescent="0.25">
      <c r="A4102" s="62" t="s">
        <v>4398</v>
      </c>
      <c r="B4102" s="96">
        <v>611405</v>
      </c>
      <c r="C4102" s="96" t="str">
        <f t="shared" si="375"/>
        <v>CPOS611405</v>
      </c>
      <c r="D4102" s="95" t="s">
        <v>4138</v>
      </c>
      <c r="E4102" s="63" t="s">
        <v>58</v>
      </c>
      <c r="F4102" s="64">
        <v>4703.93</v>
      </c>
    </row>
    <row r="4103" spans="1:6" ht="30" x14ac:dyDescent="0.25">
      <c r="A4103" s="62" t="s">
        <v>4398</v>
      </c>
      <c r="B4103" s="96">
        <v>611406</v>
      </c>
      <c r="C4103" s="96" t="str">
        <f t="shared" si="375"/>
        <v>CPOS611406</v>
      </c>
      <c r="D4103" s="95" t="s">
        <v>4139</v>
      </c>
      <c r="E4103" s="63" t="s">
        <v>58</v>
      </c>
      <c r="F4103" s="64">
        <v>2036.47</v>
      </c>
    </row>
    <row r="4104" spans="1:6" ht="30" x14ac:dyDescent="0.25">
      <c r="A4104" s="62" t="s">
        <v>4398</v>
      </c>
      <c r="B4104" s="96">
        <v>611407</v>
      </c>
      <c r="C4104" s="96" t="str">
        <f t="shared" si="375"/>
        <v>CPOS611407</v>
      </c>
      <c r="D4104" s="95" t="s">
        <v>4140</v>
      </c>
      <c r="E4104" s="63" t="s">
        <v>58</v>
      </c>
      <c r="F4104" s="64">
        <v>2517.63</v>
      </c>
    </row>
    <row r="4105" spans="1:6" ht="30" x14ac:dyDescent="0.25">
      <c r="A4105" s="62" t="s">
        <v>4398</v>
      </c>
      <c r="B4105" s="96">
        <v>611408</v>
      </c>
      <c r="C4105" s="96" t="str">
        <f t="shared" si="375"/>
        <v>CPOS611408</v>
      </c>
      <c r="D4105" s="95" t="s">
        <v>4141</v>
      </c>
      <c r="E4105" s="63" t="s">
        <v>58</v>
      </c>
      <c r="F4105" s="64">
        <v>2384.54</v>
      </c>
    </row>
    <row r="4106" spans="1:6" x14ac:dyDescent="0.25">
      <c r="D4106" s="94" t="s">
        <v>693</v>
      </c>
    </row>
    <row r="4107" spans="1:6" x14ac:dyDescent="0.25">
      <c r="A4107" s="62" t="s">
        <v>4398</v>
      </c>
      <c r="B4107" s="96">
        <v>612004</v>
      </c>
      <c r="C4107" s="96" t="str">
        <f t="shared" ref="C4107:C4113" si="376">A4107&amp;B4107</f>
        <v>CPOS612004</v>
      </c>
      <c r="D4107" s="95" t="s">
        <v>4142</v>
      </c>
      <c r="E4107" s="63" t="s">
        <v>117</v>
      </c>
      <c r="F4107" s="64">
        <v>528.9</v>
      </c>
    </row>
    <row r="4108" spans="1:6" x14ac:dyDescent="0.25">
      <c r="A4108" s="62" t="s">
        <v>4398</v>
      </c>
      <c r="B4108" s="96">
        <v>612009</v>
      </c>
      <c r="C4108" s="96" t="str">
        <f t="shared" si="376"/>
        <v>CPOS612009</v>
      </c>
      <c r="D4108" s="95" t="s">
        <v>4143</v>
      </c>
      <c r="E4108" s="63" t="s">
        <v>117</v>
      </c>
      <c r="F4108" s="64">
        <v>654.04999999999995</v>
      </c>
    </row>
    <row r="4109" spans="1:6" x14ac:dyDescent="0.25">
      <c r="A4109" s="62" t="s">
        <v>4398</v>
      </c>
      <c r="B4109" s="96">
        <v>612010</v>
      </c>
      <c r="C4109" s="96" t="str">
        <f t="shared" si="376"/>
        <v>CPOS612010</v>
      </c>
      <c r="D4109" s="95" t="s">
        <v>4144</v>
      </c>
      <c r="E4109" s="63" t="s">
        <v>117</v>
      </c>
      <c r="F4109" s="64">
        <v>886.24</v>
      </c>
    </row>
    <row r="4110" spans="1:6" x14ac:dyDescent="0.25">
      <c r="A4110" s="62" t="s">
        <v>4398</v>
      </c>
      <c r="B4110" s="96">
        <v>612011</v>
      </c>
      <c r="C4110" s="96" t="str">
        <f t="shared" si="376"/>
        <v>CPOS612011</v>
      </c>
      <c r="D4110" s="95" t="s">
        <v>4145</v>
      </c>
      <c r="E4110" s="63" t="s">
        <v>117</v>
      </c>
      <c r="F4110" s="64">
        <v>1016.26</v>
      </c>
    </row>
    <row r="4111" spans="1:6" x14ac:dyDescent="0.25">
      <c r="A4111" s="62" t="s">
        <v>4398</v>
      </c>
      <c r="B4111" s="96">
        <v>612012</v>
      </c>
      <c r="C4111" s="96" t="str">
        <f t="shared" si="376"/>
        <v>CPOS612012</v>
      </c>
      <c r="D4111" s="95" t="s">
        <v>4146</v>
      </c>
      <c r="E4111" s="63" t="s">
        <v>117</v>
      </c>
      <c r="F4111" s="64">
        <v>1183.49</v>
      </c>
    </row>
    <row r="4112" spans="1:6" x14ac:dyDescent="0.25">
      <c r="A4112" s="62" t="s">
        <v>4398</v>
      </c>
      <c r="B4112" s="96">
        <v>612013</v>
      </c>
      <c r="C4112" s="96" t="str">
        <f t="shared" si="376"/>
        <v>CPOS612013</v>
      </c>
      <c r="D4112" s="95" t="s">
        <v>4147</v>
      </c>
      <c r="E4112" s="63" t="s">
        <v>117</v>
      </c>
      <c r="F4112" s="64">
        <v>1450.45</v>
      </c>
    </row>
    <row r="4113" spans="1:6" x14ac:dyDescent="0.25">
      <c r="A4113" s="62" t="s">
        <v>4398</v>
      </c>
      <c r="B4113" s="96">
        <v>612045</v>
      </c>
      <c r="C4113" s="96" t="str">
        <f t="shared" si="376"/>
        <v>CPOS612045</v>
      </c>
      <c r="D4113" s="95" t="s">
        <v>4148</v>
      </c>
      <c r="E4113" s="63" t="s">
        <v>329</v>
      </c>
      <c r="F4113" s="64">
        <v>25.330000000000002</v>
      </c>
    </row>
    <row r="4114" spans="1:6" x14ac:dyDescent="0.25">
      <c r="D4114" s="94" t="s">
        <v>4149</v>
      </c>
    </row>
    <row r="4115" spans="1:6" x14ac:dyDescent="0.25">
      <c r="D4115" s="94" t="s">
        <v>4150</v>
      </c>
    </row>
    <row r="4116" spans="1:6" x14ac:dyDescent="0.25">
      <c r="A4116" s="62" t="s">
        <v>4398</v>
      </c>
      <c r="B4116" s="96">
        <v>620406</v>
      </c>
      <c r="C4116" s="96" t="str">
        <f t="shared" ref="C4116:C4118" si="377">A4116&amp;B4116</f>
        <v>CPOS620406</v>
      </c>
      <c r="D4116" s="95" t="s">
        <v>4151</v>
      </c>
      <c r="E4116" s="63" t="s">
        <v>58</v>
      </c>
      <c r="F4116" s="64">
        <v>2844.34</v>
      </c>
    </row>
    <row r="4117" spans="1:6" x14ac:dyDescent="0.25">
      <c r="A4117" s="62" t="s">
        <v>4398</v>
      </c>
      <c r="B4117" s="96">
        <v>620407</v>
      </c>
      <c r="C4117" s="96" t="str">
        <f t="shared" si="377"/>
        <v>CPOS620407</v>
      </c>
      <c r="D4117" s="95" t="s">
        <v>4152</v>
      </c>
      <c r="E4117" s="63" t="s">
        <v>110</v>
      </c>
      <c r="F4117" s="64">
        <v>1277.82</v>
      </c>
    </row>
    <row r="4118" spans="1:6" x14ac:dyDescent="0.25">
      <c r="A4118" s="62" t="s">
        <v>4398</v>
      </c>
      <c r="B4118" s="96">
        <v>620409</v>
      </c>
      <c r="C4118" s="96" t="str">
        <f t="shared" si="377"/>
        <v>CPOS620409</v>
      </c>
      <c r="D4118" s="95" t="s">
        <v>4153</v>
      </c>
      <c r="E4118" s="63" t="s">
        <v>110</v>
      </c>
      <c r="F4118" s="64">
        <v>1898.3600000000001</v>
      </c>
    </row>
    <row r="4119" spans="1:6" x14ac:dyDescent="0.25">
      <c r="D4119" s="94" t="s">
        <v>693</v>
      </c>
    </row>
    <row r="4120" spans="1:6" x14ac:dyDescent="0.25">
      <c r="A4120" s="62" t="s">
        <v>4398</v>
      </c>
      <c r="B4120" s="96">
        <v>622033</v>
      </c>
      <c r="C4120" s="96" t="str">
        <f t="shared" ref="C4120:C4122" si="378">A4120&amp;B4120</f>
        <v>CPOS622033</v>
      </c>
      <c r="D4120" s="95" t="s">
        <v>4154</v>
      </c>
      <c r="E4120" s="63" t="s">
        <v>81</v>
      </c>
      <c r="F4120" s="64">
        <v>6974.96</v>
      </c>
    </row>
    <row r="4121" spans="1:6" x14ac:dyDescent="0.25">
      <c r="A4121" s="62" t="s">
        <v>4398</v>
      </c>
      <c r="B4121" s="96">
        <v>622034</v>
      </c>
      <c r="C4121" s="96" t="str">
        <f t="shared" si="378"/>
        <v>CPOS622034</v>
      </c>
      <c r="D4121" s="95" t="s">
        <v>4155</v>
      </c>
      <c r="E4121" s="63" t="s">
        <v>81</v>
      </c>
      <c r="F4121" s="64">
        <v>5280.37</v>
      </c>
    </row>
    <row r="4122" spans="1:6" x14ac:dyDescent="0.25">
      <c r="A4122" s="62" t="s">
        <v>4398</v>
      </c>
      <c r="B4122" s="96">
        <v>622035</v>
      </c>
      <c r="C4122" s="96" t="str">
        <f t="shared" si="378"/>
        <v>CPOS622035</v>
      </c>
      <c r="D4122" s="95" t="s">
        <v>4156</v>
      </c>
      <c r="E4122" s="63" t="s">
        <v>81</v>
      </c>
      <c r="F4122" s="64">
        <v>2844.89</v>
      </c>
    </row>
    <row r="4123" spans="1:6" x14ac:dyDescent="0.25">
      <c r="D4123" s="94" t="s">
        <v>4157</v>
      </c>
    </row>
    <row r="4124" spans="1:6" x14ac:dyDescent="0.25">
      <c r="D4124" s="94" t="s">
        <v>4158</v>
      </c>
    </row>
    <row r="4125" spans="1:6" x14ac:dyDescent="0.25">
      <c r="A4125" s="62" t="s">
        <v>4398</v>
      </c>
      <c r="B4125" s="96">
        <v>650121</v>
      </c>
      <c r="C4125" s="96" t="str">
        <f>A4125&amp;B4125</f>
        <v>CPOS650121</v>
      </c>
      <c r="D4125" s="95" t="s">
        <v>4159</v>
      </c>
      <c r="E4125" s="63" t="s">
        <v>81</v>
      </c>
      <c r="F4125" s="64">
        <v>1860.71</v>
      </c>
    </row>
    <row r="4126" spans="1:6" x14ac:dyDescent="0.25">
      <c r="D4126" s="94" t="s">
        <v>4160</v>
      </c>
    </row>
    <row r="4127" spans="1:6" x14ac:dyDescent="0.25">
      <c r="A4127" s="62" t="s">
        <v>4398</v>
      </c>
      <c r="B4127" s="96">
        <v>650210</v>
      </c>
      <c r="C4127" s="96" t="str">
        <f>A4127&amp;B4127</f>
        <v>CPOS650210</v>
      </c>
      <c r="D4127" s="95" t="s">
        <v>4161</v>
      </c>
      <c r="E4127" s="63" t="s">
        <v>81</v>
      </c>
      <c r="F4127" s="64">
        <v>2171.9299999999998</v>
      </c>
    </row>
    <row r="4128" spans="1:6" x14ac:dyDescent="0.25">
      <c r="D4128" s="94" t="s">
        <v>4162</v>
      </c>
    </row>
    <row r="4129" spans="1:6" x14ac:dyDescent="0.25">
      <c r="D4129" s="94" t="s">
        <v>4163</v>
      </c>
    </row>
    <row r="4130" spans="1:6" x14ac:dyDescent="0.25">
      <c r="A4130" s="62" t="s">
        <v>4398</v>
      </c>
      <c r="B4130" s="96">
        <v>660206</v>
      </c>
      <c r="C4130" s="96" t="str">
        <f t="shared" ref="C4130:C4135" si="379">A4130&amp;B4130</f>
        <v>CPOS660206</v>
      </c>
      <c r="D4130" s="95" t="s">
        <v>4164</v>
      </c>
      <c r="E4130" s="63" t="s">
        <v>58</v>
      </c>
      <c r="F4130" s="64">
        <v>868.2</v>
      </c>
    </row>
    <row r="4131" spans="1:6" x14ac:dyDescent="0.25">
      <c r="A4131" s="62" t="s">
        <v>4398</v>
      </c>
      <c r="B4131" s="96">
        <v>660209</v>
      </c>
      <c r="C4131" s="96" t="str">
        <f t="shared" si="379"/>
        <v>CPOS660209</v>
      </c>
      <c r="D4131" s="95" t="s">
        <v>4165</v>
      </c>
      <c r="E4131" s="63" t="s">
        <v>58</v>
      </c>
      <c r="F4131" s="64">
        <v>5422.6900000000005</v>
      </c>
    </row>
    <row r="4132" spans="1:6" x14ac:dyDescent="0.25">
      <c r="A4132" s="62" t="s">
        <v>4398</v>
      </c>
      <c r="B4132" s="96">
        <v>660213</v>
      </c>
      <c r="C4132" s="96" t="str">
        <f t="shared" si="379"/>
        <v>CPOS660213</v>
      </c>
      <c r="D4132" s="95" t="s">
        <v>4166</v>
      </c>
      <c r="E4132" s="63" t="s">
        <v>117</v>
      </c>
      <c r="F4132" s="64">
        <v>159.99</v>
      </c>
    </row>
    <row r="4133" spans="1:6" x14ac:dyDescent="0.25">
      <c r="A4133" s="62" t="s">
        <v>4398</v>
      </c>
      <c r="B4133" s="96">
        <v>660224</v>
      </c>
      <c r="C4133" s="96" t="str">
        <f t="shared" si="379"/>
        <v>CPOS660224</v>
      </c>
      <c r="D4133" s="95" t="s">
        <v>4167</v>
      </c>
      <c r="E4133" s="63" t="s">
        <v>117</v>
      </c>
      <c r="F4133" s="64">
        <v>2702.61</v>
      </c>
    </row>
    <row r="4134" spans="1:6" x14ac:dyDescent="0.25">
      <c r="A4134" s="62" t="s">
        <v>4398</v>
      </c>
      <c r="B4134" s="96">
        <v>660246</v>
      </c>
      <c r="C4134" s="96" t="str">
        <f t="shared" si="379"/>
        <v>CPOS660246</v>
      </c>
      <c r="D4134" s="95" t="s">
        <v>4168</v>
      </c>
      <c r="E4134" s="63" t="s">
        <v>117</v>
      </c>
      <c r="F4134" s="64">
        <v>1048.82</v>
      </c>
    </row>
    <row r="4135" spans="1:6" x14ac:dyDescent="0.25">
      <c r="A4135" s="62" t="s">
        <v>4398</v>
      </c>
      <c r="B4135" s="96">
        <v>660250</v>
      </c>
      <c r="C4135" s="96" t="str">
        <f t="shared" si="379"/>
        <v>CPOS660250</v>
      </c>
      <c r="D4135" s="95" t="s">
        <v>4169</v>
      </c>
      <c r="E4135" s="63" t="s">
        <v>58</v>
      </c>
      <c r="F4135" s="64">
        <v>1537.13</v>
      </c>
    </row>
    <row r="4136" spans="1:6" x14ac:dyDescent="0.25">
      <c r="D4136" s="94" t="s">
        <v>4170</v>
      </c>
    </row>
    <row r="4137" spans="1:6" x14ac:dyDescent="0.25">
      <c r="A4137" s="62" t="s">
        <v>4398</v>
      </c>
      <c r="B4137" s="96">
        <v>660806</v>
      </c>
      <c r="C4137" s="96" t="str">
        <f t="shared" ref="C4137:C4151" si="380">A4137&amp;B4137</f>
        <v>CPOS660806</v>
      </c>
      <c r="D4137" s="95" t="s">
        <v>4171</v>
      </c>
      <c r="E4137" s="63" t="s">
        <v>58</v>
      </c>
      <c r="F4137" s="64">
        <v>5284.67</v>
      </c>
    </row>
    <row r="4138" spans="1:6" x14ac:dyDescent="0.25">
      <c r="A4138" s="62" t="s">
        <v>4398</v>
      </c>
      <c r="B4138" s="96">
        <v>660807</v>
      </c>
      <c r="C4138" s="96" t="str">
        <f t="shared" si="380"/>
        <v>CPOS660807</v>
      </c>
      <c r="D4138" s="95" t="s">
        <v>4172</v>
      </c>
      <c r="E4138" s="63" t="s">
        <v>58</v>
      </c>
      <c r="F4138" s="64">
        <v>2028.03</v>
      </c>
    </row>
    <row r="4139" spans="1:6" ht="30" x14ac:dyDescent="0.25">
      <c r="A4139" s="62" t="s">
        <v>4398</v>
      </c>
      <c r="B4139" s="96">
        <v>660808</v>
      </c>
      <c r="C4139" s="96" t="str">
        <f t="shared" si="380"/>
        <v>CPOS660808</v>
      </c>
      <c r="D4139" s="95" t="s">
        <v>4173</v>
      </c>
      <c r="E4139" s="63" t="s">
        <v>58</v>
      </c>
      <c r="F4139" s="64">
        <v>11611.52</v>
      </c>
    </row>
    <row r="4140" spans="1:6" x14ac:dyDescent="0.25">
      <c r="A4140" s="62" t="s">
        <v>4398</v>
      </c>
      <c r="B4140" s="96">
        <v>660810</v>
      </c>
      <c r="C4140" s="96" t="str">
        <f t="shared" si="380"/>
        <v>CPOS660810</v>
      </c>
      <c r="D4140" s="95" t="s">
        <v>4174</v>
      </c>
      <c r="E4140" s="63" t="s">
        <v>58</v>
      </c>
      <c r="F4140" s="64">
        <v>756.42</v>
      </c>
    </row>
    <row r="4141" spans="1:6" x14ac:dyDescent="0.25">
      <c r="A4141" s="62" t="s">
        <v>4398</v>
      </c>
      <c r="B4141" s="96">
        <v>660811</v>
      </c>
      <c r="C4141" s="96" t="str">
        <f t="shared" si="380"/>
        <v>CPOS660811</v>
      </c>
      <c r="D4141" s="95" t="s">
        <v>4175</v>
      </c>
      <c r="E4141" s="63" t="s">
        <v>58</v>
      </c>
      <c r="F4141" s="64">
        <v>1105.0899999999999</v>
      </c>
    </row>
    <row r="4142" spans="1:6" x14ac:dyDescent="0.25">
      <c r="A4142" s="62" t="s">
        <v>4398</v>
      </c>
      <c r="B4142" s="96">
        <v>660812</v>
      </c>
      <c r="C4142" s="96" t="str">
        <f t="shared" si="380"/>
        <v>CPOS660812</v>
      </c>
      <c r="D4142" s="95" t="s">
        <v>4176</v>
      </c>
      <c r="E4142" s="63" t="s">
        <v>58</v>
      </c>
      <c r="F4142" s="64">
        <v>534.76</v>
      </c>
    </row>
    <row r="4143" spans="1:6" x14ac:dyDescent="0.25">
      <c r="A4143" s="62" t="s">
        <v>4398</v>
      </c>
      <c r="B4143" s="96">
        <v>660813</v>
      </c>
      <c r="C4143" s="96" t="str">
        <f t="shared" si="380"/>
        <v>CPOS660813</v>
      </c>
      <c r="D4143" s="95" t="s">
        <v>4177</v>
      </c>
      <c r="E4143" s="63" t="s">
        <v>58</v>
      </c>
      <c r="F4143" s="64">
        <v>716.22</v>
      </c>
    </row>
    <row r="4144" spans="1:6" x14ac:dyDescent="0.25">
      <c r="A4144" s="62" t="s">
        <v>4398</v>
      </c>
      <c r="B4144" s="96">
        <v>660816</v>
      </c>
      <c r="C4144" s="96" t="str">
        <f t="shared" si="380"/>
        <v>CPOS660816</v>
      </c>
      <c r="D4144" s="95" t="s">
        <v>4178</v>
      </c>
      <c r="E4144" s="63" t="s">
        <v>58</v>
      </c>
      <c r="F4144" s="64">
        <v>235.85</v>
      </c>
    </row>
    <row r="4145" spans="1:6" x14ac:dyDescent="0.25">
      <c r="A4145" s="62" t="s">
        <v>4398</v>
      </c>
      <c r="B4145" s="96">
        <v>660819</v>
      </c>
      <c r="C4145" s="96" t="str">
        <f t="shared" si="380"/>
        <v>CPOS660819</v>
      </c>
      <c r="D4145" s="95" t="s">
        <v>4179</v>
      </c>
      <c r="E4145" s="63" t="s">
        <v>58</v>
      </c>
      <c r="F4145" s="64">
        <v>1046.1500000000001</v>
      </c>
    </row>
    <row r="4146" spans="1:6" x14ac:dyDescent="0.25">
      <c r="A4146" s="62" t="s">
        <v>4398</v>
      </c>
      <c r="B4146" s="96">
        <v>660824</v>
      </c>
      <c r="C4146" s="96" t="str">
        <f t="shared" si="380"/>
        <v>CPOS660824</v>
      </c>
      <c r="D4146" s="95" t="s">
        <v>4180</v>
      </c>
      <c r="E4146" s="63" t="s">
        <v>58</v>
      </c>
      <c r="F4146" s="64">
        <v>19.7</v>
      </c>
    </row>
    <row r="4147" spans="1:6" x14ac:dyDescent="0.25">
      <c r="A4147" s="62" t="s">
        <v>4398</v>
      </c>
      <c r="B4147" s="96">
        <v>660825</v>
      </c>
      <c r="C4147" s="96" t="str">
        <f t="shared" si="380"/>
        <v>CPOS660825</v>
      </c>
      <c r="D4147" s="95" t="s">
        <v>4181</v>
      </c>
      <c r="E4147" s="63" t="s">
        <v>58</v>
      </c>
      <c r="F4147" s="64">
        <v>3095.42</v>
      </c>
    </row>
    <row r="4148" spans="1:6" x14ac:dyDescent="0.25">
      <c r="A4148" s="62" t="s">
        <v>4398</v>
      </c>
      <c r="B4148" s="96">
        <v>660826</v>
      </c>
      <c r="C4148" s="96" t="str">
        <f t="shared" si="380"/>
        <v>CPOS660826</v>
      </c>
      <c r="D4148" s="95" t="s">
        <v>4182</v>
      </c>
      <c r="E4148" s="63" t="s">
        <v>58</v>
      </c>
      <c r="F4148" s="64">
        <v>201.3</v>
      </c>
    </row>
    <row r="4149" spans="1:6" x14ac:dyDescent="0.25">
      <c r="A4149" s="62" t="s">
        <v>4398</v>
      </c>
      <c r="B4149" s="96">
        <v>660827</v>
      </c>
      <c r="C4149" s="96" t="str">
        <f t="shared" si="380"/>
        <v>CPOS660827</v>
      </c>
      <c r="D4149" s="95" t="s">
        <v>4183</v>
      </c>
      <c r="E4149" s="63" t="s">
        <v>58</v>
      </c>
      <c r="F4149" s="64">
        <v>395.63</v>
      </c>
    </row>
    <row r="4150" spans="1:6" x14ac:dyDescent="0.25">
      <c r="A4150" s="62" t="s">
        <v>4398</v>
      </c>
      <c r="B4150" s="96">
        <v>660832</v>
      </c>
      <c r="C4150" s="96" t="str">
        <f t="shared" si="380"/>
        <v>CPOS660832</v>
      </c>
      <c r="D4150" s="95" t="s">
        <v>4184</v>
      </c>
      <c r="E4150" s="63" t="s">
        <v>58</v>
      </c>
      <c r="F4150" s="64">
        <v>6429.4400000000005</v>
      </c>
    </row>
    <row r="4151" spans="1:6" x14ac:dyDescent="0.25">
      <c r="A4151" s="62" t="s">
        <v>4398</v>
      </c>
      <c r="B4151" s="96">
        <v>660833</v>
      </c>
      <c r="C4151" s="96" t="str">
        <f t="shared" si="380"/>
        <v>CPOS660833</v>
      </c>
      <c r="D4151" s="95" t="s">
        <v>4185</v>
      </c>
      <c r="E4151" s="63" t="s">
        <v>58</v>
      </c>
      <c r="F4151" s="64">
        <v>3158.8</v>
      </c>
    </row>
    <row r="4152" spans="1:6" x14ac:dyDescent="0.25">
      <c r="D4152" s="94" t="s">
        <v>693</v>
      </c>
    </row>
    <row r="4153" spans="1:6" x14ac:dyDescent="0.25">
      <c r="A4153" s="62" t="s">
        <v>4398</v>
      </c>
      <c r="B4153" s="96">
        <v>662015</v>
      </c>
      <c r="C4153" s="96" t="str">
        <f t="shared" ref="C4153:C4160" si="381">A4153&amp;B4153</f>
        <v>CPOS662015</v>
      </c>
      <c r="D4153" s="95" t="s">
        <v>4186</v>
      </c>
      <c r="E4153" s="63" t="s">
        <v>58</v>
      </c>
      <c r="F4153" s="64">
        <v>22.57</v>
      </c>
    </row>
    <row r="4154" spans="1:6" x14ac:dyDescent="0.25">
      <c r="A4154" s="62" t="s">
        <v>4398</v>
      </c>
      <c r="B4154" s="96">
        <v>662016</v>
      </c>
      <c r="C4154" s="96" t="str">
        <f t="shared" si="381"/>
        <v>CPOS662016</v>
      </c>
      <c r="D4154" s="95" t="s">
        <v>4187</v>
      </c>
      <c r="E4154" s="63" t="s">
        <v>117</v>
      </c>
      <c r="F4154" s="64">
        <v>2252.94</v>
      </c>
    </row>
    <row r="4155" spans="1:6" x14ac:dyDescent="0.25">
      <c r="A4155" s="62" t="s">
        <v>4398</v>
      </c>
      <c r="B4155" s="96">
        <v>662017</v>
      </c>
      <c r="C4155" s="96" t="str">
        <f t="shared" si="381"/>
        <v>CPOS662017</v>
      </c>
      <c r="D4155" s="95" t="s">
        <v>4188</v>
      </c>
      <c r="E4155" s="63" t="s">
        <v>58</v>
      </c>
      <c r="F4155" s="64">
        <v>30.94</v>
      </c>
    </row>
    <row r="4156" spans="1:6" x14ac:dyDescent="0.25">
      <c r="A4156" s="62" t="s">
        <v>4398</v>
      </c>
      <c r="B4156" s="96">
        <v>662018</v>
      </c>
      <c r="C4156" s="96" t="str">
        <f t="shared" si="381"/>
        <v>CPOS662018</v>
      </c>
      <c r="D4156" s="95" t="s">
        <v>4189</v>
      </c>
      <c r="E4156" s="63" t="s">
        <v>58</v>
      </c>
      <c r="F4156" s="64">
        <v>63.08</v>
      </c>
    </row>
    <row r="4157" spans="1:6" x14ac:dyDescent="0.25">
      <c r="A4157" s="62" t="s">
        <v>4398</v>
      </c>
      <c r="B4157" s="96">
        <v>662019</v>
      </c>
      <c r="C4157" s="96" t="str">
        <f t="shared" si="381"/>
        <v>CPOS662019</v>
      </c>
      <c r="D4157" s="95" t="s">
        <v>4190</v>
      </c>
      <c r="E4157" s="63" t="s">
        <v>58</v>
      </c>
      <c r="F4157" s="64">
        <v>235.84</v>
      </c>
    </row>
    <row r="4158" spans="1:6" x14ac:dyDescent="0.25">
      <c r="A4158" s="62" t="s">
        <v>4398</v>
      </c>
      <c r="B4158" s="96">
        <v>662020</v>
      </c>
      <c r="C4158" s="96" t="str">
        <f t="shared" si="381"/>
        <v>CPOS662020</v>
      </c>
      <c r="D4158" s="95" t="s">
        <v>4191</v>
      </c>
      <c r="E4158" s="63" t="s">
        <v>58</v>
      </c>
      <c r="F4158" s="64">
        <v>465.24</v>
      </c>
    </row>
    <row r="4159" spans="1:6" x14ac:dyDescent="0.25">
      <c r="A4159" s="62" t="s">
        <v>4398</v>
      </c>
      <c r="B4159" s="96">
        <v>662021</v>
      </c>
      <c r="C4159" s="96" t="str">
        <f t="shared" si="381"/>
        <v>CPOS662021</v>
      </c>
      <c r="D4159" s="95" t="s">
        <v>4192</v>
      </c>
      <c r="E4159" s="63" t="s">
        <v>58</v>
      </c>
      <c r="F4159" s="64">
        <v>930.48</v>
      </c>
    </row>
    <row r="4160" spans="1:6" ht="30" x14ac:dyDescent="0.25">
      <c r="A4160" s="62" t="s">
        <v>4398</v>
      </c>
      <c r="B4160" s="96">
        <v>662022</v>
      </c>
      <c r="C4160" s="96" t="str">
        <f t="shared" si="381"/>
        <v>CPOS662022</v>
      </c>
      <c r="D4160" s="95" t="s">
        <v>4193</v>
      </c>
      <c r="E4160" s="63" t="s">
        <v>58</v>
      </c>
      <c r="F4160" s="64">
        <v>5929</v>
      </c>
    </row>
    <row r="4161" spans="1:6" x14ac:dyDescent="0.25">
      <c r="D4161" s="94" t="s">
        <v>4194</v>
      </c>
    </row>
    <row r="4162" spans="1:6" x14ac:dyDescent="0.25">
      <c r="D4162" s="94" t="s">
        <v>4195</v>
      </c>
    </row>
    <row r="4163" spans="1:6" x14ac:dyDescent="0.25">
      <c r="A4163" s="62" t="s">
        <v>4398</v>
      </c>
      <c r="B4163" s="96">
        <v>670204</v>
      </c>
      <c r="C4163" s="96" t="str">
        <f t="shared" ref="C4163:C4180" si="382">A4163&amp;B4163</f>
        <v>CPOS670204</v>
      </c>
      <c r="D4163" s="95" t="s">
        <v>4196</v>
      </c>
      <c r="E4163" s="63" t="s">
        <v>58</v>
      </c>
      <c r="F4163" s="64">
        <v>1499.67</v>
      </c>
    </row>
    <row r="4164" spans="1:6" x14ac:dyDescent="0.25">
      <c r="A4164" s="62" t="s">
        <v>4398</v>
      </c>
      <c r="B4164" s="96">
        <v>670216</v>
      </c>
      <c r="C4164" s="96" t="str">
        <f t="shared" si="382"/>
        <v>CPOS670216</v>
      </c>
      <c r="D4164" s="95" t="s">
        <v>4197</v>
      </c>
      <c r="E4164" s="63" t="s">
        <v>58</v>
      </c>
      <c r="F4164" s="64">
        <v>909.29</v>
      </c>
    </row>
    <row r="4165" spans="1:6" x14ac:dyDescent="0.25">
      <c r="A4165" s="62" t="s">
        <v>4398</v>
      </c>
      <c r="B4165" s="96">
        <v>670218</v>
      </c>
      <c r="C4165" s="96" t="str">
        <f t="shared" si="382"/>
        <v>CPOS670218</v>
      </c>
      <c r="D4165" s="95" t="s">
        <v>4198</v>
      </c>
      <c r="E4165" s="63" t="s">
        <v>81</v>
      </c>
      <c r="F4165" s="64">
        <v>1018.22</v>
      </c>
    </row>
    <row r="4166" spans="1:6" x14ac:dyDescent="0.25">
      <c r="A4166" s="62" t="s">
        <v>4398</v>
      </c>
      <c r="B4166" s="96">
        <v>670219</v>
      </c>
      <c r="C4166" s="96" t="str">
        <f t="shared" si="382"/>
        <v>CPOS670219</v>
      </c>
      <c r="D4166" s="95" t="s">
        <v>4199</v>
      </c>
      <c r="E4166" s="63" t="s">
        <v>81</v>
      </c>
      <c r="F4166" s="64">
        <v>755.62</v>
      </c>
    </row>
    <row r="4167" spans="1:6" x14ac:dyDescent="0.25">
      <c r="A4167" s="62" t="s">
        <v>4398</v>
      </c>
      <c r="B4167" s="96">
        <v>670221</v>
      </c>
      <c r="C4167" s="96" t="str">
        <f t="shared" si="382"/>
        <v>CPOS670221</v>
      </c>
      <c r="D4167" s="95" t="s">
        <v>4200</v>
      </c>
      <c r="E4167" s="63" t="s">
        <v>81</v>
      </c>
      <c r="F4167" s="64">
        <v>480.79</v>
      </c>
    </row>
    <row r="4168" spans="1:6" x14ac:dyDescent="0.25">
      <c r="A4168" s="62" t="s">
        <v>4398</v>
      </c>
      <c r="B4168" s="96">
        <v>670223</v>
      </c>
      <c r="C4168" s="96" t="str">
        <f t="shared" si="382"/>
        <v>CPOS670223</v>
      </c>
      <c r="D4168" s="95" t="s">
        <v>4201</v>
      </c>
      <c r="E4168" s="63" t="s">
        <v>81</v>
      </c>
      <c r="F4168" s="64">
        <v>1475.81</v>
      </c>
    </row>
    <row r="4169" spans="1:6" x14ac:dyDescent="0.25">
      <c r="A4169" s="62" t="s">
        <v>4398</v>
      </c>
      <c r="B4169" s="96">
        <v>670224</v>
      </c>
      <c r="C4169" s="96" t="str">
        <f t="shared" si="382"/>
        <v>CPOS670224</v>
      </c>
      <c r="D4169" s="95" t="s">
        <v>4202</v>
      </c>
      <c r="E4169" s="63" t="s">
        <v>81</v>
      </c>
      <c r="F4169" s="64">
        <v>1116.8499999999999</v>
      </c>
    </row>
    <row r="4170" spans="1:6" x14ac:dyDescent="0.25">
      <c r="A4170" s="62" t="s">
        <v>4398</v>
      </c>
      <c r="B4170" s="96">
        <v>670225</v>
      </c>
      <c r="C4170" s="96" t="str">
        <f t="shared" si="382"/>
        <v>CPOS670225</v>
      </c>
      <c r="D4170" s="95" t="s">
        <v>4203</v>
      </c>
      <c r="E4170" s="63" t="s">
        <v>81</v>
      </c>
      <c r="F4170" s="64">
        <v>891.78</v>
      </c>
    </row>
    <row r="4171" spans="1:6" x14ac:dyDescent="0.25">
      <c r="A4171" s="62" t="s">
        <v>4398</v>
      </c>
      <c r="B4171" s="96">
        <v>670228</v>
      </c>
      <c r="C4171" s="96" t="str">
        <f t="shared" si="382"/>
        <v>CPOS670228</v>
      </c>
      <c r="D4171" s="95" t="s">
        <v>4204</v>
      </c>
      <c r="E4171" s="63" t="s">
        <v>58</v>
      </c>
      <c r="F4171" s="64">
        <v>638.16</v>
      </c>
    </row>
    <row r="4172" spans="1:6" ht="30" x14ac:dyDescent="0.25">
      <c r="A4172" s="62" t="s">
        <v>4398</v>
      </c>
      <c r="B4172" s="96">
        <v>670229</v>
      </c>
      <c r="C4172" s="96" t="str">
        <f t="shared" si="382"/>
        <v>CPOS670229</v>
      </c>
      <c r="D4172" s="95" t="s">
        <v>4205</v>
      </c>
      <c r="E4172" s="63" t="s">
        <v>65</v>
      </c>
      <c r="F4172" s="64">
        <v>1212390.27</v>
      </c>
    </row>
    <row r="4173" spans="1:6" x14ac:dyDescent="0.25">
      <c r="A4173" s="62" t="s">
        <v>4398</v>
      </c>
      <c r="B4173" s="96">
        <v>670232</v>
      </c>
      <c r="C4173" s="96" t="str">
        <f t="shared" si="382"/>
        <v>CPOS670232</v>
      </c>
      <c r="D4173" s="95" t="s">
        <v>4206</v>
      </c>
      <c r="E4173" s="63" t="s">
        <v>81</v>
      </c>
      <c r="F4173" s="64">
        <v>1285.6099999999999</v>
      </c>
    </row>
    <row r="4174" spans="1:6" ht="30" x14ac:dyDescent="0.25">
      <c r="A4174" s="62" t="s">
        <v>4398</v>
      </c>
      <c r="B4174" s="96">
        <v>670233</v>
      </c>
      <c r="C4174" s="96" t="str">
        <f t="shared" si="382"/>
        <v>CPOS670233</v>
      </c>
      <c r="D4174" s="95" t="s">
        <v>4207</v>
      </c>
      <c r="E4174" s="63" t="s">
        <v>65</v>
      </c>
      <c r="F4174" s="64">
        <v>57650</v>
      </c>
    </row>
    <row r="4175" spans="1:6" ht="30" x14ac:dyDescent="0.25">
      <c r="A4175" s="62" t="s">
        <v>4398</v>
      </c>
      <c r="B4175" s="96">
        <v>670234</v>
      </c>
      <c r="C4175" s="96" t="str">
        <f t="shared" si="382"/>
        <v>CPOS670234</v>
      </c>
      <c r="D4175" s="95" t="s">
        <v>4208</v>
      </c>
      <c r="E4175" s="63" t="s">
        <v>65</v>
      </c>
      <c r="F4175" s="64">
        <v>299000</v>
      </c>
    </row>
    <row r="4176" spans="1:6" ht="30" x14ac:dyDescent="0.25">
      <c r="A4176" s="62" t="s">
        <v>4398</v>
      </c>
      <c r="B4176" s="96">
        <v>670235</v>
      </c>
      <c r="C4176" s="96" t="str">
        <f t="shared" si="382"/>
        <v>CPOS670235</v>
      </c>
      <c r="D4176" s="95" t="s">
        <v>4209</v>
      </c>
      <c r="E4176" s="63" t="s">
        <v>65</v>
      </c>
      <c r="F4176" s="64">
        <v>458500</v>
      </c>
    </row>
    <row r="4177" spans="1:6" ht="30" x14ac:dyDescent="0.25">
      <c r="A4177" s="62" t="s">
        <v>4398</v>
      </c>
      <c r="B4177" s="96">
        <v>670236</v>
      </c>
      <c r="C4177" s="96" t="str">
        <f t="shared" si="382"/>
        <v>CPOS670236</v>
      </c>
      <c r="D4177" s="95" t="s">
        <v>4210</v>
      </c>
      <c r="E4177" s="63" t="s">
        <v>65</v>
      </c>
      <c r="F4177" s="64">
        <v>570033.32999999996</v>
      </c>
    </row>
    <row r="4178" spans="1:6" x14ac:dyDescent="0.25">
      <c r="A4178" s="62" t="s">
        <v>4398</v>
      </c>
      <c r="B4178" s="96">
        <v>670237</v>
      </c>
      <c r="C4178" s="96" t="str">
        <f t="shared" si="382"/>
        <v>CPOS670237</v>
      </c>
      <c r="D4178" s="95" t="s">
        <v>4211</v>
      </c>
      <c r="E4178" s="63" t="s">
        <v>65</v>
      </c>
      <c r="F4178" s="64">
        <v>1484000</v>
      </c>
    </row>
    <row r="4179" spans="1:6" ht="30" x14ac:dyDescent="0.25">
      <c r="A4179" s="62" t="s">
        <v>4398</v>
      </c>
      <c r="B4179" s="96">
        <v>670238</v>
      </c>
      <c r="C4179" s="96" t="str">
        <f t="shared" si="382"/>
        <v>CPOS670238</v>
      </c>
      <c r="D4179" s="95" t="s">
        <v>4212</v>
      </c>
      <c r="E4179" s="63" t="s">
        <v>65</v>
      </c>
      <c r="F4179" s="64">
        <v>1305000</v>
      </c>
    </row>
    <row r="4180" spans="1:6" ht="30" x14ac:dyDescent="0.25">
      <c r="A4180" s="62" t="s">
        <v>4398</v>
      </c>
      <c r="B4180" s="96">
        <v>670239</v>
      </c>
      <c r="C4180" s="96" t="str">
        <f t="shared" si="382"/>
        <v>CPOS670239</v>
      </c>
      <c r="D4180" s="95" t="s">
        <v>4213</v>
      </c>
      <c r="E4180" s="63" t="s">
        <v>65</v>
      </c>
      <c r="F4180" s="64">
        <v>2308666.67</v>
      </c>
    </row>
    <row r="4181" spans="1:6" x14ac:dyDescent="0.25">
      <c r="D4181" s="94" t="s">
        <v>4214</v>
      </c>
    </row>
    <row r="4182" spans="1:6" x14ac:dyDescent="0.25">
      <c r="D4182" s="94" t="s">
        <v>4215</v>
      </c>
    </row>
    <row r="4183" spans="1:6" x14ac:dyDescent="0.25">
      <c r="A4183" s="62" t="s">
        <v>4398</v>
      </c>
      <c r="B4183" s="96">
        <v>680131</v>
      </c>
      <c r="C4183" s="96" t="str">
        <f t="shared" ref="C4183:C4208" si="383">A4183&amp;B4183</f>
        <v>CPOS680131</v>
      </c>
      <c r="D4183" s="95" t="s">
        <v>4216</v>
      </c>
      <c r="E4183" s="63" t="s">
        <v>58</v>
      </c>
      <c r="F4183" s="64">
        <v>759.12</v>
      </c>
    </row>
    <row r="4184" spans="1:6" x14ac:dyDescent="0.25">
      <c r="A4184" s="62" t="s">
        <v>4398</v>
      </c>
      <c r="B4184" s="96">
        <v>680133</v>
      </c>
      <c r="C4184" s="96" t="str">
        <f t="shared" si="383"/>
        <v>CPOS680133</v>
      </c>
      <c r="D4184" s="95" t="s">
        <v>4217</v>
      </c>
      <c r="E4184" s="63" t="s">
        <v>58</v>
      </c>
      <c r="F4184" s="64">
        <v>975.03</v>
      </c>
    </row>
    <row r="4185" spans="1:6" x14ac:dyDescent="0.25">
      <c r="A4185" s="62" t="s">
        <v>4398</v>
      </c>
      <c r="B4185" s="96">
        <v>680136</v>
      </c>
      <c r="C4185" s="96" t="str">
        <f t="shared" si="383"/>
        <v>CPOS680136</v>
      </c>
      <c r="D4185" s="95" t="s">
        <v>4218</v>
      </c>
      <c r="E4185" s="63" t="s">
        <v>58</v>
      </c>
      <c r="F4185" s="64">
        <v>815.71</v>
      </c>
    </row>
    <row r="4186" spans="1:6" x14ac:dyDescent="0.25">
      <c r="A4186" s="62" t="s">
        <v>4398</v>
      </c>
      <c r="B4186" s="96">
        <v>680139</v>
      </c>
      <c r="C4186" s="96" t="str">
        <f t="shared" si="383"/>
        <v>CPOS680139</v>
      </c>
      <c r="D4186" s="95" t="s">
        <v>4219</v>
      </c>
      <c r="E4186" s="63" t="s">
        <v>58</v>
      </c>
      <c r="F4186" s="64">
        <v>1012.28</v>
      </c>
    </row>
    <row r="4187" spans="1:6" x14ac:dyDescent="0.25">
      <c r="A4187" s="62" t="s">
        <v>4398</v>
      </c>
      <c r="B4187" s="96">
        <v>680142</v>
      </c>
      <c r="C4187" s="96" t="str">
        <f t="shared" si="383"/>
        <v>CPOS680142</v>
      </c>
      <c r="D4187" s="95" t="s">
        <v>4220</v>
      </c>
      <c r="E4187" s="63" t="s">
        <v>58</v>
      </c>
      <c r="F4187" s="64">
        <v>901.53</v>
      </c>
    </row>
    <row r="4188" spans="1:6" x14ac:dyDescent="0.25">
      <c r="A4188" s="62" t="s">
        <v>4398</v>
      </c>
      <c r="B4188" s="96">
        <v>680144</v>
      </c>
      <c r="C4188" s="96" t="str">
        <f t="shared" si="383"/>
        <v>CPOS680144</v>
      </c>
      <c r="D4188" s="95" t="s">
        <v>4221</v>
      </c>
      <c r="E4188" s="63" t="s">
        <v>58</v>
      </c>
      <c r="F4188" s="64">
        <v>1160.57</v>
      </c>
    </row>
    <row r="4189" spans="1:6" x14ac:dyDescent="0.25">
      <c r="A4189" s="62" t="s">
        <v>4398</v>
      </c>
      <c r="B4189" s="96">
        <v>680146</v>
      </c>
      <c r="C4189" s="96" t="str">
        <f t="shared" si="383"/>
        <v>CPOS680146</v>
      </c>
      <c r="D4189" s="95" t="s">
        <v>4222</v>
      </c>
      <c r="E4189" s="63" t="s">
        <v>58</v>
      </c>
      <c r="F4189" s="64">
        <v>1267.8399999999999</v>
      </c>
    </row>
    <row r="4190" spans="1:6" x14ac:dyDescent="0.25">
      <c r="A4190" s="62" t="s">
        <v>4398</v>
      </c>
      <c r="B4190" s="96">
        <v>680151</v>
      </c>
      <c r="C4190" s="96" t="str">
        <f t="shared" si="383"/>
        <v>CPOS680151</v>
      </c>
      <c r="D4190" s="95" t="s">
        <v>4223</v>
      </c>
      <c r="E4190" s="63" t="s">
        <v>58</v>
      </c>
      <c r="F4190" s="64">
        <v>1304.7</v>
      </c>
    </row>
    <row r="4191" spans="1:6" x14ac:dyDescent="0.25">
      <c r="A4191" s="62" t="s">
        <v>4398</v>
      </c>
      <c r="B4191" s="96">
        <v>680153</v>
      </c>
      <c r="C4191" s="96" t="str">
        <f t="shared" si="383"/>
        <v>CPOS680153</v>
      </c>
      <c r="D4191" s="95" t="s">
        <v>4224</v>
      </c>
      <c r="E4191" s="63" t="s">
        <v>58</v>
      </c>
      <c r="F4191" s="64">
        <v>1378.98</v>
      </c>
    </row>
    <row r="4192" spans="1:6" x14ac:dyDescent="0.25">
      <c r="A4192" s="62" t="s">
        <v>4398</v>
      </c>
      <c r="B4192" s="96">
        <v>680154</v>
      </c>
      <c r="C4192" s="96" t="str">
        <f t="shared" si="383"/>
        <v>CPOS680154</v>
      </c>
      <c r="D4192" s="95" t="s">
        <v>4225</v>
      </c>
      <c r="E4192" s="63" t="s">
        <v>58</v>
      </c>
      <c r="F4192" s="64">
        <v>2061.29</v>
      </c>
    </row>
    <row r="4193" spans="1:6" x14ac:dyDescent="0.25">
      <c r="A4193" s="62" t="s">
        <v>4398</v>
      </c>
      <c r="B4193" s="96">
        <v>680160</v>
      </c>
      <c r="C4193" s="96" t="str">
        <f t="shared" si="383"/>
        <v>CPOS680160</v>
      </c>
      <c r="D4193" s="95" t="s">
        <v>4226</v>
      </c>
      <c r="E4193" s="63" t="s">
        <v>58</v>
      </c>
      <c r="F4193" s="64">
        <v>930.09</v>
      </c>
    </row>
    <row r="4194" spans="1:6" x14ac:dyDescent="0.25">
      <c r="A4194" s="62" t="s">
        <v>4398</v>
      </c>
      <c r="B4194" s="96">
        <v>680161</v>
      </c>
      <c r="C4194" s="96" t="str">
        <f t="shared" si="383"/>
        <v>CPOS680161</v>
      </c>
      <c r="D4194" s="95" t="s">
        <v>4227</v>
      </c>
      <c r="E4194" s="63" t="s">
        <v>58</v>
      </c>
      <c r="F4194" s="64">
        <v>1057.26</v>
      </c>
    </row>
    <row r="4195" spans="1:6" x14ac:dyDescent="0.25">
      <c r="A4195" s="62" t="s">
        <v>4398</v>
      </c>
      <c r="B4195" s="96">
        <v>680162</v>
      </c>
      <c r="C4195" s="96" t="str">
        <f t="shared" si="383"/>
        <v>CPOS680162</v>
      </c>
      <c r="D4195" s="95" t="s">
        <v>4228</v>
      </c>
      <c r="E4195" s="63" t="s">
        <v>58</v>
      </c>
      <c r="F4195" s="64">
        <v>1037.0999999999999</v>
      </c>
    </row>
    <row r="4196" spans="1:6" x14ac:dyDescent="0.25">
      <c r="A4196" s="62" t="s">
        <v>4398</v>
      </c>
      <c r="B4196" s="96">
        <v>680163</v>
      </c>
      <c r="C4196" s="96" t="str">
        <f t="shared" si="383"/>
        <v>CPOS680163</v>
      </c>
      <c r="D4196" s="95" t="s">
        <v>4229</v>
      </c>
      <c r="E4196" s="63" t="s">
        <v>58</v>
      </c>
      <c r="F4196" s="64">
        <v>1207.6400000000001</v>
      </c>
    </row>
    <row r="4197" spans="1:6" x14ac:dyDescent="0.25">
      <c r="A4197" s="62" t="s">
        <v>4398</v>
      </c>
      <c r="B4197" s="96">
        <v>680164</v>
      </c>
      <c r="C4197" s="96" t="str">
        <f t="shared" si="383"/>
        <v>CPOS680164</v>
      </c>
      <c r="D4197" s="95" t="s">
        <v>4230</v>
      </c>
      <c r="E4197" s="63" t="s">
        <v>58</v>
      </c>
      <c r="F4197" s="64">
        <v>1223.58</v>
      </c>
    </row>
    <row r="4198" spans="1:6" x14ac:dyDescent="0.25">
      <c r="A4198" s="62" t="s">
        <v>4398</v>
      </c>
      <c r="B4198" s="96">
        <v>680165</v>
      </c>
      <c r="C4198" s="96" t="str">
        <f t="shared" si="383"/>
        <v>CPOS680165</v>
      </c>
      <c r="D4198" s="95" t="s">
        <v>4231</v>
      </c>
      <c r="E4198" s="63" t="s">
        <v>58</v>
      </c>
      <c r="F4198" s="64">
        <v>1344.1200000000001</v>
      </c>
    </row>
    <row r="4199" spans="1:6" x14ac:dyDescent="0.25">
      <c r="A4199" s="62" t="s">
        <v>4398</v>
      </c>
      <c r="B4199" s="96">
        <v>680167</v>
      </c>
      <c r="C4199" s="96" t="str">
        <f t="shared" si="383"/>
        <v>CPOS680167</v>
      </c>
      <c r="D4199" s="95" t="s">
        <v>4232</v>
      </c>
      <c r="E4199" s="63" t="s">
        <v>58</v>
      </c>
      <c r="F4199" s="64">
        <v>1022.8000000000001</v>
      </c>
    </row>
    <row r="4200" spans="1:6" x14ac:dyDescent="0.25">
      <c r="A4200" s="62" t="s">
        <v>4398</v>
      </c>
      <c r="B4200" s="96">
        <v>680169</v>
      </c>
      <c r="C4200" s="96" t="str">
        <f t="shared" si="383"/>
        <v>CPOS680169</v>
      </c>
      <c r="D4200" s="95" t="s">
        <v>4233</v>
      </c>
      <c r="E4200" s="63" t="s">
        <v>58</v>
      </c>
      <c r="F4200" s="64">
        <v>1175.3699999999999</v>
      </c>
    </row>
    <row r="4201" spans="1:6" x14ac:dyDescent="0.25">
      <c r="A4201" s="62" t="s">
        <v>4398</v>
      </c>
      <c r="B4201" s="96">
        <v>680173</v>
      </c>
      <c r="C4201" s="96" t="str">
        <f t="shared" si="383"/>
        <v>CPOS680173</v>
      </c>
      <c r="D4201" s="95" t="s">
        <v>4234</v>
      </c>
      <c r="E4201" s="63" t="s">
        <v>58</v>
      </c>
      <c r="F4201" s="64">
        <v>1172.1099999999999</v>
      </c>
    </row>
    <row r="4202" spans="1:6" x14ac:dyDescent="0.25">
      <c r="A4202" s="62" t="s">
        <v>4398</v>
      </c>
      <c r="B4202" s="96">
        <v>680174</v>
      </c>
      <c r="C4202" s="96" t="str">
        <f t="shared" si="383"/>
        <v>CPOS680174</v>
      </c>
      <c r="D4202" s="95" t="s">
        <v>4235</v>
      </c>
      <c r="E4202" s="63" t="s">
        <v>58</v>
      </c>
      <c r="F4202" s="64">
        <v>1348.66</v>
      </c>
    </row>
    <row r="4203" spans="1:6" x14ac:dyDescent="0.25">
      <c r="A4203" s="62" t="s">
        <v>4398</v>
      </c>
      <c r="B4203" s="96">
        <v>680175</v>
      </c>
      <c r="C4203" s="96" t="str">
        <f t="shared" si="383"/>
        <v>CPOS680175</v>
      </c>
      <c r="D4203" s="95" t="s">
        <v>4236</v>
      </c>
      <c r="E4203" s="63" t="s">
        <v>58</v>
      </c>
      <c r="F4203" s="64">
        <v>1426.21</v>
      </c>
    </row>
    <row r="4204" spans="1:6" x14ac:dyDescent="0.25">
      <c r="A4204" s="62" t="s">
        <v>4398</v>
      </c>
      <c r="B4204" s="96">
        <v>680176</v>
      </c>
      <c r="C4204" s="96" t="str">
        <f t="shared" si="383"/>
        <v>CPOS680176</v>
      </c>
      <c r="D4204" s="95" t="s">
        <v>4237</v>
      </c>
      <c r="E4204" s="63" t="s">
        <v>58</v>
      </c>
      <c r="F4204" s="64">
        <v>1574.77</v>
      </c>
    </row>
    <row r="4205" spans="1:6" x14ac:dyDescent="0.25">
      <c r="A4205" s="62" t="s">
        <v>4398</v>
      </c>
      <c r="B4205" s="96">
        <v>680179</v>
      </c>
      <c r="C4205" s="96" t="str">
        <f t="shared" si="383"/>
        <v>CPOS680179</v>
      </c>
      <c r="D4205" s="95" t="s">
        <v>4238</v>
      </c>
      <c r="E4205" s="63" t="s">
        <v>58</v>
      </c>
      <c r="F4205" s="64">
        <v>1432.3500000000001</v>
      </c>
    </row>
    <row r="4206" spans="1:6" x14ac:dyDescent="0.25">
      <c r="A4206" s="62" t="s">
        <v>4398</v>
      </c>
      <c r="B4206" s="96">
        <v>680180</v>
      </c>
      <c r="C4206" s="96" t="str">
        <f t="shared" si="383"/>
        <v>CPOS680180</v>
      </c>
      <c r="D4206" s="95" t="s">
        <v>4239</v>
      </c>
      <c r="E4206" s="63" t="s">
        <v>58</v>
      </c>
      <c r="F4206" s="64">
        <v>1689.89</v>
      </c>
    </row>
    <row r="4207" spans="1:6" x14ac:dyDescent="0.25">
      <c r="A4207" s="62" t="s">
        <v>4398</v>
      </c>
      <c r="B4207" s="96">
        <v>680181</v>
      </c>
      <c r="C4207" s="96" t="str">
        <f t="shared" si="383"/>
        <v>CPOS680181</v>
      </c>
      <c r="D4207" s="95" t="s">
        <v>4240</v>
      </c>
      <c r="E4207" s="63" t="s">
        <v>58</v>
      </c>
      <c r="F4207" s="64">
        <v>1854.18</v>
      </c>
    </row>
    <row r="4208" spans="1:6" x14ac:dyDescent="0.25">
      <c r="A4208" s="62" t="s">
        <v>4398</v>
      </c>
      <c r="B4208" s="96">
        <v>680185</v>
      </c>
      <c r="C4208" s="96" t="str">
        <f t="shared" si="383"/>
        <v>CPOS680185</v>
      </c>
      <c r="D4208" s="95" t="s">
        <v>4241</v>
      </c>
      <c r="E4208" s="63" t="s">
        <v>58</v>
      </c>
      <c r="F4208" s="64">
        <v>2696.9900000000002</v>
      </c>
    </row>
    <row r="4209" spans="1:6" x14ac:dyDescent="0.25">
      <c r="D4209" s="94" t="s">
        <v>4242</v>
      </c>
    </row>
    <row r="4210" spans="1:6" x14ac:dyDescent="0.25">
      <c r="A4210" s="62" t="s">
        <v>4398</v>
      </c>
      <c r="B4210" s="96">
        <v>680201</v>
      </c>
      <c r="C4210" s="96" t="str">
        <f t="shared" ref="C4210:C4222" si="384">A4210&amp;B4210</f>
        <v>CPOS680201</v>
      </c>
      <c r="D4210" s="95" t="s">
        <v>4243</v>
      </c>
      <c r="E4210" s="63" t="s">
        <v>58</v>
      </c>
      <c r="F4210" s="64">
        <v>314.49</v>
      </c>
    </row>
    <row r="4211" spans="1:6" x14ac:dyDescent="0.25">
      <c r="A4211" s="62" t="s">
        <v>4398</v>
      </c>
      <c r="B4211" s="96">
        <v>680202</v>
      </c>
      <c r="C4211" s="96" t="str">
        <f t="shared" si="384"/>
        <v>CPOS680202</v>
      </c>
      <c r="D4211" s="95" t="s">
        <v>4244</v>
      </c>
      <c r="E4211" s="63" t="s">
        <v>58</v>
      </c>
      <c r="F4211" s="64">
        <v>315.33999999999997</v>
      </c>
    </row>
    <row r="4212" spans="1:6" x14ac:dyDescent="0.25">
      <c r="A4212" s="62" t="s">
        <v>4398</v>
      </c>
      <c r="B4212" s="96">
        <v>680203</v>
      </c>
      <c r="C4212" s="96" t="str">
        <f t="shared" si="384"/>
        <v>CPOS680203</v>
      </c>
      <c r="D4212" s="95" t="s">
        <v>4245</v>
      </c>
      <c r="E4212" s="63" t="s">
        <v>58</v>
      </c>
      <c r="F4212" s="64">
        <v>542.59</v>
      </c>
    </row>
    <row r="4213" spans="1:6" x14ac:dyDescent="0.25">
      <c r="A4213" s="62" t="s">
        <v>4398</v>
      </c>
      <c r="B4213" s="96">
        <v>680204</v>
      </c>
      <c r="C4213" s="96" t="str">
        <f t="shared" si="384"/>
        <v>CPOS680204</v>
      </c>
      <c r="D4213" s="95" t="s">
        <v>4246</v>
      </c>
      <c r="E4213" s="63" t="s">
        <v>58</v>
      </c>
      <c r="F4213" s="64">
        <v>717.23</v>
      </c>
    </row>
    <row r="4214" spans="1:6" x14ac:dyDescent="0.25">
      <c r="A4214" s="62" t="s">
        <v>4398</v>
      </c>
      <c r="B4214" s="96">
        <v>680205</v>
      </c>
      <c r="C4214" s="96" t="str">
        <f t="shared" si="384"/>
        <v>CPOS680205</v>
      </c>
      <c r="D4214" s="95" t="s">
        <v>4247</v>
      </c>
      <c r="E4214" s="63" t="s">
        <v>58</v>
      </c>
      <c r="F4214" s="64">
        <v>858.46</v>
      </c>
    </row>
    <row r="4215" spans="1:6" x14ac:dyDescent="0.25">
      <c r="A4215" s="62" t="s">
        <v>4398</v>
      </c>
      <c r="B4215" s="96">
        <v>680206</v>
      </c>
      <c r="C4215" s="96" t="str">
        <f t="shared" si="384"/>
        <v>CPOS680206</v>
      </c>
      <c r="D4215" s="95" t="s">
        <v>4248</v>
      </c>
      <c r="E4215" s="63" t="s">
        <v>58</v>
      </c>
      <c r="F4215" s="64">
        <v>1159.3499999999999</v>
      </c>
    </row>
    <row r="4216" spans="1:6" x14ac:dyDescent="0.25">
      <c r="A4216" s="62" t="s">
        <v>4398</v>
      </c>
      <c r="B4216" s="96">
        <v>680207</v>
      </c>
      <c r="C4216" s="96" t="str">
        <f t="shared" si="384"/>
        <v>CPOS680207</v>
      </c>
      <c r="D4216" s="95" t="s">
        <v>4249</v>
      </c>
      <c r="E4216" s="63" t="s">
        <v>58</v>
      </c>
      <c r="F4216" s="64">
        <v>653.13</v>
      </c>
    </row>
    <row r="4217" spans="1:6" x14ac:dyDescent="0.25">
      <c r="A4217" s="62" t="s">
        <v>4398</v>
      </c>
      <c r="B4217" s="96">
        <v>680209</v>
      </c>
      <c r="C4217" s="96" t="str">
        <f t="shared" si="384"/>
        <v>CPOS680209</v>
      </c>
      <c r="D4217" s="95" t="s">
        <v>4250</v>
      </c>
      <c r="E4217" s="63" t="s">
        <v>58</v>
      </c>
      <c r="F4217" s="64">
        <v>1207.1400000000001</v>
      </c>
    </row>
    <row r="4218" spans="1:6" x14ac:dyDescent="0.25">
      <c r="A4218" s="62" t="s">
        <v>4398</v>
      </c>
      <c r="B4218" s="96">
        <v>680210</v>
      </c>
      <c r="C4218" s="96" t="str">
        <f t="shared" si="384"/>
        <v>CPOS680210</v>
      </c>
      <c r="D4218" s="95" t="s">
        <v>4251</v>
      </c>
      <c r="E4218" s="63" t="s">
        <v>58</v>
      </c>
      <c r="F4218" s="64">
        <v>128.68</v>
      </c>
    </row>
    <row r="4219" spans="1:6" x14ac:dyDescent="0.25">
      <c r="A4219" s="62" t="s">
        <v>4398</v>
      </c>
      <c r="B4219" s="96">
        <v>680211</v>
      </c>
      <c r="C4219" s="96" t="str">
        <f t="shared" si="384"/>
        <v>CPOS680211</v>
      </c>
      <c r="D4219" s="95" t="s">
        <v>4252</v>
      </c>
      <c r="E4219" s="63" t="s">
        <v>58</v>
      </c>
      <c r="F4219" s="64">
        <v>132.49</v>
      </c>
    </row>
    <row r="4220" spans="1:6" x14ac:dyDescent="0.25">
      <c r="A4220" s="62" t="s">
        <v>4398</v>
      </c>
      <c r="B4220" s="96">
        <v>680212</v>
      </c>
      <c r="C4220" s="96" t="str">
        <f t="shared" si="384"/>
        <v>CPOS680212</v>
      </c>
      <c r="D4220" s="95" t="s">
        <v>4253</v>
      </c>
      <c r="E4220" s="63" t="s">
        <v>58</v>
      </c>
      <c r="F4220" s="64">
        <v>184.95000000000002</v>
      </c>
    </row>
    <row r="4221" spans="1:6" x14ac:dyDescent="0.25">
      <c r="A4221" s="62" t="s">
        <v>4398</v>
      </c>
      <c r="B4221" s="96">
        <v>680213</v>
      </c>
      <c r="C4221" s="96" t="str">
        <f t="shared" si="384"/>
        <v>CPOS680213</v>
      </c>
      <c r="D4221" s="95" t="s">
        <v>4254</v>
      </c>
      <c r="E4221" s="63" t="s">
        <v>58</v>
      </c>
      <c r="F4221" s="64">
        <v>188.76</v>
      </c>
    </row>
    <row r="4222" spans="1:6" x14ac:dyDescent="0.25">
      <c r="A4222" s="62" t="s">
        <v>4398</v>
      </c>
      <c r="B4222" s="96">
        <v>680214</v>
      </c>
      <c r="C4222" s="96" t="str">
        <f t="shared" si="384"/>
        <v>CPOS680214</v>
      </c>
      <c r="D4222" s="95" t="s">
        <v>4255</v>
      </c>
      <c r="E4222" s="63" t="s">
        <v>58</v>
      </c>
      <c r="F4222" s="64">
        <v>290.72000000000003</v>
      </c>
    </row>
    <row r="4223" spans="1:6" x14ac:dyDescent="0.25">
      <c r="D4223" s="94" t="s">
        <v>693</v>
      </c>
    </row>
    <row r="4224" spans="1:6" x14ac:dyDescent="0.25">
      <c r="A4224" s="62" t="s">
        <v>4398</v>
      </c>
      <c r="B4224" s="96">
        <v>682001</v>
      </c>
      <c r="C4224" s="96" t="str">
        <f t="shared" ref="C4224:C4227" si="385">A4224&amp;B4224</f>
        <v>CPOS682001</v>
      </c>
      <c r="D4224" s="95" t="s">
        <v>4256</v>
      </c>
      <c r="E4224" s="63" t="s">
        <v>58</v>
      </c>
      <c r="F4224" s="64">
        <v>295.8</v>
      </c>
    </row>
    <row r="4225" spans="1:6" ht="30" x14ac:dyDescent="0.25">
      <c r="A4225" s="62" t="s">
        <v>4398</v>
      </c>
      <c r="B4225" s="96">
        <v>682004</v>
      </c>
      <c r="C4225" s="96" t="str">
        <f t="shared" si="385"/>
        <v>CPOS682004</v>
      </c>
      <c r="D4225" s="95" t="s">
        <v>4257</v>
      </c>
      <c r="E4225" s="63" t="s">
        <v>58</v>
      </c>
      <c r="F4225" s="64">
        <v>33.33</v>
      </c>
    </row>
    <row r="4226" spans="1:6" ht="30" x14ac:dyDescent="0.25">
      <c r="A4226" s="62" t="s">
        <v>4398</v>
      </c>
      <c r="B4226" s="96">
        <v>682005</v>
      </c>
      <c r="C4226" s="96" t="str">
        <f t="shared" si="385"/>
        <v>CPOS682005</v>
      </c>
      <c r="D4226" s="95" t="s">
        <v>4258</v>
      </c>
      <c r="E4226" s="63" t="s">
        <v>58</v>
      </c>
      <c r="F4226" s="64">
        <v>261.57</v>
      </c>
    </row>
    <row r="4227" spans="1:6" x14ac:dyDescent="0.25">
      <c r="A4227" s="62" t="s">
        <v>4398</v>
      </c>
      <c r="B4227" s="96">
        <v>682012</v>
      </c>
      <c r="C4227" s="96" t="str">
        <f t="shared" si="385"/>
        <v>CPOS682012</v>
      </c>
      <c r="D4227" s="95" t="s">
        <v>4259</v>
      </c>
      <c r="E4227" s="63" t="s">
        <v>58</v>
      </c>
      <c r="F4227" s="64">
        <v>27.560000000000002</v>
      </c>
    </row>
    <row r="4228" spans="1:6" x14ac:dyDescent="0.25">
      <c r="D4228" s="94" t="s">
        <v>4260</v>
      </c>
    </row>
    <row r="4229" spans="1:6" x14ac:dyDescent="0.25">
      <c r="D4229" s="94" t="s">
        <v>4261</v>
      </c>
    </row>
    <row r="4230" spans="1:6" ht="30" x14ac:dyDescent="0.25">
      <c r="A4230" s="62" t="s">
        <v>4398</v>
      </c>
      <c r="B4230" s="96">
        <v>690309</v>
      </c>
      <c r="C4230" s="96" t="str">
        <f t="shared" ref="C4230:C4237" si="386">A4230&amp;B4230</f>
        <v>CPOS690309</v>
      </c>
      <c r="D4230" s="95" t="s">
        <v>4262</v>
      </c>
      <c r="E4230" s="63" t="s">
        <v>58</v>
      </c>
      <c r="F4230" s="64">
        <v>43.63</v>
      </c>
    </row>
    <row r="4231" spans="1:6" ht="30" x14ac:dyDescent="0.25">
      <c r="A4231" s="62" t="s">
        <v>4398</v>
      </c>
      <c r="B4231" s="96">
        <v>690313</v>
      </c>
      <c r="C4231" s="96" t="str">
        <f t="shared" si="386"/>
        <v>CPOS690313</v>
      </c>
      <c r="D4231" s="95" t="s">
        <v>4263</v>
      </c>
      <c r="E4231" s="63" t="s">
        <v>58</v>
      </c>
      <c r="F4231" s="64">
        <v>239.6</v>
      </c>
    </row>
    <row r="4232" spans="1:6" ht="30" x14ac:dyDescent="0.25">
      <c r="A4232" s="62" t="s">
        <v>4398</v>
      </c>
      <c r="B4232" s="96">
        <v>690314</v>
      </c>
      <c r="C4232" s="96" t="str">
        <f t="shared" si="386"/>
        <v>CPOS690314</v>
      </c>
      <c r="D4232" s="95" t="s">
        <v>4264</v>
      </c>
      <c r="E4232" s="63" t="s">
        <v>58</v>
      </c>
      <c r="F4232" s="64">
        <v>504.19</v>
      </c>
    </row>
    <row r="4233" spans="1:6" x14ac:dyDescent="0.25">
      <c r="A4233" s="62" t="s">
        <v>4398</v>
      </c>
      <c r="B4233" s="96">
        <v>690325</v>
      </c>
      <c r="C4233" s="96" t="str">
        <f t="shared" si="386"/>
        <v>CPOS690325</v>
      </c>
      <c r="D4233" s="95" t="s">
        <v>4265</v>
      </c>
      <c r="E4233" s="63" t="s">
        <v>117</v>
      </c>
      <c r="F4233" s="64">
        <v>2717.98</v>
      </c>
    </row>
    <row r="4234" spans="1:6" ht="30" x14ac:dyDescent="0.25">
      <c r="A4234" s="62" t="s">
        <v>4398</v>
      </c>
      <c r="B4234" s="96">
        <v>690331</v>
      </c>
      <c r="C4234" s="96" t="str">
        <f t="shared" si="386"/>
        <v>CPOS690331</v>
      </c>
      <c r="D4234" s="95" t="s">
        <v>4266</v>
      </c>
      <c r="E4234" s="63" t="s">
        <v>58</v>
      </c>
      <c r="F4234" s="64">
        <v>115.56</v>
      </c>
    </row>
    <row r="4235" spans="1:6" x14ac:dyDescent="0.25">
      <c r="A4235" s="62" t="s">
        <v>4398</v>
      </c>
      <c r="B4235" s="96">
        <v>690334</v>
      </c>
      <c r="C4235" s="96" t="str">
        <f t="shared" si="386"/>
        <v>CPOS690334</v>
      </c>
      <c r="D4235" s="95" t="s">
        <v>4267</v>
      </c>
      <c r="E4235" s="63" t="s">
        <v>58</v>
      </c>
      <c r="F4235" s="64">
        <v>26.48</v>
      </c>
    </row>
    <row r="4236" spans="1:6" x14ac:dyDescent="0.25">
      <c r="A4236" s="62" t="s">
        <v>4398</v>
      </c>
      <c r="B4236" s="96">
        <v>690336</v>
      </c>
      <c r="C4236" s="96" t="str">
        <f t="shared" si="386"/>
        <v>CPOS690336</v>
      </c>
      <c r="D4236" s="95" t="s">
        <v>4268</v>
      </c>
      <c r="E4236" s="63" t="s">
        <v>58</v>
      </c>
      <c r="F4236" s="64">
        <v>82.86</v>
      </c>
    </row>
    <row r="4237" spans="1:6" x14ac:dyDescent="0.25">
      <c r="A4237" s="62" t="s">
        <v>4398</v>
      </c>
      <c r="B4237" s="96">
        <v>690337</v>
      </c>
      <c r="C4237" s="96" t="str">
        <f t="shared" si="386"/>
        <v>CPOS690337</v>
      </c>
      <c r="D4237" s="95" t="s">
        <v>4269</v>
      </c>
      <c r="E4237" s="63" t="s">
        <v>117</v>
      </c>
      <c r="F4237" s="64">
        <v>34893.980000000003</v>
      </c>
    </row>
    <row r="4238" spans="1:6" x14ac:dyDescent="0.25">
      <c r="D4238" s="94" t="s">
        <v>4270</v>
      </c>
    </row>
    <row r="4239" spans="1:6" x14ac:dyDescent="0.25">
      <c r="A4239" s="62" t="s">
        <v>4398</v>
      </c>
      <c r="B4239" s="96">
        <v>690501</v>
      </c>
      <c r="C4239" s="96" t="str">
        <f t="shared" ref="C4239:C4250" si="387">A4239&amp;B4239</f>
        <v>CPOS690501</v>
      </c>
      <c r="D4239" s="95" t="s">
        <v>4271</v>
      </c>
      <c r="E4239" s="63" t="s">
        <v>58</v>
      </c>
      <c r="F4239" s="64">
        <v>5884.6</v>
      </c>
    </row>
    <row r="4240" spans="1:6" x14ac:dyDescent="0.25">
      <c r="A4240" s="62" t="s">
        <v>4398</v>
      </c>
      <c r="B4240" s="96">
        <v>690503</v>
      </c>
      <c r="C4240" s="96" t="str">
        <f t="shared" si="387"/>
        <v>CPOS690503</v>
      </c>
      <c r="D4240" s="95" t="s">
        <v>4272</v>
      </c>
      <c r="E4240" s="63" t="s">
        <v>58</v>
      </c>
      <c r="F4240" s="64">
        <v>7059.95</v>
      </c>
    </row>
    <row r="4241" spans="1:6" x14ac:dyDescent="0.25">
      <c r="A4241" s="62" t="s">
        <v>4398</v>
      </c>
      <c r="B4241" s="96">
        <v>690504</v>
      </c>
      <c r="C4241" s="96" t="str">
        <f t="shared" si="387"/>
        <v>CPOS690504</v>
      </c>
      <c r="D4241" s="95" t="s">
        <v>4273</v>
      </c>
      <c r="E4241" s="63" t="s">
        <v>58</v>
      </c>
      <c r="F4241" s="64">
        <v>8167.55</v>
      </c>
    </row>
    <row r="4242" spans="1:6" x14ac:dyDescent="0.25">
      <c r="A4242" s="62" t="s">
        <v>4398</v>
      </c>
      <c r="B4242" s="96">
        <v>690505</v>
      </c>
      <c r="C4242" s="96" t="str">
        <f t="shared" si="387"/>
        <v>CPOS690505</v>
      </c>
      <c r="D4242" s="95" t="s">
        <v>4274</v>
      </c>
      <c r="E4242" s="63" t="s">
        <v>58</v>
      </c>
      <c r="F4242" s="64">
        <v>10933.87</v>
      </c>
    </row>
    <row r="4243" spans="1:6" x14ac:dyDescent="0.25">
      <c r="A4243" s="62" t="s">
        <v>4398</v>
      </c>
      <c r="B4243" s="96">
        <v>690506</v>
      </c>
      <c r="C4243" s="96" t="str">
        <f t="shared" si="387"/>
        <v>CPOS690506</v>
      </c>
      <c r="D4243" s="95" t="s">
        <v>4275</v>
      </c>
      <c r="E4243" s="63" t="s">
        <v>58</v>
      </c>
      <c r="F4243" s="64">
        <v>12715.74</v>
      </c>
    </row>
    <row r="4244" spans="1:6" x14ac:dyDescent="0.25">
      <c r="A4244" s="62" t="s">
        <v>4398</v>
      </c>
      <c r="B4244" s="96">
        <v>690515</v>
      </c>
      <c r="C4244" s="96" t="str">
        <f t="shared" si="387"/>
        <v>CPOS690515</v>
      </c>
      <c r="D4244" s="95" t="s">
        <v>4276</v>
      </c>
      <c r="E4244" s="63" t="s">
        <v>58</v>
      </c>
      <c r="F4244" s="64">
        <v>13422.77</v>
      </c>
    </row>
    <row r="4245" spans="1:6" x14ac:dyDescent="0.25">
      <c r="A4245" s="62" t="s">
        <v>4398</v>
      </c>
      <c r="B4245" s="96">
        <v>690516</v>
      </c>
      <c r="C4245" s="96" t="str">
        <f t="shared" si="387"/>
        <v>CPOS690516</v>
      </c>
      <c r="D4245" s="95" t="s">
        <v>4277</v>
      </c>
      <c r="E4245" s="63" t="s">
        <v>58</v>
      </c>
      <c r="F4245" s="64">
        <v>14798.17</v>
      </c>
    </row>
    <row r="4246" spans="1:6" ht="30" x14ac:dyDescent="0.25">
      <c r="A4246" s="62" t="s">
        <v>4398</v>
      </c>
      <c r="B4246" s="96">
        <v>690517</v>
      </c>
      <c r="C4246" s="96" t="str">
        <f t="shared" si="387"/>
        <v>CPOS690517</v>
      </c>
      <c r="D4246" s="95" t="s">
        <v>4278</v>
      </c>
      <c r="E4246" s="63" t="s">
        <v>58</v>
      </c>
      <c r="F4246" s="64">
        <v>10091.94</v>
      </c>
    </row>
    <row r="4247" spans="1:6" x14ac:dyDescent="0.25">
      <c r="A4247" s="62" t="s">
        <v>4398</v>
      </c>
      <c r="B4247" s="96">
        <v>690519</v>
      </c>
      <c r="C4247" s="96" t="str">
        <f t="shared" si="387"/>
        <v>CPOS690519</v>
      </c>
      <c r="D4247" s="95" t="s">
        <v>4279</v>
      </c>
      <c r="E4247" s="63" t="s">
        <v>58</v>
      </c>
      <c r="F4247" s="64">
        <v>17643.580000000002</v>
      </c>
    </row>
    <row r="4248" spans="1:6" x14ac:dyDescent="0.25">
      <c r="A4248" s="62" t="s">
        <v>4398</v>
      </c>
      <c r="B4248" s="96">
        <v>690522</v>
      </c>
      <c r="C4248" s="96" t="str">
        <f t="shared" si="387"/>
        <v>CPOS690522</v>
      </c>
      <c r="D4248" s="95" t="s">
        <v>4280</v>
      </c>
      <c r="E4248" s="63" t="s">
        <v>58</v>
      </c>
      <c r="F4248" s="64">
        <v>19847.419999999998</v>
      </c>
    </row>
    <row r="4249" spans="1:6" x14ac:dyDescent="0.25">
      <c r="A4249" s="62" t="s">
        <v>4398</v>
      </c>
      <c r="B4249" s="96">
        <v>690523</v>
      </c>
      <c r="C4249" s="96" t="str">
        <f t="shared" si="387"/>
        <v>CPOS690523</v>
      </c>
      <c r="D4249" s="95" t="s">
        <v>4281</v>
      </c>
      <c r="E4249" s="63" t="s">
        <v>58</v>
      </c>
      <c r="F4249" s="64">
        <v>24465.64</v>
      </c>
    </row>
    <row r="4250" spans="1:6" ht="30" x14ac:dyDescent="0.25">
      <c r="A4250" s="62" t="s">
        <v>4398</v>
      </c>
      <c r="B4250" s="96">
        <v>690528</v>
      </c>
      <c r="C4250" s="96" t="str">
        <f t="shared" si="387"/>
        <v>CPOS690528</v>
      </c>
      <c r="D4250" s="95" t="s">
        <v>4282</v>
      </c>
      <c r="E4250" s="63" t="s">
        <v>58</v>
      </c>
      <c r="F4250" s="64">
        <v>60545.71</v>
      </c>
    </row>
    <row r="4251" spans="1:6" x14ac:dyDescent="0.25">
      <c r="D4251" s="94" t="s">
        <v>4283</v>
      </c>
    </row>
    <row r="4252" spans="1:6" ht="30" x14ac:dyDescent="0.25">
      <c r="A4252" s="62" t="s">
        <v>4398</v>
      </c>
      <c r="B4252" s="96">
        <v>690601</v>
      </c>
      <c r="C4252" s="96" t="str">
        <f t="shared" ref="C4252:C4271" si="388">A4252&amp;B4252</f>
        <v>CPOS690601</v>
      </c>
      <c r="D4252" s="95" t="s">
        <v>4284</v>
      </c>
      <c r="E4252" s="63" t="s">
        <v>58</v>
      </c>
      <c r="F4252" s="64">
        <v>5992.12</v>
      </c>
    </row>
    <row r="4253" spans="1:6" ht="30" x14ac:dyDescent="0.25">
      <c r="A4253" s="62" t="s">
        <v>4398</v>
      </c>
      <c r="B4253" s="96">
        <v>690602</v>
      </c>
      <c r="C4253" s="96" t="str">
        <f t="shared" si="388"/>
        <v>CPOS690602</v>
      </c>
      <c r="D4253" s="95" t="s">
        <v>4285</v>
      </c>
      <c r="E4253" s="63" t="s">
        <v>58</v>
      </c>
      <c r="F4253" s="64">
        <v>28083.75</v>
      </c>
    </row>
    <row r="4254" spans="1:6" ht="30" x14ac:dyDescent="0.25">
      <c r="A4254" s="62" t="s">
        <v>4398</v>
      </c>
      <c r="B4254" s="96">
        <v>690603</v>
      </c>
      <c r="C4254" s="96" t="str">
        <f t="shared" si="388"/>
        <v>CPOS690603</v>
      </c>
      <c r="D4254" s="95" t="s">
        <v>4286</v>
      </c>
      <c r="E4254" s="63" t="s">
        <v>58</v>
      </c>
      <c r="F4254" s="64">
        <v>35616.5</v>
      </c>
    </row>
    <row r="4255" spans="1:6" ht="30" x14ac:dyDescent="0.25">
      <c r="A4255" s="62" t="s">
        <v>4398</v>
      </c>
      <c r="B4255" s="96">
        <v>690604</v>
      </c>
      <c r="C4255" s="96" t="str">
        <f t="shared" si="388"/>
        <v>CPOS690604</v>
      </c>
      <c r="D4255" s="95" t="s">
        <v>4287</v>
      </c>
      <c r="E4255" s="63" t="s">
        <v>58</v>
      </c>
      <c r="F4255" s="64">
        <v>39741.71</v>
      </c>
    </row>
    <row r="4256" spans="1:6" x14ac:dyDescent="0.25">
      <c r="A4256" s="62" t="s">
        <v>4398</v>
      </c>
      <c r="B4256" s="96">
        <v>690605</v>
      </c>
      <c r="C4256" s="96" t="str">
        <f t="shared" si="388"/>
        <v>CPOS690605</v>
      </c>
      <c r="D4256" s="95" t="s">
        <v>4288</v>
      </c>
      <c r="E4256" s="63" t="s">
        <v>58</v>
      </c>
      <c r="F4256" s="64">
        <v>3476.14</v>
      </c>
    </row>
    <row r="4257" spans="1:6" ht="30" x14ac:dyDescent="0.25">
      <c r="A4257" s="62" t="s">
        <v>4398</v>
      </c>
      <c r="B4257" s="96">
        <v>690608</v>
      </c>
      <c r="C4257" s="96" t="str">
        <f t="shared" si="388"/>
        <v>CPOS690608</v>
      </c>
      <c r="D4257" s="95" t="s">
        <v>4289</v>
      </c>
      <c r="E4257" s="63" t="s">
        <v>58</v>
      </c>
      <c r="F4257" s="64">
        <v>11332.04</v>
      </c>
    </row>
    <row r="4258" spans="1:6" x14ac:dyDescent="0.25">
      <c r="A4258" s="62" t="s">
        <v>4398</v>
      </c>
      <c r="B4258" s="96">
        <v>690610</v>
      </c>
      <c r="C4258" s="96" t="str">
        <f t="shared" si="388"/>
        <v>CPOS690610</v>
      </c>
      <c r="D4258" s="95" t="s">
        <v>4290</v>
      </c>
      <c r="E4258" s="63" t="s">
        <v>58</v>
      </c>
      <c r="F4258" s="64">
        <v>16051.76</v>
      </c>
    </row>
    <row r="4259" spans="1:6" ht="30" x14ac:dyDescent="0.25">
      <c r="A4259" s="62" t="s">
        <v>4398</v>
      </c>
      <c r="B4259" s="96">
        <v>690611</v>
      </c>
      <c r="C4259" s="96" t="str">
        <f t="shared" si="388"/>
        <v>CPOS690611</v>
      </c>
      <c r="D4259" s="95" t="s">
        <v>4291</v>
      </c>
      <c r="E4259" s="63" t="s">
        <v>58</v>
      </c>
      <c r="F4259" s="64">
        <v>512.82000000000005</v>
      </c>
    </row>
    <row r="4260" spans="1:6" ht="30" x14ac:dyDescent="0.25">
      <c r="A4260" s="62" t="s">
        <v>4398</v>
      </c>
      <c r="B4260" s="96">
        <v>690612</v>
      </c>
      <c r="C4260" s="96" t="str">
        <f t="shared" si="388"/>
        <v>CPOS690612</v>
      </c>
      <c r="D4260" s="95" t="s">
        <v>4292</v>
      </c>
      <c r="E4260" s="63" t="s">
        <v>58</v>
      </c>
      <c r="F4260" s="64">
        <v>37041.32</v>
      </c>
    </row>
    <row r="4261" spans="1:6" ht="30" x14ac:dyDescent="0.25">
      <c r="A4261" s="62" t="s">
        <v>4398</v>
      </c>
      <c r="B4261" s="96">
        <v>690613</v>
      </c>
      <c r="C4261" s="96" t="str">
        <f t="shared" si="388"/>
        <v>CPOS690613</v>
      </c>
      <c r="D4261" s="95" t="s">
        <v>4293</v>
      </c>
      <c r="E4261" s="63" t="s">
        <v>58</v>
      </c>
      <c r="F4261" s="64">
        <v>19892.54</v>
      </c>
    </row>
    <row r="4262" spans="1:6" ht="30" x14ac:dyDescent="0.25">
      <c r="A4262" s="62" t="s">
        <v>4398</v>
      </c>
      <c r="B4262" s="96">
        <v>690614</v>
      </c>
      <c r="C4262" s="96" t="str">
        <f t="shared" si="388"/>
        <v>CPOS690614</v>
      </c>
      <c r="D4262" s="95" t="s">
        <v>4294</v>
      </c>
      <c r="E4262" s="63" t="s">
        <v>58</v>
      </c>
      <c r="F4262" s="64">
        <v>24700.37</v>
      </c>
    </row>
    <row r="4263" spans="1:6" ht="30" x14ac:dyDescent="0.25">
      <c r="A4263" s="62" t="s">
        <v>4398</v>
      </c>
      <c r="B4263" s="96">
        <v>690620</v>
      </c>
      <c r="C4263" s="96" t="str">
        <f t="shared" si="388"/>
        <v>CPOS690620</v>
      </c>
      <c r="D4263" s="95" t="s">
        <v>4295</v>
      </c>
      <c r="E4263" s="63" t="s">
        <v>58</v>
      </c>
      <c r="F4263" s="64">
        <v>35737.1</v>
      </c>
    </row>
    <row r="4264" spans="1:6" ht="30" x14ac:dyDescent="0.25">
      <c r="A4264" s="62" t="s">
        <v>4398</v>
      </c>
      <c r="B4264" s="96">
        <v>690621</v>
      </c>
      <c r="C4264" s="96" t="str">
        <f t="shared" si="388"/>
        <v>CPOS690621</v>
      </c>
      <c r="D4264" s="95" t="s">
        <v>4296</v>
      </c>
      <c r="E4264" s="63" t="s">
        <v>58</v>
      </c>
      <c r="F4264" s="64">
        <v>98322.59</v>
      </c>
    </row>
    <row r="4265" spans="1:6" ht="30" x14ac:dyDescent="0.25">
      <c r="A4265" s="62" t="s">
        <v>4398</v>
      </c>
      <c r="B4265" s="96">
        <v>690622</v>
      </c>
      <c r="C4265" s="96" t="str">
        <f t="shared" si="388"/>
        <v>CPOS690622</v>
      </c>
      <c r="D4265" s="95" t="s">
        <v>4297</v>
      </c>
      <c r="E4265" s="63" t="s">
        <v>58</v>
      </c>
      <c r="F4265" s="64">
        <v>125084.86</v>
      </c>
    </row>
    <row r="4266" spans="1:6" ht="30" x14ac:dyDescent="0.25">
      <c r="A4266" s="62" t="s">
        <v>4398</v>
      </c>
      <c r="B4266" s="96">
        <v>690623</v>
      </c>
      <c r="C4266" s="96" t="str">
        <f t="shared" si="388"/>
        <v>CPOS690623</v>
      </c>
      <c r="D4266" s="95" t="s">
        <v>4298</v>
      </c>
      <c r="E4266" s="63" t="s">
        <v>58</v>
      </c>
      <c r="F4266" s="64">
        <v>35236.1</v>
      </c>
    </row>
    <row r="4267" spans="1:6" ht="30" x14ac:dyDescent="0.25">
      <c r="A4267" s="62" t="s">
        <v>4398</v>
      </c>
      <c r="B4267" s="96">
        <v>690624</v>
      </c>
      <c r="C4267" s="96" t="str">
        <f t="shared" si="388"/>
        <v>CPOS690624</v>
      </c>
      <c r="D4267" s="95" t="s">
        <v>4299</v>
      </c>
      <c r="E4267" s="63" t="s">
        <v>58</v>
      </c>
      <c r="F4267" s="64">
        <v>36168.78</v>
      </c>
    </row>
    <row r="4268" spans="1:6" ht="30" x14ac:dyDescent="0.25">
      <c r="A4268" s="62" t="s">
        <v>4398</v>
      </c>
      <c r="B4268" s="96">
        <v>690628</v>
      </c>
      <c r="C4268" s="96" t="str">
        <f t="shared" si="388"/>
        <v>CPOS690628</v>
      </c>
      <c r="D4268" s="95" t="s">
        <v>4300</v>
      </c>
      <c r="E4268" s="63" t="s">
        <v>58</v>
      </c>
      <c r="F4268" s="64">
        <v>18172.61</v>
      </c>
    </row>
    <row r="4269" spans="1:6" ht="30" x14ac:dyDescent="0.25">
      <c r="A4269" s="62" t="s">
        <v>4398</v>
      </c>
      <c r="B4269" s="96">
        <v>690629</v>
      </c>
      <c r="C4269" s="96" t="str">
        <f t="shared" si="388"/>
        <v>CPOS690629</v>
      </c>
      <c r="D4269" s="95" t="s">
        <v>4301</v>
      </c>
      <c r="E4269" s="63" t="s">
        <v>58</v>
      </c>
      <c r="F4269" s="64">
        <v>28542.89</v>
      </c>
    </row>
    <row r="4270" spans="1:6" ht="30" x14ac:dyDescent="0.25">
      <c r="A4270" s="62" t="s">
        <v>4398</v>
      </c>
      <c r="B4270" s="96">
        <v>690630</v>
      </c>
      <c r="C4270" s="96" t="str">
        <f t="shared" si="388"/>
        <v>CPOS690630</v>
      </c>
      <c r="D4270" s="95" t="s">
        <v>4302</v>
      </c>
      <c r="E4270" s="63" t="s">
        <v>58</v>
      </c>
      <c r="F4270" s="64">
        <v>80084.73</v>
      </c>
    </row>
    <row r="4271" spans="1:6" ht="30" x14ac:dyDescent="0.25">
      <c r="A4271" s="62" t="s">
        <v>4398</v>
      </c>
      <c r="B4271" s="96">
        <v>690632</v>
      </c>
      <c r="C4271" s="96" t="str">
        <f t="shared" si="388"/>
        <v>CPOS690632</v>
      </c>
      <c r="D4271" s="95" t="s">
        <v>4303</v>
      </c>
      <c r="E4271" s="63" t="s">
        <v>58</v>
      </c>
      <c r="F4271" s="64">
        <v>20903.93</v>
      </c>
    </row>
    <row r="4272" spans="1:6" x14ac:dyDescent="0.25">
      <c r="D4272" s="94" t="s">
        <v>4304</v>
      </c>
    </row>
    <row r="4273" spans="1:6" x14ac:dyDescent="0.25">
      <c r="A4273" s="62" t="s">
        <v>4398</v>
      </c>
      <c r="B4273" s="96">
        <v>690801</v>
      </c>
      <c r="C4273" s="96" t="str">
        <f>A4273&amp;B4273</f>
        <v>CPOS690801</v>
      </c>
      <c r="D4273" s="95" t="s">
        <v>4305</v>
      </c>
      <c r="E4273" s="63" t="s">
        <v>58</v>
      </c>
      <c r="F4273" s="64">
        <v>486.48</v>
      </c>
    </row>
    <row r="4274" spans="1:6" x14ac:dyDescent="0.25">
      <c r="D4274" s="94" t="s">
        <v>4306</v>
      </c>
    </row>
    <row r="4275" spans="1:6" x14ac:dyDescent="0.25">
      <c r="A4275" s="62" t="s">
        <v>4398</v>
      </c>
      <c r="B4275" s="96">
        <v>690925</v>
      </c>
      <c r="C4275" s="96" t="str">
        <f t="shared" ref="C4275:C4279" si="389">A4275&amp;B4275</f>
        <v>CPOS690925</v>
      </c>
      <c r="D4275" s="95" t="s">
        <v>4307</v>
      </c>
      <c r="E4275" s="63" t="s">
        <v>58</v>
      </c>
      <c r="F4275" s="64">
        <v>30.740000000000002</v>
      </c>
    </row>
    <row r="4276" spans="1:6" x14ac:dyDescent="0.25">
      <c r="A4276" s="62" t="s">
        <v>4398</v>
      </c>
      <c r="B4276" s="96">
        <v>690926</v>
      </c>
      <c r="C4276" s="96" t="str">
        <f t="shared" si="389"/>
        <v>CPOS690926</v>
      </c>
      <c r="D4276" s="95" t="s">
        <v>4308</v>
      </c>
      <c r="E4276" s="63" t="s">
        <v>58</v>
      </c>
      <c r="F4276" s="64">
        <v>611.39</v>
      </c>
    </row>
    <row r="4277" spans="1:6" x14ac:dyDescent="0.25">
      <c r="A4277" s="62" t="s">
        <v>4398</v>
      </c>
      <c r="B4277" s="96">
        <v>690930</v>
      </c>
      <c r="C4277" s="96" t="str">
        <f t="shared" si="389"/>
        <v>CPOS690930</v>
      </c>
      <c r="D4277" s="95" t="s">
        <v>4309</v>
      </c>
      <c r="E4277" s="63" t="s">
        <v>58</v>
      </c>
      <c r="F4277" s="64">
        <v>354.32</v>
      </c>
    </row>
    <row r="4278" spans="1:6" x14ac:dyDescent="0.25">
      <c r="A4278" s="62" t="s">
        <v>4398</v>
      </c>
      <c r="B4278" s="96">
        <v>690936</v>
      </c>
      <c r="C4278" s="96" t="str">
        <f t="shared" si="389"/>
        <v>CPOS690936</v>
      </c>
      <c r="D4278" s="95" t="s">
        <v>4310</v>
      </c>
      <c r="E4278" s="63" t="s">
        <v>58</v>
      </c>
      <c r="F4278" s="64">
        <v>92.74</v>
      </c>
    </row>
    <row r="4279" spans="1:6" x14ac:dyDescent="0.25">
      <c r="A4279" s="62" t="s">
        <v>4398</v>
      </c>
      <c r="B4279" s="96">
        <v>690937</v>
      </c>
      <c r="C4279" s="96" t="str">
        <f t="shared" si="389"/>
        <v>CPOS690937</v>
      </c>
      <c r="D4279" s="95" t="s">
        <v>4311</v>
      </c>
      <c r="E4279" s="63" t="s">
        <v>58</v>
      </c>
      <c r="F4279" s="64">
        <v>1415.03</v>
      </c>
    </row>
    <row r="4280" spans="1:6" x14ac:dyDescent="0.25">
      <c r="D4280" s="94" t="s">
        <v>4312</v>
      </c>
    </row>
    <row r="4281" spans="1:6" x14ac:dyDescent="0.25">
      <c r="A4281" s="62" t="s">
        <v>4398</v>
      </c>
      <c r="B4281" s="96">
        <v>691013</v>
      </c>
      <c r="C4281" s="96" t="str">
        <f t="shared" ref="C4281:C4282" si="390">A4281&amp;B4281</f>
        <v>CPOS691013</v>
      </c>
      <c r="D4281" s="95" t="s">
        <v>4313</v>
      </c>
      <c r="E4281" s="63" t="s">
        <v>58</v>
      </c>
      <c r="F4281" s="64">
        <v>481.89</v>
      </c>
    </row>
    <row r="4282" spans="1:6" x14ac:dyDescent="0.25">
      <c r="A4282" s="62" t="s">
        <v>4398</v>
      </c>
      <c r="B4282" s="96">
        <v>691014</v>
      </c>
      <c r="C4282" s="96" t="str">
        <f t="shared" si="390"/>
        <v>CPOS691014</v>
      </c>
      <c r="D4282" s="95" t="s">
        <v>4314</v>
      </c>
      <c r="E4282" s="63" t="s">
        <v>117</v>
      </c>
      <c r="F4282" s="64">
        <v>534.53</v>
      </c>
    </row>
    <row r="4283" spans="1:6" x14ac:dyDescent="0.25">
      <c r="D4283" s="94" t="s">
        <v>693</v>
      </c>
    </row>
    <row r="4284" spans="1:6" x14ac:dyDescent="0.25">
      <c r="A4284" s="62" t="s">
        <v>4398</v>
      </c>
      <c r="B4284" s="96">
        <v>692001</v>
      </c>
      <c r="C4284" s="96" t="str">
        <f t="shared" ref="C4284:C4308" si="391">A4284&amp;B4284</f>
        <v>CPOS692001</v>
      </c>
      <c r="D4284" s="95" t="s">
        <v>4315</v>
      </c>
      <c r="E4284" s="63" t="s">
        <v>110</v>
      </c>
      <c r="F4284" s="64">
        <v>2.86</v>
      </c>
    </row>
    <row r="4285" spans="1:6" x14ac:dyDescent="0.25">
      <c r="A4285" s="62" t="s">
        <v>4398</v>
      </c>
      <c r="B4285" s="96">
        <v>692002</v>
      </c>
      <c r="C4285" s="96" t="str">
        <f t="shared" si="391"/>
        <v>CPOS692002</v>
      </c>
      <c r="D4285" s="95" t="s">
        <v>4316</v>
      </c>
      <c r="E4285" s="63" t="s">
        <v>58</v>
      </c>
      <c r="F4285" s="64">
        <v>11.26</v>
      </c>
    </row>
    <row r="4286" spans="1:6" x14ac:dyDescent="0.25">
      <c r="A4286" s="62" t="s">
        <v>4398</v>
      </c>
      <c r="B4286" s="96">
        <v>692003</v>
      </c>
      <c r="C4286" s="96" t="str">
        <f t="shared" si="391"/>
        <v>CPOS692003</v>
      </c>
      <c r="D4286" s="95" t="s">
        <v>4317</v>
      </c>
      <c r="E4286" s="63" t="s">
        <v>58</v>
      </c>
      <c r="F4286" s="64">
        <v>14.93</v>
      </c>
    </row>
    <row r="4287" spans="1:6" x14ac:dyDescent="0.25">
      <c r="A4287" s="62" t="s">
        <v>4398</v>
      </c>
      <c r="B4287" s="96">
        <v>692004</v>
      </c>
      <c r="C4287" s="96" t="str">
        <f t="shared" si="391"/>
        <v>CPOS692004</v>
      </c>
      <c r="D4287" s="95" t="s">
        <v>4318</v>
      </c>
      <c r="E4287" s="63" t="s">
        <v>58</v>
      </c>
      <c r="F4287" s="64">
        <v>8.15</v>
      </c>
    </row>
    <row r="4288" spans="1:6" x14ac:dyDescent="0.25">
      <c r="A4288" s="62" t="s">
        <v>4398</v>
      </c>
      <c r="B4288" s="96">
        <v>692005</v>
      </c>
      <c r="C4288" s="96" t="str">
        <f t="shared" si="391"/>
        <v>CPOS692005</v>
      </c>
      <c r="D4288" s="95" t="s">
        <v>4319</v>
      </c>
      <c r="E4288" s="63" t="s">
        <v>58</v>
      </c>
      <c r="F4288" s="64">
        <v>6.3900000000000006</v>
      </c>
    </row>
    <row r="4289" spans="1:6" x14ac:dyDescent="0.25">
      <c r="A4289" s="62" t="s">
        <v>4398</v>
      </c>
      <c r="B4289" s="96">
        <v>692007</v>
      </c>
      <c r="C4289" s="96" t="str">
        <f t="shared" si="391"/>
        <v>CPOS692007</v>
      </c>
      <c r="D4289" s="95" t="s">
        <v>4320</v>
      </c>
      <c r="E4289" s="63" t="s">
        <v>58</v>
      </c>
      <c r="F4289" s="64">
        <v>6.66</v>
      </c>
    </row>
    <row r="4290" spans="1:6" x14ac:dyDescent="0.25">
      <c r="A4290" s="62" t="s">
        <v>4398</v>
      </c>
      <c r="B4290" s="96">
        <v>692010</v>
      </c>
      <c r="C4290" s="96" t="str">
        <f t="shared" si="391"/>
        <v>CPOS692010</v>
      </c>
      <c r="D4290" s="95" t="s">
        <v>4321</v>
      </c>
      <c r="E4290" s="63" t="s">
        <v>58</v>
      </c>
      <c r="F4290" s="64">
        <v>157.54</v>
      </c>
    </row>
    <row r="4291" spans="1:6" x14ac:dyDescent="0.25">
      <c r="A4291" s="62" t="s">
        <v>4398</v>
      </c>
      <c r="B4291" s="96">
        <v>692011</v>
      </c>
      <c r="C4291" s="96" t="str">
        <f t="shared" si="391"/>
        <v>CPOS692011</v>
      </c>
      <c r="D4291" s="95" t="s">
        <v>4322</v>
      </c>
      <c r="E4291" s="63" t="s">
        <v>58</v>
      </c>
      <c r="F4291" s="64">
        <v>339.36</v>
      </c>
    </row>
    <row r="4292" spans="1:6" x14ac:dyDescent="0.25">
      <c r="A4292" s="62" t="s">
        <v>4398</v>
      </c>
      <c r="B4292" s="96">
        <v>692013</v>
      </c>
      <c r="C4292" s="96" t="str">
        <f t="shared" si="391"/>
        <v>CPOS692013</v>
      </c>
      <c r="D4292" s="95" t="s">
        <v>4323</v>
      </c>
      <c r="E4292" s="63" t="s">
        <v>58</v>
      </c>
      <c r="F4292" s="64">
        <v>12.02</v>
      </c>
    </row>
    <row r="4293" spans="1:6" x14ac:dyDescent="0.25">
      <c r="A4293" s="62" t="s">
        <v>4398</v>
      </c>
      <c r="B4293" s="96">
        <v>692014</v>
      </c>
      <c r="C4293" s="96" t="str">
        <f t="shared" si="391"/>
        <v>CPOS692014</v>
      </c>
      <c r="D4293" s="95" t="s">
        <v>4324</v>
      </c>
      <c r="E4293" s="63" t="s">
        <v>58</v>
      </c>
      <c r="F4293" s="64">
        <v>24.3</v>
      </c>
    </row>
    <row r="4294" spans="1:6" x14ac:dyDescent="0.25">
      <c r="A4294" s="62" t="s">
        <v>4398</v>
      </c>
      <c r="B4294" s="96">
        <v>692017</v>
      </c>
      <c r="C4294" s="96" t="str">
        <f t="shared" si="391"/>
        <v>CPOS692017</v>
      </c>
      <c r="D4294" s="95" t="s">
        <v>4325</v>
      </c>
      <c r="E4294" s="63" t="s">
        <v>58</v>
      </c>
      <c r="F4294" s="64">
        <v>61.75</v>
      </c>
    </row>
    <row r="4295" spans="1:6" x14ac:dyDescent="0.25">
      <c r="A4295" s="62" t="s">
        <v>4398</v>
      </c>
      <c r="B4295" s="96">
        <v>692018</v>
      </c>
      <c r="C4295" s="96" t="str">
        <f t="shared" si="391"/>
        <v>CPOS692018</v>
      </c>
      <c r="D4295" s="95" t="s">
        <v>4326</v>
      </c>
      <c r="E4295" s="63" t="s">
        <v>58</v>
      </c>
      <c r="F4295" s="64">
        <v>75.650000000000006</v>
      </c>
    </row>
    <row r="4296" spans="1:6" x14ac:dyDescent="0.25">
      <c r="A4296" s="62" t="s">
        <v>4398</v>
      </c>
      <c r="B4296" s="96">
        <v>692020</v>
      </c>
      <c r="C4296" s="96" t="str">
        <f t="shared" si="391"/>
        <v>CPOS692020</v>
      </c>
      <c r="D4296" s="95" t="s">
        <v>4327</v>
      </c>
      <c r="E4296" s="63" t="s">
        <v>58</v>
      </c>
      <c r="F4296" s="64">
        <v>60.11</v>
      </c>
    </row>
    <row r="4297" spans="1:6" x14ac:dyDescent="0.25">
      <c r="A4297" s="62" t="s">
        <v>4398</v>
      </c>
      <c r="B4297" s="96">
        <v>692021</v>
      </c>
      <c r="C4297" s="96" t="str">
        <f t="shared" si="391"/>
        <v>CPOS692021</v>
      </c>
      <c r="D4297" s="95" t="s">
        <v>4328</v>
      </c>
      <c r="E4297" s="63" t="s">
        <v>58</v>
      </c>
      <c r="F4297" s="64">
        <v>121.88</v>
      </c>
    </row>
    <row r="4298" spans="1:6" x14ac:dyDescent="0.25">
      <c r="A4298" s="62" t="s">
        <v>4398</v>
      </c>
      <c r="B4298" s="96">
        <v>692022</v>
      </c>
      <c r="C4298" s="96" t="str">
        <f t="shared" si="391"/>
        <v>CPOS692022</v>
      </c>
      <c r="D4298" s="95" t="s">
        <v>4329</v>
      </c>
      <c r="E4298" s="63" t="s">
        <v>58</v>
      </c>
      <c r="F4298" s="64">
        <v>174.85</v>
      </c>
    </row>
    <row r="4299" spans="1:6" x14ac:dyDescent="0.25">
      <c r="A4299" s="62" t="s">
        <v>4398</v>
      </c>
      <c r="B4299" s="96">
        <v>692023</v>
      </c>
      <c r="C4299" s="96" t="str">
        <f t="shared" si="391"/>
        <v>CPOS692023</v>
      </c>
      <c r="D4299" s="95" t="s">
        <v>4330</v>
      </c>
      <c r="E4299" s="63" t="s">
        <v>58</v>
      </c>
      <c r="F4299" s="64">
        <v>71.83</v>
      </c>
    </row>
    <row r="4300" spans="1:6" x14ac:dyDescent="0.25">
      <c r="A4300" s="62" t="s">
        <v>4398</v>
      </c>
      <c r="B4300" s="96">
        <v>692024</v>
      </c>
      <c r="C4300" s="96" t="str">
        <f t="shared" si="391"/>
        <v>CPOS692024</v>
      </c>
      <c r="D4300" s="95" t="s">
        <v>4331</v>
      </c>
      <c r="E4300" s="63" t="s">
        <v>58</v>
      </c>
      <c r="F4300" s="64">
        <v>83.210000000000008</v>
      </c>
    </row>
    <row r="4301" spans="1:6" x14ac:dyDescent="0.25">
      <c r="A4301" s="62" t="s">
        <v>4398</v>
      </c>
      <c r="B4301" s="96">
        <v>692025</v>
      </c>
      <c r="C4301" s="96" t="str">
        <f t="shared" si="391"/>
        <v>CPOS692025</v>
      </c>
      <c r="D4301" s="95" t="s">
        <v>4332</v>
      </c>
      <c r="E4301" s="63" t="s">
        <v>58</v>
      </c>
      <c r="F4301" s="64">
        <v>13.49</v>
      </c>
    </row>
    <row r="4302" spans="1:6" x14ac:dyDescent="0.25">
      <c r="A4302" s="62" t="s">
        <v>4398</v>
      </c>
      <c r="B4302" s="96">
        <v>692026</v>
      </c>
      <c r="C4302" s="96" t="str">
        <f t="shared" si="391"/>
        <v>CPOS692026</v>
      </c>
      <c r="D4302" s="95" t="s">
        <v>4333</v>
      </c>
      <c r="E4302" s="63" t="s">
        <v>58</v>
      </c>
      <c r="F4302" s="64">
        <v>32.74</v>
      </c>
    </row>
    <row r="4303" spans="1:6" x14ac:dyDescent="0.25">
      <c r="A4303" s="62" t="s">
        <v>4398</v>
      </c>
      <c r="B4303" s="96">
        <v>692027</v>
      </c>
      <c r="C4303" s="96" t="str">
        <f t="shared" si="391"/>
        <v>CPOS692027</v>
      </c>
      <c r="D4303" s="95" t="s">
        <v>4334</v>
      </c>
      <c r="E4303" s="63" t="s">
        <v>58</v>
      </c>
      <c r="F4303" s="64">
        <v>12.09</v>
      </c>
    </row>
    <row r="4304" spans="1:6" x14ac:dyDescent="0.25">
      <c r="A4304" s="62" t="s">
        <v>4398</v>
      </c>
      <c r="B4304" s="96">
        <v>692028</v>
      </c>
      <c r="C4304" s="96" t="str">
        <f t="shared" si="391"/>
        <v>CPOS692028</v>
      </c>
      <c r="D4304" s="95" t="s">
        <v>4335</v>
      </c>
      <c r="E4304" s="63" t="s">
        <v>58</v>
      </c>
      <c r="F4304" s="64">
        <v>15.120000000000001</v>
      </c>
    </row>
    <row r="4305" spans="1:6" x14ac:dyDescent="0.25">
      <c r="A4305" s="62" t="s">
        <v>4398</v>
      </c>
      <c r="B4305" s="96">
        <v>692029</v>
      </c>
      <c r="C4305" s="96" t="str">
        <f t="shared" si="391"/>
        <v>CPOS692029</v>
      </c>
      <c r="D4305" s="95" t="s">
        <v>4336</v>
      </c>
      <c r="E4305" s="63" t="s">
        <v>58</v>
      </c>
      <c r="F4305" s="64">
        <v>12.8</v>
      </c>
    </row>
    <row r="4306" spans="1:6" x14ac:dyDescent="0.25">
      <c r="A4306" s="62" t="s">
        <v>4398</v>
      </c>
      <c r="B4306" s="96">
        <v>692030</v>
      </c>
      <c r="C4306" s="96" t="str">
        <f t="shared" si="391"/>
        <v>CPOS692030</v>
      </c>
      <c r="D4306" s="95" t="s">
        <v>4337</v>
      </c>
      <c r="E4306" s="63" t="s">
        <v>58</v>
      </c>
      <c r="F4306" s="64">
        <v>43.36</v>
      </c>
    </row>
    <row r="4307" spans="1:6" x14ac:dyDescent="0.25">
      <c r="A4307" s="62" t="s">
        <v>4398</v>
      </c>
      <c r="B4307" s="96">
        <v>692034</v>
      </c>
      <c r="C4307" s="96" t="str">
        <f t="shared" si="391"/>
        <v>CPOS692034</v>
      </c>
      <c r="D4307" s="95" t="s">
        <v>4338</v>
      </c>
      <c r="E4307" s="63" t="s">
        <v>117</v>
      </c>
      <c r="F4307" s="64">
        <v>12.8</v>
      </c>
    </row>
    <row r="4308" spans="1:6" x14ac:dyDescent="0.25">
      <c r="A4308" s="62" t="s">
        <v>4398</v>
      </c>
      <c r="B4308" s="96">
        <v>692035</v>
      </c>
      <c r="C4308" s="96" t="str">
        <f t="shared" si="391"/>
        <v>CPOS692035</v>
      </c>
      <c r="D4308" s="95" t="s">
        <v>4339</v>
      </c>
      <c r="E4308" s="63" t="s">
        <v>58</v>
      </c>
      <c r="F4308" s="64">
        <v>95.11</v>
      </c>
    </row>
    <row r="4309" spans="1:6" x14ac:dyDescent="0.25">
      <c r="D4309" s="94" t="s">
        <v>4340</v>
      </c>
    </row>
    <row r="4310" spans="1:6" x14ac:dyDescent="0.25">
      <c r="D4310" s="94" t="s">
        <v>4341</v>
      </c>
    </row>
    <row r="4311" spans="1:6" x14ac:dyDescent="0.25">
      <c r="A4311" s="62" t="s">
        <v>4398</v>
      </c>
      <c r="B4311" s="96">
        <v>970101</v>
      </c>
      <c r="C4311" s="96" t="str">
        <f>A4311&amp;B4311</f>
        <v>CPOS970101</v>
      </c>
      <c r="D4311" s="95" t="s">
        <v>4342</v>
      </c>
      <c r="E4311" s="63" t="s">
        <v>58</v>
      </c>
      <c r="F4311" s="64">
        <v>18.48</v>
      </c>
    </row>
    <row r="4312" spans="1:6" x14ac:dyDescent="0.25">
      <c r="D4312" s="94" t="s">
        <v>4343</v>
      </c>
    </row>
    <row r="4313" spans="1:6" x14ac:dyDescent="0.25">
      <c r="A4313" s="62" t="s">
        <v>4398</v>
      </c>
      <c r="B4313" s="96">
        <v>970203</v>
      </c>
      <c r="C4313" s="96" t="str">
        <f t="shared" ref="C4313:C4315" si="392">A4313&amp;B4313</f>
        <v>CPOS970203</v>
      </c>
      <c r="D4313" s="95" t="s">
        <v>4344</v>
      </c>
      <c r="E4313" s="63" t="s">
        <v>81</v>
      </c>
      <c r="F4313" s="64">
        <v>3348.19</v>
      </c>
    </row>
    <row r="4314" spans="1:6" x14ac:dyDescent="0.25">
      <c r="A4314" s="62" t="s">
        <v>4398</v>
      </c>
      <c r="B4314" s="96">
        <v>970219</v>
      </c>
      <c r="C4314" s="96" t="str">
        <f t="shared" si="392"/>
        <v>CPOS970219</v>
      </c>
      <c r="D4314" s="95" t="s">
        <v>4345</v>
      </c>
      <c r="E4314" s="63" t="s">
        <v>81</v>
      </c>
      <c r="F4314" s="64">
        <v>733.75</v>
      </c>
    </row>
    <row r="4315" spans="1:6" x14ac:dyDescent="0.25">
      <c r="A4315" s="62" t="s">
        <v>4398</v>
      </c>
      <c r="B4315" s="96">
        <v>970221</v>
      </c>
      <c r="C4315" s="96" t="str">
        <f t="shared" si="392"/>
        <v>CPOS970221</v>
      </c>
      <c r="D4315" s="95" t="s">
        <v>4346</v>
      </c>
      <c r="E4315" s="63" t="s">
        <v>58</v>
      </c>
      <c r="F4315" s="64">
        <v>141.38999999999999</v>
      </c>
    </row>
    <row r="4316" spans="1:6" x14ac:dyDescent="0.25">
      <c r="D4316" s="94" t="s">
        <v>4347</v>
      </c>
    </row>
    <row r="4317" spans="1:6" x14ac:dyDescent="0.25">
      <c r="A4317" s="62" t="s">
        <v>4398</v>
      </c>
      <c r="B4317" s="96">
        <v>970301</v>
      </c>
      <c r="C4317" s="96" t="str">
        <f>A4317&amp;B4317</f>
        <v>CPOS970301</v>
      </c>
      <c r="D4317" s="95" t="s">
        <v>4348</v>
      </c>
      <c r="E4317" s="63" t="s">
        <v>58</v>
      </c>
      <c r="F4317" s="64">
        <v>33.85</v>
      </c>
    </row>
    <row r="4318" spans="1:6" x14ac:dyDescent="0.25">
      <c r="D4318" s="94" t="s">
        <v>4349</v>
      </c>
    </row>
    <row r="4319" spans="1:6" x14ac:dyDescent="0.25">
      <c r="A4319" s="62" t="s">
        <v>4398</v>
      </c>
      <c r="B4319" s="96">
        <v>970401</v>
      </c>
      <c r="C4319" s="96" t="str">
        <f t="shared" ref="C4319:C4320" si="393">A4319&amp;B4319</f>
        <v>CPOS970401</v>
      </c>
      <c r="D4319" s="95" t="s">
        <v>4350</v>
      </c>
      <c r="E4319" s="63" t="s">
        <v>81</v>
      </c>
      <c r="F4319" s="64">
        <v>17.27</v>
      </c>
    </row>
    <row r="4320" spans="1:6" x14ac:dyDescent="0.25">
      <c r="A4320" s="62" t="s">
        <v>4398</v>
      </c>
      <c r="B4320" s="96">
        <v>970402</v>
      </c>
      <c r="C4320" s="96" t="str">
        <f t="shared" si="393"/>
        <v>CPOS970402</v>
      </c>
      <c r="D4320" s="95" t="s">
        <v>4351</v>
      </c>
      <c r="E4320" s="63" t="s">
        <v>81</v>
      </c>
      <c r="F4320" s="64">
        <v>36.44</v>
      </c>
    </row>
    <row r="4321" spans="1:6" x14ac:dyDescent="0.25">
      <c r="D4321" s="94" t="s">
        <v>4352</v>
      </c>
    </row>
    <row r="4322" spans="1:6" ht="30" x14ac:dyDescent="0.25">
      <c r="A4322" s="62" t="s">
        <v>4398</v>
      </c>
      <c r="B4322" s="96">
        <v>970507</v>
      </c>
      <c r="C4322" s="96" t="str">
        <f t="shared" ref="C4322:C4326" si="394">A4322&amp;B4322</f>
        <v>CPOS970507</v>
      </c>
      <c r="D4322" s="95" t="s">
        <v>4353</v>
      </c>
      <c r="E4322" s="63" t="s">
        <v>58</v>
      </c>
      <c r="F4322" s="64">
        <v>72.63</v>
      </c>
    </row>
    <row r="4323" spans="1:6" ht="30" x14ac:dyDescent="0.25">
      <c r="A4323" s="62" t="s">
        <v>4398</v>
      </c>
      <c r="B4323" s="96">
        <v>970508</v>
      </c>
      <c r="C4323" s="96" t="str">
        <f t="shared" si="394"/>
        <v>CPOS970508</v>
      </c>
      <c r="D4323" s="95" t="s">
        <v>4354</v>
      </c>
      <c r="E4323" s="63" t="s">
        <v>58</v>
      </c>
      <c r="F4323" s="64">
        <v>23.59</v>
      </c>
    </row>
    <row r="4324" spans="1:6" x14ac:dyDescent="0.25">
      <c r="A4324" s="62" t="s">
        <v>4398</v>
      </c>
      <c r="B4324" s="96">
        <v>970510</v>
      </c>
      <c r="C4324" s="96" t="str">
        <f t="shared" si="394"/>
        <v>CPOS970510</v>
      </c>
      <c r="D4324" s="95" t="s">
        <v>4355</v>
      </c>
      <c r="E4324" s="63" t="s">
        <v>81</v>
      </c>
      <c r="F4324" s="64">
        <v>593.95000000000005</v>
      </c>
    </row>
    <row r="4325" spans="1:6" x14ac:dyDescent="0.25">
      <c r="A4325" s="62" t="s">
        <v>4398</v>
      </c>
      <c r="B4325" s="96">
        <v>970513</v>
      </c>
      <c r="C4325" s="96" t="str">
        <f t="shared" si="394"/>
        <v>CPOS970513</v>
      </c>
      <c r="D4325" s="95" t="s">
        <v>4356</v>
      </c>
      <c r="E4325" s="63" t="s">
        <v>81</v>
      </c>
      <c r="F4325" s="64">
        <v>34.25</v>
      </c>
    </row>
    <row r="4326" spans="1:6" x14ac:dyDescent="0.25">
      <c r="A4326" s="62" t="s">
        <v>4398</v>
      </c>
      <c r="B4326" s="96">
        <v>970514</v>
      </c>
      <c r="C4326" s="96" t="str">
        <f t="shared" si="394"/>
        <v>CPOS970514</v>
      </c>
      <c r="D4326" s="95" t="s">
        <v>4357</v>
      </c>
      <c r="E4326" s="63" t="s">
        <v>329</v>
      </c>
      <c r="F4326" s="64">
        <v>14.14</v>
      </c>
    </row>
    <row r="4327" spans="1:6" x14ac:dyDescent="0.25">
      <c r="D4327" s="94" t="s">
        <v>4358</v>
      </c>
    </row>
    <row r="4328" spans="1:6" x14ac:dyDescent="0.25">
      <c r="D4328" s="94" t="s">
        <v>4359</v>
      </c>
    </row>
    <row r="4329" spans="1:6" x14ac:dyDescent="0.25">
      <c r="A4329" s="62" t="s">
        <v>4398</v>
      </c>
      <c r="B4329" s="96">
        <v>980221</v>
      </c>
      <c r="C4329" s="96" t="str">
        <f>A4329&amp;B4329</f>
        <v>CPOS980221</v>
      </c>
      <c r="D4329" s="95" t="s">
        <v>4360</v>
      </c>
      <c r="E4329" s="63" t="s">
        <v>58</v>
      </c>
      <c r="F4329" s="64">
        <v>324.19</v>
      </c>
    </row>
    <row r="4330" spans="1:6" x14ac:dyDescent="0.25">
      <c r="D4330" s="94" t="s">
        <v>693</v>
      </c>
    </row>
    <row r="4331" spans="1:6" x14ac:dyDescent="0.25">
      <c r="A4331" s="62" t="s">
        <v>4398</v>
      </c>
      <c r="B4331" s="96">
        <v>982002</v>
      </c>
      <c r="C4331" s="96" t="str">
        <f>A4331&amp;B4331</f>
        <v>CPOS982002</v>
      </c>
      <c r="D4331" s="95" t="s">
        <v>4361</v>
      </c>
      <c r="E4331" s="63" t="s">
        <v>81</v>
      </c>
      <c r="F4331" s="64">
        <v>162.47999999999999</v>
      </c>
    </row>
    <row r="4333" spans="1:6" x14ac:dyDescent="0.25">
      <c r="A4333" s="238" t="s">
        <v>4703</v>
      </c>
      <c r="B4333" s="234"/>
      <c r="C4333" s="234"/>
      <c r="D4333" s="235"/>
      <c r="E4333" s="236"/>
      <c r="F4333" s="237"/>
    </row>
    <row r="4334" spans="1:6" x14ac:dyDescent="0.25">
      <c r="A4334" s="62" t="s">
        <v>4704</v>
      </c>
      <c r="B4334" s="96">
        <v>1602027</v>
      </c>
      <c r="C4334" s="96" t="str">
        <f t="shared" ref="C4334:C4338" si="395">A4334&amp;B4334</f>
        <v>FDE ADAPTADO1602027</v>
      </c>
      <c r="D4334" s="95" t="s">
        <v>4702</v>
      </c>
      <c r="E4334" s="63" t="s">
        <v>110</v>
      </c>
      <c r="F4334" s="64" t="e">
        <f>VLOOKUP(C4334,CPU!N:Q,4,0)</f>
        <v>#N/A</v>
      </c>
    </row>
    <row r="4335" spans="1:6" x14ac:dyDescent="0.25">
      <c r="A4335" s="62" t="s">
        <v>4704</v>
      </c>
      <c r="B4335" s="96">
        <v>501028</v>
      </c>
      <c r="C4335" s="96" t="str">
        <f t="shared" si="395"/>
        <v>FDE ADAPTADO501028</v>
      </c>
      <c r="D4335" s="95" t="s">
        <v>5075</v>
      </c>
      <c r="E4335" s="63" t="s">
        <v>58</v>
      </c>
      <c r="F4335" s="64">
        <f>VLOOKUP(C4335,CPU!N:Q,4,0)</f>
        <v>256.5</v>
      </c>
    </row>
    <row r="4336" spans="1:6" ht="30" x14ac:dyDescent="0.25">
      <c r="A4336" s="62" t="s">
        <v>4704</v>
      </c>
      <c r="B4336" s="96">
        <v>902053</v>
      </c>
      <c r="C4336" s="96" t="str">
        <f t="shared" si="395"/>
        <v>FDE ADAPTADO902053</v>
      </c>
      <c r="D4336" s="95" t="s">
        <v>5154</v>
      </c>
      <c r="E4336" s="63" t="s">
        <v>58</v>
      </c>
      <c r="F4336" s="64">
        <f>VLOOKUP(C4336,CPU!N:Q,4,0)</f>
        <v>1630.12</v>
      </c>
    </row>
    <row r="4337" spans="1:6" x14ac:dyDescent="0.25">
      <c r="A4337" s="62" t="s">
        <v>4704</v>
      </c>
      <c r="B4337" s="96">
        <v>906026</v>
      </c>
      <c r="C4337" s="96" t="str">
        <f t="shared" si="395"/>
        <v>FDE ADAPTADO906026</v>
      </c>
      <c r="D4337" s="95" t="s">
        <v>5157</v>
      </c>
      <c r="E4337" s="63" t="s">
        <v>58</v>
      </c>
      <c r="F4337" s="64">
        <f>VLOOKUP(C4337,CPU!N:Q,4,0)</f>
        <v>256.57</v>
      </c>
    </row>
    <row r="4338" spans="1:6" ht="30" x14ac:dyDescent="0.25">
      <c r="A4338" s="62" t="s">
        <v>4704</v>
      </c>
      <c r="B4338" s="96">
        <v>703095</v>
      </c>
      <c r="C4338" s="96" t="str">
        <f t="shared" si="395"/>
        <v>FDE ADAPTADO703095</v>
      </c>
      <c r="D4338" s="95" t="s">
        <v>5163</v>
      </c>
      <c r="E4338" s="63" t="s">
        <v>81</v>
      </c>
      <c r="F4338" s="64">
        <f>VLOOKUP(C4338,CPU!N:Q,4,0)</f>
        <v>143.59000000000003</v>
      </c>
    </row>
    <row r="4339" spans="1:6" x14ac:dyDescent="0.25">
      <c r="A4339" s="62" t="s">
        <v>4704</v>
      </c>
      <c r="B4339" s="96">
        <v>1605032</v>
      </c>
      <c r="C4339" s="96" t="str">
        <f t="shared" ref="C4339:C4343" si="396">A4339&amp;B4339</f>
        <v>FDE ADAPTADO1605032</v>
      </c>
      <c r="D4339" s="95" t="s">
        <v>5353</v>
      </c>
      <c r="E4339" s="63" t="s">
        <v>110</v>
      </c>
      <c r="F4339" s="64">
        <f>VLOOKUP(C4339,CPU!N:Q,4,0)</f>
        <v>95.82</v>
      </c>
    </row>
    <row r="4340" spans="1:6" x14ac:dyDescent="0.25">
      <c r="A4340" s="62" t="s">
        <v>4704</v>
      </c>
      <c r="B4340" s="96">
        <v>704051</v>
      </c>
      <c r="C4340" s="96" t="str">
        <f t="shared" ref="C4340:C4342" si="397">A4340&amp;B4340</f>
        <v>FDE ADAPTADO704051</v>
      </c>
      <c r="D4340" s="95" t="s">
        <v>5488</v>
      </c>
      <c r="E4340" s="63" t="s">
        <v>110</v>
      </c>
      <c r="F4340" s="64">
        <f>VLOOKUP(C4340,CPU!N:Q,4,0)</f>
        <v>25.82</v>
      </c>
    </row>
    <row r="4341" spans="1:6" x14ac:dyDescent="0.25">
      <c r="A4341" s="62" t="s">
        <v>4704</v>
      </c>
      <c r="B4341" s="96">
        <v>704052</v>
      </c>
      <c r="C4341" s="96" t="str">
        <f t="shared" si="397"/>
        <v>FDE ADAPTADO704052</v>
      </c>
      <c r="D4341" s="95" t="s">
        <v>5489</v>
      </c>
      <c r="E4341" s="63" t="s">
        <v>110</v>
      </c>
      <c r="F4341" s="64">
        <f>VLOOKUP(C4341,CPU!N:Q,4,0)</f>
        <v>30.43</v>
      </c>
    </row>
    <row r="4342" spans="1:6" x14ac:dyDescent="0.25">
      <c r="A4342" s="62" t="s">
        <v>4704</v>
      </c>
      <c r="B4342" s="96">
        <v>704053</v>
      </c>
      <c r="C4342" s="96" t="str">
        <f t="shared" si="397"/>
        <v>FDE ADAPTADO704053</v>
      </c>
      <c r="D4342" s="95" t="s">
        <v>5490</v>
      </c>
      <c r="E4342" s="63" t="s">
        <v>110</v>
      </c>
      <c r="F4342" s="64">
        <f>VLOOKUP(C4342,CPU!N:Q,4,0)</f>
        <v>38.989999999999995</v>
      </c>
    </row>
    <row r="4343" spans="1:6" x14ac:dyDescent="0.25">
      <c r="A4343" s="62" t="s">
        <v>4704</v>
      </c>
      <c r="B4343" s="96">
        <v>704054</v>
      </c>
      <c r="C4343" s="96" t="str">
        <f t="shared" si="396"/>
        <v>FDE ADAPTADO704054</v>
      </c>
      <c r="D4343" s="95" t="s">
        <v>5491</v>
      </c>
      <c r="E4343" s="63" t="s">
        <v>110</v>
      </c>
      <c r="F4343" s="64">
        <f>VLOOKUP(C4343,CPU!N:Q,4,0)</f>
        <v>66.13</v>
      </c>
    </row>
    <row r="4344" spans="1:6" x14ac:dyDescent="0.25">
      <c r="A4344" s="62" t="s">
        <v>4704</v>
      </c>
      <c r="B4344" s="96">
        <v>704055</v>
      </c>
      <c r="C4344" s="96" t="str">
        <f t="shared" ref="C4344" si="398">A4344&amp;B4344</f>
        <v>FDE ADAPTADO704055</v>
      </c>
      <c r="D4344" s="95" t="s">
        <v>5492</v>
      </c>
      <c r="E4344" s="63" t="s">
        <v>110</v>
      </c>
      <c r="F4344" s="64">
        <f>VLOOKUP(C4344,CPU!N:Q,4,0)</f>
        <v>109.98</v>
      </c>
    </row>
    <row r="4345" spans="1:6" x14ac:dyDescent="0.25">
      <c r="A4345" s="62" t="s">
        <v>4704</v>
      </c>
      <c r="B4345" s="96">
        <v>812097</v>
      </c>
      <c r="C4345" s="96" t="str">
        <f>A4345&amp;B4345</f>
        <v>FDE ADAPTADO812097</v>
      </c>
      <c r="D4345" s="95" t="s">
        <v>5493</v>
      </c>
      <c r="E4345" s="63" t="s">
        <v>110</v>
      </c>
      <c r="F4345" s="64">
        <f>VLOOKUP(C4345,CPU!N:Q,4,0)</f>
        <v>107.96000000000001</v>
      </c>
    </row>
    <row r="4346" spans="1:6" x14ac:dyDescent="0.25">
      <c r="A4346" s="62" t="s">
        <v>4704</v>
      </c>
      <c r="B4346" s="96">
        <v>1618081</v>
      </c>
      <c r="C4346" s="96" t="str">
        <f>A4346&amp;B4346</f>
        <v>FDE ADAPTADO1618081</v>
      </c>
      <c r="D4346" s="95" t="s">
        <v>5495</v>
      </c>
      <c r="E4346" s="63" t="s">
        <v>58</v>
      </c>
      <c r="F4346" s="64">
        <f>VLOOKUP(C4346,CPU!N:Q,4,0)</f>
        <v>9123.35</v>
      </c>
    </row>
    <row r="4347" spans="1:6" x14ac:dyDescent="0.25">
      <c r="A4347" s="238" t="s">
        <v>4814</v>
      </c>
      <c r="B4347" s="234"/>
      <c r="C4347" s="234"/>
      <c r="D4347" s="235"/>
      <c r="E4347" s="236"/>
      <c r="F4347" s="237"/>
    </row>
    <row r="4348" spans="1:6" ht="30" x14ac:dyDescent="0.25">
      <c r="A4348" s="62" t="s">
        <v>5177</v>
      </c>
      <c r="B4348" s="96">
        <v>89395</v>
      </c>
      <c r="C4348" s="96" t="str">
        <f t="shared" ref="C4348:C4353" si="399">A4348&amp;B4348</f>
        <v>SINAPI ADAPTADO89395</v>
      </c>
      <c r="D4348" s="95" t="s">
        <v>5175</v>
      </c>
      <c r="E4348" s="63" t="s">
        <v>58</v>
      </c>
      <c r="F4348" s="64">
        <v>8.36</v>
      </c>
    </row>
    <row r="4349" spans="1:6" ht="30" x14ac:dyDescent="0.25">
      <c r="A4349" s="62" t="s">
        <v>5177</v>
      </c>
      <c r="B4349" s="96">
        <v>89398</v>
      </c>
      <c r="C4349" s="96" t="str">
        <f t="shared" si="399"/>
        <v>SINAPI ADAPTADO89398</v>
      </c>
      <c r="D4349" s="95" t="s">
        <v>5176</v>
      </c>
      <c r="E4349" s="63" t="s">
        <v>58</v>
      </c>
      <c r="F4349" s="64">
        <v>11.28</v>
      </c>
    </row>
    <row r="4350" spans="1:6" ht="30" x14ac:dyDescent="0.25">
      <c r="A4350" s="62" t="s">
        <v>5177</v>
      </c>
      <c r="B4350" s="96" t="s">
        <v>4839</v>
      </c>
      <c r="C4350" s="96" t="str">
        <f t="shared" si="399"/>
        <v>SINAPI ADAPTADO73960/001</v>
      </c>
      <c r="D4350" s="95" t="s">
        <v>4845</v>
      </c>
      <c r="E4350" s="63" t="s">
        <v>58</v>
      </c>
      <c r="F4350" s="64">
        <f>VLOOKUP(C4350,CPU!N:Q,4,0)</f>
        <v>1261.76</v>
      </c>
    </row>
    <row r="4351" spans="1:6" x14ac:dyDescent="0.25">
      <c r="A4351" s="62" t="s">
        <v>5177</v>
      </c>
      <c r="C4351" s="96" t="str">
        <f t="shared" si="399"/>
        <v>SINAPI ADAPTADO</v>
      </c>
    </row>
    <row r="4352" spans="1:6" x14ac:dyDescent="0.25">
      <c r="A4352" s="62" t="s">
        <v>5177</v>
      </c>
      <c r="C4352" s="96" t="str">
        <f t="shared" si="399"/>
        <v>SINAPI ADAPTADO</v>
      </c>
    </row>
    <row r="4353" spans="1:6" x14ac:dyDescent="0.25">
      <c r="A4353" s="62" t="s">
        <v>5177</v>
      </c>
      <c r="C4353" s="96" t="str">
        <f t="shared" si="399"/>
        <v>SINAPI ADAPTADO</v>
      </c>
    </row>
    <row r="4354" spans="1:6" x14ac:dyDescent="0.25">
      <c r="A4354" s="238" t="s">
        <v>4713</v>
      </c>
      <c r="B4354" s="234"/>
      <c r="C4354" s="234"/>
      <c r="D4354" s="235"/>
      <c r="E4354" s="236"/>
      <c r="F4354" s="237"/>
    </row>
    <row r="4355" spans="1:6" x14ac:dyDescent="0.25">
      <c r="A4355" s="62" t="s">
        <v>4715</v>
      </c>
      <c r="B4355" s="96" t="s">
        <v>4739</v>
      </c>
      <c r="C4355" s="96" t="str">
        <f>A4355&amp;B4355</f>
        <v>COMPOSIÇÃOFF-PROJ-001</v>
      </c>
      <c r="D4355" s="95" t="s">
        <v>5420</v>
      </c>
      <c r="E4355" s="63" t="s">
        <v>4798</v>
      </c>
      <c r="F4355" s="64">
        <f>'CPU PRJ'!I9</f>
        <v>199154.69</v>
      </c>
    </row>
    <row r="4356" spans="1:6" x14ac:dyDescent="0.25">
      <c r="A4356" s="62" t="s">
        <v>4715</v>
      </c>
      <c r="B4356" s="96" t="s">
        <v>5409</v>
      </c>
      <c r="C4356" s="96" t="str">
        <f>A4356&amp;B4356</f>
        <v>COMPOSIÇÃOFF-PROJ-002</v>
      </c>
      <c r="D4356" s="95" t="s">
        <v>5413</v>
      </c>
      <c r="E4356" s="63" t="s">
        <v>58</v>
      </c>
      <c r="F4356" s="64" t="e">
        <f>VLOOKUP(C4356,CPU!N:Q,4,0)</f>
        <v>#N/A</v>
      </c>
    </row>
    <row r="4357" spans="1:6" x14ac:dyDescent="0.25">
      <c r="A4357" s="62" t="s">
        <v>4715</v>
      </c>
      <c r="B4357" s="96" t="s">
        <v>4800</v>
      </c>
      <c r="C4357" s="96" t="str">
        <f t="shared" ref="C4357" si="400">A4357&amp;B4357</f>
        <v>COMPOSIÇÃOFF-ADM-001</v>
      </c>
      <c r="D4357" s="95" t="s">
        <v>4928</v>
      </c>
      <c r="E4357" s="63" t="s">
        <v>4740</v>
      </c>
      <c r="F4357" s="64" t="e">
        <f>VLOOKUP(C4357,CPU!N:Q,4,0)</f>
        <v>#N/A</v>
      </c>
    </row>
    <row r="4358" spans="1:6" x14ac:dyDescent="0.25">
      <c r="A4358" s="62" t="s">
        <v>4715</v>
      </c>
      <c r="B4358" s="96" t="s">
        <v>4801</v>
      </c>
      <c r="C4358" s="96" t="str">
        <f t="shared" ref="C4358:C4360" si="401">A4358&amp;B4358</f>
        <v>COMPOSIÇÃOFF-ADM-002</v>
      </c>
      <c r="D4358" s="95" t="s">
        <v>4807</v>
      </c>
      <c r="E4358" s="63" t="s">
        <v>4740</v>
      </c>
      <c r="F4358" s="64" t="e">
        <f>VLOOKUP(C4358,CPU!N:Q,4,0)</f>
        <v>#N/A</v>
      </c>
    </row>
    <row r="4359" spans="1:6" x14ac:dyDescent="0.25">
      <c r="A4359" s="62" t="s">
        <v>4715</v>
      </c>
      <c r="B4359" s="96" t="s">
        <v>4805</v>
      </c>
      <c r="C4359" s="96" t="str">
        <f t="shared" si="401"/>
        <v>COMPOSIÇÃOFF-ADM-003</v>
      </c>
      <c r="D4359" s="95" t="s">
        <v>4808</v>
      </c>
      <c r="E4359" s="63" t="s">
        <v>4740</v>
      </c>
      <c r="F4359" s="64" t="e">
        <f>VLOOKUP(C4359,CPU!N:Q,4,0)</f>
        <v>#N/A</v>
      </c>
    </row>
    <row r="4360" spans="1:6" x14ac:dyDescent="0.25">
      <c r="A4360" s="62" t="s">
        <v>4715</v>
      </c>
      <c r="B4360" s="96" t="s">
        <v>4806</v>
      </c>
      <c r="C4360" s="232" t="str">
        <f t="shared" si="401"/>
        <v>COMPOSIÇÃOFF-ADM-004</v>
      </c>
      <c r="D4360" s="228" t="s">
        <v>4809</v>
      </c>
      <c r="E4360" s="227" t="s">
        <v>4740</v>
      </c>
      <c r="F4360" s="229" t="e">
        <f>VLOOKUP(C4360,CPU!N:Q,4,0)</f>
        <v>#N/A</v>
      </c>
    </row>
    <row r="4361" spans="1:6" x14ac:dyDescent="0.25">
      <c r="A4361" s="227" t="s">
        <v>4715</v>
      </c>
      <c r="B4361" s="319" t="s">
        <v>4835</v>
      </c>
      <c r="C4361" s="232" t="str">
        <f t="shared" ref="C4361" si="402">A4361&amp;B4361</f>
        <v>COMPOSIÇÃOFF-CANT-001</v>
      </c>
      <c r="D4361" s="228" t="s">
        <v>4930</v>
      </c>
      <c r="E4361" s="227" t="s">
        <v>58</v>
      </c>
      <c r="F4361" s="229" t="e">
        <f>VLOOKUP(C4361,CPU!N:Q,4,0)</f>
        <v>#N/A</v>
      </c>
    </row>
    <row r="4362" spans="1:6" x14ac:dyDescent="0.25">
      <c r="A4362" s="227" t="s">
        <v>4715</v>
      </c>
      <c r="B4362" s="319" t="s">
        <v>4847</v>
      </c>
      <c r="C4362" s="232" t="str">
        <f t="shared" ref="C4362" si="403">A4362&amp;B4362</f>
        <v>COMPOSIÇÃOFF-CANT-002</v>
      </c>
      <c r="D4362" s="228" t="s">
        <v>4929</v>
      </c>
      <c r="E4362" s="227" t="s">
        <v>58</v>
      </c>
      <c r="F4362" s="229" t="e">
        <f>VLOOKUP(C4362,CPU!N:Q,4,0)</f>
        <v>#N/A</v>
      </c>
    </row>
    <row r="4363" spans="1:6" x14ac:dyDescent="0.25">
      <c r="A4363" s="227" t="s">
        <v>4715</v>
      </c>
      <c r="B4363" s="319" t="s">
        <v>4932</v>
      </c>
      <c r="C4363" s="232" t="str">
        <f t="shared" ref="C4363:C4364" si="404">A4363&amp;B4363</f>
        <v>COMPOSIÇÃOFF-CANT-003</v>
      </c>
      <c r="D4363" s="228" t="s">
        <v>4931</v>
      </c>
      <c r="E4363" s="227" t="s">
        <v>58</v>
      </c>
      <c r="F4363" s="229" t="e">
        <f>VLOOKUP(C4363,CPU!N:Q,4,0)</f>
        <v>#N/A</v>
      </c>
    </row>
    <row r="4364" spans="1:6" x14ac:dyDescent="0.25">
      <c r="A4364" s="227" t="s">
        <v>4715</v>
      </c>
      <c r="B4364" s="319" t="s">
        <v>4934</v>
      </c>
      <c r="C4364" s="232" t="str">
        <f t="shared" si="404"/>
        <v>COMPOSIÇÃOFF-CANT-004</v>
      </c>
      <c r="D4364" s="228" t="s">
        <v>4933</v>
      </c>
      <c r="E4364" s="227" t="s">
        <v>58</v>
      </c>
      <c r="F4364" s="229" t="e">
        <f>VLOOKUP(C4364,CPU!N:Q,4,0)</f>
        <v>#N/A</v>
      </c>
    </row>
    <row r="4365" spans="1:6" ht="30" x14ac:dyDescent="0.25">
      <c r="A4365" s="62" t="s">
        <v>4715</v>
      </c>
      <c r="B4365" s="96" t="s">
        <v>4716</v>
      </c>
      <c r="C4365" s="96" t="str">
        <f>A4365&amp;B4365</f>
        <v>COMPOSIÇÃOFF-001</v>
      </c>
      <c r="D4365" s="95" t="s">
        <v>4714</v>
      </c>
      <c r="E4365" s="63" t="s">
        <v>58</v>
      </c>
      <c r="F4365" s="64">
        <f>VLOOKUP(C4365,CPU!N:Q,4,0)</f>
        <v>502.64</v>
      </c>
    </row>
    <row r="4366" spans="1:6" x14ac:dyDescent="0.25">
      <c r="A4366" s="62" t="s">
        <v>4715</v>
      </c>
      <c r="B4366" s="96" t="s">
        <v>4737</v>
      </c>
      <c r="C4366" s="96" t="str">
        <f>A4366&amp;B4366</f>
        <v>COMPOSIÇÃOFF-002</v>
      </c>
      <c r="D4366" s="95" t="s">
        <v>4736</v>
      </c>
      <c r="E4366" s="63" t="s">
        <v>58</v>
      </c>
      <c r="F4366" s="64" t="e">
        <f>VLOOKUP(C4366,CPU!N:Q,4,0)</f>
        <v>#N/A</v>
      </c>
    </row>
    <row r="4367" spans="1:6" ht="45" x14ac:dyDescent="0.25">
      <c r="A4367" s="62" t="s">
        <v>4715</v>
      </c>
      <c r="B4367" s="96" t="s">
        <v>4738</v>
      </c>
      <c r="C4367" s="96" t="str">
        <f>A4367&amp;B4367</f>
        <v>COMPOSIÇÃOFF-003</v>
      </c>
      <c r="D4367" s="95" t="s">
        <v>5066</v>
      </c>
      <c r="E4367" s="63" t="s">
        <v>81</v>
      </c>
      <c r="F4367" s="64">
        <f>VLOOKUP(C4367,CPU!N:Q,4,0)</f>
        <v>256.58000000000004</v>
      </c>
    </row>
    <row r="4368" spans="1:6" ht="30" x14ac:dyDescent="0.25">
      <c r="A4368" s="62" t="s">
        <v>4715</v>
      </c>
      <c r="B4368" s="96" t="s">
        <v>4883</v>
      </c>
      <c r="C4368" s="96" t="str">
        <f t="shared" ref="C4368:C4405" si="405">A4368&amp;B4368</f>
        <v>COMPOSIÇÃOFF-004</v>
      </c>
      <c r="D4368" s="95" t="s">
        <v>4939</v>
      </c>
      <c r="E4368" s="63" t="s">
        <v>117</v>
      </c>
      <c r="F4368" s="64">
        <f>VLOOKUP(C4368,CPU!N:Q,4,0)</f>
        <v>27474.94</v>
      </c>
    </row>
    <row r="4369" spans="1:6" ht="30" x14ac:dyDescent="0.25">
      <c r="A4369" s="62" t="s">
        <v>4715</v>
      </c>
      <c r="B4369" s="96" t="s">
        <v>4885</v>
      </c>
      <c r="C4369" s="96" t="str">
        <f t="shared" si="405"/>
        <v>COMPOSIÇÃOFF-005</v>
      </c>
      <c r="D4369" s="95" t="s">
        <v>4940</v>
      </c>
      <c r="E4369" s="63" t="s">
        <v>117</v>
      </c>
      <c r="F4369" s="64">
        <f>VLOOKUP(C4369,CPU!N:Q,4,0)</f>
        <v>110658.24000000001</v>
      </c>
    </row>
    <row r="4370" spans="1:6" ht="30" x14ac:dyDescent="0.25">
      <c r="A4370" s="62" t="s">
        <v>4715</v>
      </c>
      <c r="B4370" s="96" t="s">
        <v>4886</v>
      </c>
      <c r="C4370" s="96" t="str">
        <f t="shared" si="405"/>
        <v>COMPOSIÇÃOFF-006</v>
      </c>
      <c r="D4370" s="95" t="s">
        <v>4941</v>
      </c>
      <c r="E4370" s="63" t="s">
        <v>117</v>
      </c>
      <c r="F4370" s="64">
        <f>VLOOKUP(C4370,CPU!N:Q,4,0)</f>
        <v>25948</v>
      </c>
    </row>
    <row r="4371" spans="1:6" ht="30" x14ac:dyDescent="0.25">
      <c r="A4371" s="62" t="s">
        <v>4715</v>
      </c>
      <c r="B4371" s="96" t="s">
        <v>4887</v>
      </c>
      <c r="C4371" s="96" t="str">
        <f t="shared" si="405"/>
        <v>COMPOSIÇÃOFF-007</v>
      </c>
      <c r="D4371" s="95" t="s">
        <v>4942</v>
      </c>
      <c r="E4371" s="63" t="s">
        <v>117</v>
      </c>
      <c r="F4371" s="64">
        <f>VLOOKUP(C4371,CPU!N:Q,4,0)</f>
        <v>70751.210000000006</v>
      </c>
    </row>
    <row r="4372" spans="1:6" ht="30" x14ac:dyDescent="0.25">
      <c r="A4372" s="62" t="s">
        <v>4715</v>
      </c>
      <c r="B4372" s="96" t="s">
        <v>4888</v>
      </c>
      <c r="C4372" s="96" t="str">
        <f t="shared" si="405"/>
        <v>COMPOSIÇÃOFF-008</v>
      </c>
      <c r="D4372" s="95" t="s">
        <v>5004</v>
      </c>
      <c r="E4372" s="63" t="s">
        <v>58</v>
      </c>
      <c r="F4372" s="64">
        <f>VLOOKUP(C4372,CPU!N:Q,4,0)</f>
        <v>4594.62</v>
      </c>
    </row>
    <row r="4373" spans="1:6" ht="45" x14ac:dyDescent="0.25">
      <c r="A4373" s="62" t="s">
        <v>4715</v>
      </c>
      <c r="B4373" s="96" t="s">
        <v>4889</v>
      </c>
      <c r="C4373" s="96" t="str">
        <f t="shared" si="405"/>
        <v>COMPOSIÇÃOFF-009</v>
      </c>
      <c r="D4373" s="95" t="s">
        <v>5005</v>
      </c>
      <c r="E4373" s="63" t="s">
        <v>58</v>
      </c>
      <c r="F4373" s="64">
        <f>VLOOKUP(C4373,CPU!N:Q,4,0)</f>
        <v>6796.3899999999994</v>
      </c>
    </row>
    <row r="4374" spans="1:6" ht="45" x14ac:dyDescent="0.25">
      <c r="A4374" s="62" t="s">
        <v>4715</v>
      </c>
      <c r="B4374" s="96" t="s">
        <v>4890</v>
      </c>
      <c r="C4374" s="96" t="str">
        <f t="shared" si="405"/>
        <v>COMPOSIÇÃOFF-010</v>
      </c>
      <c r="D4374" s="95" t="s">
        <v>5006</v>
      </c>
      <c r="E4374" s="63" t="s">
        <v>58</v>
      </c>
      <c r="F4374" s="64">
        <f>VLOOKUP(C4374,CPU!N:Q,4,0)</f>
        <v>6796.3899999999994</v>
      </c>
    </row>
    <row r="4375" spans="1:6" ht="45" x14ac:dyDescent="0.25">
      <c r="A4375" s="62" t="s">
        <v>4715</v>
      </c>
      <c r="B4375" s="96" t="s">
        <v>4891</v>
      </c>
      <c r="C4375" s="96" t="str">
        <f t="shared" si="405"/>
        <v>COMPOSIÇÃOFF-011</v>
      </c>
      <c r="D4375" s="95" t="s">
        <v>5007</v>
      </c>
      <c r="E4375" s="63" t="s">
        <v>58</v>
      </c>
      <c r="F4375" s="64">
        <f>VLOOKUP(C4375,CPU!N:Q,4,0)</f>
        <v>6796.3899999999994</v>
      </c>
    </row>
    <row r="4376" spans="1:6" ht="45" x14ac:dyDescent="0.25">
      <c r="A4376" s="62" t="s">
        <v>4715</v>
      </c>
      <c r="B4376" s="96" t="s">
        <v>4892</v>
      </c>
      <c r="C4376" s="96" t="str">
        <f t="shared" si="405"/>
        <v>COMPOSIÇÃOFF-012</v>
      </c>
      <c r="D4376" s="95" t="s">
        <v>5008</v>
      </c>
      <c r="E4376" s="63" t="s">
        <v>58</v>
      </c>
      <c r="F4376" s="64">
        <f>VLOOKUP(C4376,CPU!N:Q,4,0)</f>
        <v>3262.26</v>
      </c>
    </row>
    <row r="4377" spans="1:6" ht="45" x14ac:dyDescent="0.25">
      <c r="A4377" s="62" t="s">
        <v>4715</v>
      </c>
      <c r="B4377" s="96" t="s">
        <v>4893</v>
      </c>
      <c r="C4377" s="96" t="str">
        <f t="shared" si="405"/>
        <v>COMPOSIÇÃOFF-013</v>
      </c>
      <c r="D4377" s="95" t="s">
        <v>5009</v>
      </c>
      <c r="E4377" s="63" t="s">
        <v>58</v>
      </c>
      <c r="F4377" s="64">
        <f>VLOOKUP(C4377,CPU!N:Q,4,0)</f>
        <v>14273.730000000001</v>
      </c>
    </row>
    <row r="4378" spans="1:6" ht="60" x14ac:dyDescent="0.25">
      <c r="A4378" s="62" t="s">
        <v>4715</v>
      </c>
      <c r="B4378" s="96" t="s">
        <v>4894</v>
      </c>
      <c r="C4378" s="96" t="str">
        <f t="shared" si="405"/>
        <v>COMPOSIÇÃOFF-014</v>
      </c>
      <c r="D4378" s="95" t="s">
        <v>5010</v>
      </c>
      <c r="E4378" s="63" t="s">
        <v>58</v>
      </c>
      <c r="F4378" s="64">
        <f>VLOOKUP(C4378,CPU!N:Q,4,0)</f>
        <v>9509.52</v>
      </c>
    </row>
    <row r="4379" spans="1:6" ht="45" x14ac:dyDescent="0.25">
      <c r="A4379" s="62" t="s">
        <v>4715</v>
      </c>
      <c r="B4379" s="96" t="s">
        <v>4895</v>
      </c>
      <c r="C4379" s="96" t="str">
        <f t="shared" si="405"/>
        <v>COMPOSIÇÃOFF-015</v>
      </c>
      <c r="D4379" s="95" t="s">
        <v>5011</v>
      </c>
      <c r="E4379" s="63" t="s">
        <v>58</v>
      </c>
      <c r="F4379" s="64">
        <f>VLOOKUP(C4379,CPU!N:Q,4,0)</f>
        <v>9121.7800000000007</v>
      </c>
    </row>
    <row r="4380" spans="1:6" ht="45" x14ac:dyDescent="0.25">
      <c r="A4380" s="62" t="s">
        <v>4715</v>
      </c>
      <c r="B4380" s="96" t="s">
        <v>4896</v>
      </c>
      <c r="C4380" s="96" t="str">
        <f t="shared" si="405"/>
        <v>COMPOSIÇÃOFF-016</v>
      </c>
      <c r="D4380" s="95" t="s">
        <v>5012</v>
      </c>
      <c r="E4380" s="63" t="s">
        <v>58</v>
      </c>
      <c r="F4380" s="64">
        <f>VLOOKUP(C4380,CPU!N:Q,4,0)</f>
        <v>9121.7800000000007</v>
      </c>
    </row>
    <row r="4381" spans="1:6" ht="60" x14ac:dyDescent="0.25">
      <c r="A4381" s="62" t="s">
        <v>4715</v>
      </c>
      <c r="B4381" s="96" t="s">
        <v>4897</v>
      </c>
      <c r="C4381" s="96" t="str">
        <f t="shared" si="405"/>
        <v>COMPOSIÇÃOFF-017</v>
      </c>
      <c r="D4381" s="95" t="s">
        <v>5013</v>
      </c>
      <c r="E4381" s="63" t="s">
        <v>58</v>
      </c>
      <c r="F4381" s="64">
        <f>VLOOKUP(C4381,CPU!N:Q,4,0)</f>
        <v>9121.7800000000007</v>
      </c>
    </row>
    <row r="4382" spans="1:6" ht="60" x14ac:dyDescent="0.25">
      <c r="A4382" s="62" t="s">
        <v>4715</v>
      </c>
      <c r="B4382" s="96" t="s">
        <v>4898</v>
      </c>
      <c r="C4382" s="96" t="str">
        <f t="shared" si="405"/>
        <v>COMPOSIÇÃOFF-018</v>
      </c>
      <c r="D4382" s="95" t="s">
        <v>5014</v>
      </c>
      <c r="E4382" s="63" t="s">
        <v>58</v>
      </c>
      <c r="F4382" s="64">
        <f>VLOOKUP(C4382,CPU!N:Q,4,0)</f>
        <v>9121.7800000000007</v>
      </c>
    </row>
    <row r="4383" spans="1:6" x14ac:dyDescent="0.25">
      <c r="A4383" s="62" t="s">
        <v>4715</v>
      </c>
      <c r="B4383" s="96" t="s">
        <v>4899</v>
      </c>
      <c r="C4383" s="96" t="str">
        <f t="shared" si="405"/>
        <v>COMPOSIÇÃOFF-019</v>
      </c>
      <c r="D4383" s="95" t="s">
        <v>5015</v>
      </c>
      <c r="E4383" s="63" t="s">
        <v>58</v>
      </c>
      <c r="F4383" s="64">
        <f>VLOOKUP(C4383,CPU!N:Q,4,0)</f>
        <v>3725.69</v>
      </c>
    </row>
    <row r="4384" spans="1:6" x14ac:dyDescent="0.25">
      <c r="A4384" s="62" t="s">
        <v>4715</v>
      </c>
      <c r="B4384" s="96" t="s">
        <v>4900</v>
      </c>
      <c r="C4384" s="96" t="str">
        <f t="shared" si="405"/>
        <v>COMPOSIÇÃOFF-020</v>
      </c>
      <c r="D4384" s="95" t="s">
        <v>5016</v>
      </c>
      <c r="E4384" s="63" t="s">
        <v>58</v>
      </c>
      <c r="F4384" s="64">
        <f>VLOOKUP(C4384,CPU!N:Q,4,0)</f>
        <v>721.28</v>
      </c>
    </row>
    <row r="4385" spans="1:6" x14ac:dyDescent="0.25">
      <c r="A4385" s="62" t="s">
        <v>4715</v>
      </c>
      <c r="B4385" s="96" t="s">
        <v>4901</v>
      </c>
      <c r="C4385" s="96" t="str">
        <f t="shared" si="405"/>
        <v>COMPOSIÇÃOFF-021</v>
      </c>
      <c r="D4385" s="95" t="s">
        <v>5017</v>
      </c>
      <c r="E4385" s="63" t="s">
        <v>58</v>
      </c>
      <c r="F4385" s="64">
        <f>VLOOKUP(C4385,CPU!N:Q,4,0)</f>
        <v>3606.43</v>
      </c>
    </row>
    <row r="4386" spans="1:6" ht="30" x14ac:dyDescent="0.25">
      <c r="A4386" s="62" t="s">
        <v>4715</v>
      </c>
      <c r="B4386" s="96" t="s">
        <v>4902</v>
      </c>
      <c r="C4386" s="96" t="str">
        <f t="shared" si="405"/>
        <v>COMPOSIÇÃOFF-022</v>
      </c>
      <c r="D4386" s="325" t="s">
        <v>5018</v>
      </c>
      <c r="E4386" s="63" t="s">
        <v>58</v>
      </c>
      <c r="F4386" s="64">
        <f>VLOOKUP(C4386,CPU!N:Q,4,0)</f>
        <v>4386.51</v>
      </c>
    </row>
    <row r="4387" spans="1:6" ht="30" x14ac:dyDescent="0.25">
      <c r="A4387" s="62" t="s">
        <v>4715</v>
      </c>
      <c r="B4387" s="96" t="s">
        <v>4903</v>
      </c>
      <c r="C4387" s="96" t="str">
        <f t="shared" si="405"/>
        <v>COMPOSIÇÃOFF-023</v>
      </c>
      <c r="D4387" s="325" t="s">
        <v>5019</v>
      </c>
      <c r="E4387" s="63" t="s">
        <v>58</v>
      </c>
      <c r="F4387" s="64">
        <f>VLOOKUP(C4387,CPU!N:Q,4,0)</f>
        <v>2255.92</v>
      </c>
    </row>
    <row r="4388" spans="1:6" ht="60" customHeight="1" x14ac:dyDescent="0.25">
      <c r="A4388" s="62" t="s">
        <v>4715</v>
      </c>
      <c r="B4388" s="96" t="s">
        <v>4904</v>
      </c>
      <c r="C4388" s="96" t="str">
        <f t="shared" si="405"/>
        <v>COMPOSIÇÃOFF-024</v>
      </c>
      <c r="D4388" s="325" t="s">
        <v>5020</v>
      </c>
      <c r="E4388" s="63" t="s">
        <v>58</v>
      </c>
      <c r="F4388" s="64">
        <f>VLOOKUP(C4388,CPU!N:Q,4,0)</f>
        <v>5691.01</v>
      </c>
    </row>
    <row r="4389" spans="1:6" ht="45" x14ac:dyDescent="0.25">
      <c r="A4389" s="62" t="s">
        <v>4715</v>
      </c>
      <c r="B4389" s="96" t="s">
        <v>4905</v>
      </c>
      <c r="C4389" s="96" t="str">
        <f t="shared" si="405"/>
        <v>COMPOSIÇÃOFF-025</v>
      </c>
      <c r="D4389" s="325" t="s">
        <v>5021</v>
      </c>
      <c r="E4389" s="63" t="s">
        <v>58</v>
      </c>
      <c r="F4389" s="64">
        <f>VLOOKUP(C4389,CPU!N:Q,4,0)</f>
        <v>11419.27</v>
      </c>
    </row>
    <row r="4390" spans="1:6" ht="45" x14ac:dyDescent="0.25">
      <c r="A4390" s="62" t="s">
        <v>4715</v>
      </c>
      <c r="B4390" s="96" t="s">
        <v>4906</v>
      </c>
      <c r="C4390" s="96" t="str">
        <f t="shared" si="405"/>
        <v>COMPOSIÇÃOFF-026</v>
      </c>
      <c r="D4390" s="325" t="s">
        <v>5022</v>
      </c>
      <c r="E4390" s="63" t="s">
        <v>58</v>
      </c>
      <c r="F4390" s="64">
        <f>VLOOKUP(C4390,CPU!N:Q,4,0)</f>
        <v>4235.62</v>
      </c>
    </row>
    <row r="4391" spans="1:6" ht="45" x14ac:dyDescent="0.25">
      <c r="A4391" s="62" t="s">
        <v>4715</v>
      </c>
      <c r="B4391" s="96" t="s">
        <v>4907</v>
      </c>
      <c r="C4391" s="96" t="str">
        <f t="shared" si="405"/>
        <v>COMPOSIÇÃOFF-027</v>
      </c>
      <c r="D4391" s="325" t="s">
        <v>5023</v>
      </c>
      <c r="E4391" s="63" t="s">
        <v>58</v>
      </c>
      <c r="F4391" s="64">
        <f>VLOOKUP(C4391,CPU!N:Q,4,0)</f>
        <v>2478.96</v>
      </c>
    </row>
    <row r="4392" spans="1:6" ht="45" x14ac:dyDescent="0.25">
      <c r="A4392" s="62" t="s">
        <v>4715</v>
      </c>
      <c r="B4392" s="96" t="s">
        <v>4908</v>
      </c>
      <c r="C4392" s="96" t="str">
        <f t="shared" si="405"/>
        <v>COMPOSIÇÃOFF-028</v>
      </c>
      <c r="D4392" s="325" t="s">
        <v>5024</v>
      </c>
      <c r="E4392" s="63" t="s">
        <v>58</v>
      </c>
      <c r="F4392" s="64">
        <f>VLOOKUP(C4392,CPU!N:Q,4,0)</f>
        <v>2831.1</v>
      </c>
    </row>
    <row r="4393" spans="1:6" ht="45" x14ac:dyDescent="0.25">
      <c r="A4393" s="62" t="s">
        <v>4715</v>
      </c>
      <c r="B4393" s="96" t="s">
        <v>4909</v>
      </c>
      <c r="C4393" s="96" t="str">
        <f t="shared" si="405"/>
        <v>COMPOSIÇÃOFF-029</v>
      </c>
      <c r="D4393" s="325" t="s">
        <v>5389</v>
      </c>
      <c r="E4393" s="63" t="s">
        <v>58</v>
      </c>
      <c r="F4393" s="64">
        <f>VLOOKUP(C4393,CPU!N:Q,4,0)</f>
        <v>5451.67</v>
      </c>
    </row>
    <row r="4394" spans="1:6" x14ac:dyDescent="0.25">
      <c r="A4394" s="62" t="s">
        <v>4715</v>
      </c>
      <c r="B4394" s="96" t="s">
        <v>4910</v>
      </c>
      <c r="C4394" s="96" t="str">
        <f t="shared" si="405"/>
        <v>COMPOSIÇÃOFF-031</v>
      </c>
      <c r="D4394" s="95" t="s">
        <v>5028</v>
      </c>
      <c r="E4394" s="63" t="s">
        <v>58</v>
      </c>
      <c r="F4394" s="64">
        <f>VLOOKUP(C4394,CPU!N:Q,4,0)</f>
        <v>131.29</v>
      </c>
    </row>
    <row r="4395" spans="1:6" x14ac:dyDescent="0.25">
      <c r="A4395" s="62" t="s">
        <v>4715</v>
      </c>
      <c r="B4395" s="96" t="s">
        <v>4911</v>
      </c>
      <c r="C4395" s="96" t="str">
        <f t="shared" si="405"/>
        <v>COMPOSIÇÃOFF-032</v>
      </c>
      <c r="D4395" s="95" t="s">
        <v>5029</v>
      </c>
      <c r="E4395" s="63" t="s">
        <v>58</v>
      </c>
      <c r="F4395" s="64">
        <f>VLOOKUP(C4395,CPU!N:Q,4,0)</f>
        <v>118.31</v>
      </c>
    </row>
    <row r="4396" spans="1:6" x14ac:dyDescent="0.25">
      <c r="A4396" s="62" t="s">
        <v>4715</v>
      </c>
      <c r="B4396" s="96" t="s">
        <v>4912</v>
      </c>
      <c r="C4396" s="96" t="str">
        <f t="shared" si="405"/>
        <v>COMPOSIÇÃOFF-033</v>
      </c>
      <c r="D4396" s="95" t="s">
        <v>5030</v>
      </c>
      <c r="E4396" s="63" t="s">
        <v>58</v>
      </c>
      <c r="F4396" s="64">
        <f>VLOOKUP(C4396,CPU!N:Q,4,0)</f>
        <v>169.21</v>
      </c>
    </row>
    <row r="4397" spans="1:6" x14ac:dyDescent="0.25">
      <c r="A4397" s="62" t="s">
        <v>4715</v>
      </c>
      <c r="B4397" s="96" t="s">
        <v>4913</v>
      </c>
      <c r="C4397" s="96" t="str">
        <f t="shared" si="405"/>
        <v>COMPOSIÇÃOFF-034</v>
      </c>
      <c r="D4397" s="95" t="s">
        <v>5031</v>
      </c>
      <c r="E4397" s="63" t="s">
        <v>58</v>
      </c>
      <c r="F4397" s="64">
        <f>VLOOKUP(C4397,CPU!N:Q,4,0)</f>
        <v>171.21</v>
      </c>
    </row>
    <row r="4398" spans="1:6" x14ac:dyDescent="0.25">
      <c r="A4398" s="62" t="s">
        <v>4715</v>
      </c>
      <c r="B4398" s="96" t="s">
        <v>4914</v>
      </c>
      <c r="C4398" s="96" t="str">
        <f t="shared" si="405"/>
        <v>COMPOSIÇÃOFF-035</v>
      </c>
      <c r="D4398" s="95" t="s">
        <v>5032</v>
      </c>
      <c r="E4398" s="63" t="s">
        <v>58</v>
      </c>
      <c r="F4398" s="64">
        <f>VLOOKUP(C4398,CPU!N:Q,4,0)</f>
        <v>91.179999999999993</v>
      </c>
    </row>
    <row r="4399" spans="1:6" x14ac:dyDescent="0.25">
      <c r="A4399" s="62" t="s">
        <v>4715</v>
      </c>
      <c r="B4399" s="96" t="s">
        <v>4915</v>
      </c>
      <c r="C4399" s="96" t="str">
        <f t="shared" si="405"/>
        <v>COMPOSIÇÃOFF-036</v>
      </c>
      <c r="D4399" s="95" t="s">
        <v>5033</v>
      </c>
      <c r="E4399" s="63" t="s">
        <v>58</v>
      </c>
      <c r="F4399" s="64">
        <f>VLOOKUP(C4399,CPU!N:Q,4,0)</f>
        <v>90.179999999999993</v>
      </c>
    </row>
    <row r="4400" spans="1:6" x14ac:dyDescent="0.25">
      <c r="A4400" s="62" t="s">
        <v>4715</v>
      </c>
      <c r="B4400" s="96" t="s">
        <v>4916</v>
      </c>
      <c r="C4400" s="96" t="str">
        <f t="shared" si="405"/>
        <v>COMPOSIÇÃOFF-037</v>
      </c>
      <c r="D4400" s="95" t="s">
        <v>5034</v>
      </c>
      <c r="E4400" s="63" t="s">
        <v>58</v>
      </c>
      <c r="F4400" s="64">
        <f>VLOOKUP(C4400,CPU!N:Q,4,0)</f>
        <v>92.179999999999993</v>
      </c>
    </row>
    <row r="4401" spans="1:6" x14ac:dyDescent="0.25">
      <c r="A4401" s="62" t="s">
        <v>4715</v>
      </c>
      <c r="B4401" s="96" t="s">
        <v>4917</v>
      </c>
      <c r="C4401" s="96" t="str">
        <f t="shared" si="405"/>
        <v>COMPOSIÇÃOFF-038</v>
      </c>
      <c r="D4401" s="95" t="s">
        <v>5027</v>
      </c>
      <c r="E4401" s="63" t="s">
        <v>58</v>
      </c>
      <c r="F4401" s="64">
        <f>VLOOKUP(C4401,CPU!N:Q,4,0)</f>
        <v>30.3</v>
      </c>
    </row>
    <row r="4402" spans="1:6" x14ac:dyDescent="0.25">
      <c r="A4402" s="62" t="s">
        <v>4715</v>
      </c>
      <c r="B4402" s="96" t="s">
        <v>4918</v>
      </c>
      <c r="C4402" s="96" t="str">
        <f t="shared" si="405"/>
        <v>COMPOSIÇÃOFF-039</v>
      </c>
      <c r="D4402" s="95" t="s">
        <v>5026</v>
      </c>
      <c r="E4402" s="63" t="s">
        <v>58</v>
      </c>
      <c r="F4402" s="64">
        <f>VLOOKUP(C4402,CPU!N:Q,4,0)</f>
        <v>69.22999999999999</v>
      </c>
    </row>
    <row r="4403" spans="1:6" x14ac:dyDescent="0.25">
      <c r="A4403" s="62" t="s">
        <v>4715</v>
      </c>
      <c r="B4403" s="96" t="s">
        <v>4919</v>
      </c>
      <c r="C4403" s="96" t="str">
        <f t="shared" si="405"/>
        <v>COMPOSIÇÃOFF-040</v>
      </c>
      <c r="D4403" s="95" t="s">
        <v>5035</v>
      </c>
      <c r="E4403" s="63" t="s">
        <v>58</v>
      </c>
      <c r="F4403" s="64">
        <f>VLOOKUP(C4403,CPU!N:Q,4,0)</f>
        <v>191.17</v>
      </c>
    </row>
    <row r="4404" spans="1:6" x14ac:dyDescent="0.25">
      <c r="A4404" s="62" t="s">
        <v>4715</v>
      </c>
      <c r="B4404" s="96" t="s">
        <v>4920</v>
      </c>
      <c r="C4404" s="96" t="str">
        <f t="shared" si="405"/>
        <v>COMPOSIÇÃOFF-041</v>
      </c>
      <c r="D4404" s="95" t="s">
        <v>5036</v>
      </c>
      <c r="E4404" s="63" t="s">
        <v>58</v>
      </c>
      <c r="F4404" s="64">
        <f>VLOOKUP(C4404,CPU!N:Q,4,0)</f>
        <v>150.25</v>
      </c>
    </row>
    <row r="4405" spans="1:6" x14ac:dyDescent="0.25">
      <c r="A4405" s="62" t="s">
        <v>4715</v>
      </c>
      <c r="B4405" s="96" t="s">
        <v>4921</v>
      </c>
      <c r="C4405" s="96" t="str">
        <f t="shared" si="405"/>
        <v>COMPOSIÇÃOFF-042</v>
      </c>
      <c r="D4405" s="95" t="s">
        <v>5037</v>
      </c>
      <c r="E4405" s="63" t="s">
        <v>58</v>
      </c>
      <c r="F4405" s="64">
        <f>VLOOKUP(C4405,CPU!N:Q,4,0)</f>
        <v>64.239999999999995</v>
      </c>
    </row>
    <row r="4406" spans="1:6" x14ac:dyDescent="0.25">
      <c r="A4406" s="62" t="s">
        <v>4715</v>
      </c>
      <c r="B4406" s="96" t="s">
        <v>4922</v>
      </c>
      <c r="C4406" s="96" t="str">
        <f t="shared" ref="C4406:C4408" si="406">A4406&amp;B4406</f>
        <v>COMPOSIÇÃOFF-043</v>
      </c>
      <c r="D4406" s="95" t="s">
        <v>5038</v>
      </c>
      <c r="E4406" s="63" t="s">
        <v>81</v>
      </c>
      <c r="F4406" s="64">
        <f>VLOOKUP(C4406,CPU!N:Q,4,0)</f>
        <v>29.01</v>
      </c>
    </row>
    <row r="4407" spans="1:6" x14ac:dyDescent="0.25">
      <c r="A4407" s="62" t="s">
        <v>4715</v>
      </c>
      <c r="B4407" s="96" t="s">
        <v>4923</v>
      </c>
      <c r="C4407" s="96" t="str">
        <f t="shared" si="406"/>
        <v>COMPOSIÇÃOFF-044</v>
      </c>
      <c r="D4407" s="95" t="s">
        <v>5039</v>
      </c>
      <c r="E4407" s="63" t="s">
        <v>81</v>
      </c>
      <c r="F4407" s="64">
        <f>VLOOKUP(C4407,CPU!N:Q,4,0)</f>
        <v>49.969999999999992</v>
      </c>
    </row>
    <row r="4408" spans="1:6" x14ac:dyDescent="0.25">
      <c r="A4408" s="62" t="s">
        <v>4715</v>
      </c>
      <c r="B4408" s="96" t="s">
        <v>4924</v>
      </c>
      <c r="C4408" s="96" t="str">
        <f t="shared" si="406"/>
        <v>COMPOSIÇÃOFF-045</v>
      </c>
      <c r="D4408" s="95" t="s">
        <v>5040</v>
      </c>
      <c r="E4408" s="63" t="s">
        <v>81</v>
      </c>
      <c r="F4408" s="64">
        <f>VLOOKUP(C4408,CPU!N:Q,4,0)</f>
        <v>49.969999999999992</v>
      </c>
    </row>
    <row r="4409" spans="1:6" x14ac:dyDescent="0.25">
      <c r="A4409" s="62" t="s">
        <v>4715</v>
      </c>
      <c r="B4409" s="96" t="s">
        <v>4925</v>
      </c>
      <c r="C4409" s="96" t="str">
        <f t="shared" ref="C4409:C4421" si="407">A4409&amp;B4409</f>
        <v>COMPOSIÇÃOFF-046</v>
      </c>
      <c r="D4409" s="95" t="s">
        <v>5046</v>
      </c>
      <c r="E4409" s="63" t="s">
        <v>58</v>
      </c>
      <c r="F4409" s="64">
        <f>VLOOKUP(C4409,CPU!N:Q,4,0)</f>
        <v>211.13</v>
      </c>
    </row>
    <row r="4410" spans="1:6" x14ac:dyDescent="0.25">
      <c r="A4410" s="62" t="s">
        <v>4715</v>
      </c>
      <c r="B4410" s="96" t="s">
        <v>4926</v>
      </c>
      <c r="C4410" s="96" t="str">
        <f t="shared" si="407"/>
        <v>COMPOSIÇÃOFF-047</v>
      </c>
      <c r="D4410" s="95" t="s">
        <v>5047</v>
      </c>
      <c r="E4410" s="63" t="s">
        <v>58</v>
      </c>
      <c r="F4410" s="64">
        <f>VLOOKUP(C4410,CPU!N:Q,4,0)</f>
        <v>646.78000000000009</v>
      </c>
    </row>
    <row r="4411" spans="1:6" x14ac:dyDescent="0.25">
      <c r="A4411" s="62" t="s">
        <v>4715</v>
      </c>
      <c r="B4411" s="96" t="s">
        <v>4927</v>
      </c>
      <c r="C4411" s="96" t="str">
        <f t="shared" si="407"/>
        <v>COMPOSIÇÃOFF-048</v>
      </c>
      <c r="D4411" s="95" t="s">
        <v>5048</v>
      </c>
      <c r="E4411" s="63" t="s">
        <v>58</v>
      </c>
      <c r="F4411" s="64">
        <f>VLOOKUP(C4411,CPU!N:Q,4,0)</f>
        <v>59.430000000000007</v>
      </c>
    </row>
    <row r="4412" spans="1:6" x14ac:dyDescent="0.25">
      <c r="A4412" s="62" t="s">
        <v>4715</v>
      </c>
      <c r="B4412" s="96" t="s">
        <v>5041</v>
      </c>
      <c r="C4412" s="96" t="str">
        <f t="shared" si="407"/>
        <v>COMPOSIÇÃOFF-049</v>
      </c>
      <c r="D4412" s="95" t="s">
        <v>5049</v>
      </c>
      <c r="E4412" s="63" t="s">
        <v>58</v>
      </c>
      <c r="F4412" s="64">
        <f>VLOOKUP(C4412,CPU!N:Q,4,0)</f>
        <v>39.989999999999995</v>
      </c>
    </row>
    <row r="4413" spans="1:6" x14ac:dyDescent="0.25">
      <c r="A4413" s="62" t="s">
        <v>4715</v>
      </c>
      <c r="B4413" s="96" t="s">
        <v>5042</v>
      </c>
      <c r="C4413" s="96" t="str">
        <f t="shared" si="407"/>
        <v>COMPOSIÇÃOFF-050</v>
      </c>
      <c r="D4413" s="95" t="s">
        <v>5050</v>
      </c>
      <c r="E4413" s="63" t="s">
        <v>58</v>
      </c>
      <c r="F4413" s="64">
        <f>VLOOKUP(C4413,CPU!N:Q,4,0)</f>
        <v>150.25</v>
      </c>
    </row>
    <row r="4414" spans="1:6" x14ac:dyDescent="0.25">
      <c r="A4414" s="62" t="s">
        <v>4715</v>
      </c>
      <c r="B4414" s="96" t="s">
        <v>5043</v>
      </c>
      <c r="C4414" s="96" t="str">
        <f t="shared" si="407"/>
        <v>COMPOSIÇÃOFF-051</v>
      </c>
      <c r="D4414" s="95" t="s">
        <v>5051</v>
      </c>
      <c r="E4414" s="63" t="s">
        <v>58</v>
      </c>
      <c r="F4414" s="64">
        <f>VLOOKUP(C4414,CPU!N:Q,4,0)</f>
        <v>40.989999999999995</v>
      </c>
    </row>
    <row r="4415" spans="1:6" x14ac:dyDescent="0.25">
      <c r="A4415" s="62" t="s">
        <v>4715</v>
      </c>
      <c r="B4415" s="96" t="s">
        <v>5045</v>
      </c>
      <c r="C4415" s="96" t="str">
        <f t="shared" si="407"/>
        <v>COMPOSIÇÃOFF-052</v>
      </c>
      <c r="D4415" s="95" t="s">
        <v>5052</v>
      </c>
      <c r="E4415" s="63" t="s">
        <v>58</v>
      </c>
      <c r="F4415" s="64">
        <f>VLOOKUP(C4415,CPU!N:Q,4,0)</f>
        <v>71.41</v>
      </c>
    </row>
    <row r="4416" spans="1:6" x14ac:dyDescent="0.25">
      <c r="A4416" s="62" t="s">
        <v>4715</v>
      </c>
      <c r="B4416" s="96" t="s">
        <v>5057</v>
      </c>
      <c r="C4416" s="96" t="str">
        <f t="shared" si="407"/>
        <v>COMPOSIÇÃOFF-053</v>
      </c>
      <c r="D4416" s="95" t="s">
        <v>5053</v>
      </c>
      <c r="E4416" s="63" t="s">
        <v>58</v>
      </c>
      <c r="F4416" s="64">
        <f>VLOOKUP(C4416,CPU!N:Q,4,0)</f>
        <v>48.969999999999992</v>
      </c>
    </row>
    <row r="4417" spans="1:6" x14ac:dyDescent="0.25">
      <c r="A4417" s="62" t="s">
        <v>4715</v>
      </c>
      <c r="B4417" s="96" t="s">
        <v>5058</v>
      </c>
      <c r="C4417" s="96" t="str">
        <f t="shared" si="407"/>
        <v>COMPOSIÇÃOFF-054</v>
      </c>
      <c r="D4417" s="95" t="s">
        <v>5054</v>
      </c>
      <c r="E4417" s="63" t="s">
        <v>58</v>
      </c>
      <c r="F4417" s="64">
        <f>VLOOKUP(C4417,CPU!N:Q,4,0)</f>
        <v>48.969999999999992</v>
      </c>
    </row>
    <row r="4418" spans="1:6" x14ac:dyDescent="0.25">
      <c r="A4418" s="62" t="s">
        <v>4715</v>
      </c>
      <c r="B4418" s="96" t="s">
        <v>5059</v>
      </c>
      <c r="C4418" s="96" t="str">
        <f t="shared" si="407"/>
        <v>COMPOSIÇÃOFF-055</v>
      </c>
      <c r="D4418" s="95" t="s">
        <v>5055</v>
      </c>
      <c r="E4418" s="63" t="s">
        <v>58</v>
      </c>
      <c r="F4418" s="64">
        <f>VLOOKUP(C4418,CPU!N:Q,4,0)</f>
        <v>24.020000000000003</v>
      </c>
    </row>
    <row r="4419" spans="1:6" x14ac:dyDescent="0.25">
      <c r="A4419" s="62" t="s">
        <v>4715</v>
      </c>
      <c r="B4419" s="96" t="s">
        <v>5060</v>
      </c>
      <c r="C4419" s="96" t="str">
        <f t="shared" si="407"/>
        <v>COMPOSIÇÃOFF-056</v>
      </c>
      <c r="D4419" s="95" t="s">
        <v>5056</v>
      </c>
      <c r="E4419" s="63" t="s">
        <v>58</v>
      </c>
      <c r="F4419" s="64">
        <f>VLOOKUP(C4419,CPU!N:Q,4,0)</f>
        <v>31.01</v>
      </c>
    </row>
    <row r="4420" spans="1:6" ht="60" x14ac:dyDescent="0.25">
      <c r="A4420" s="62" t="s">
        <v>4715</v>
      </c>
      <c r="B4420" s="96" t="s">
        <v>5061</v>
      </c>
      <c r="C4420" s="96" t="str">
        <f t="shared" si="407"/>
        <v>COMPOSIÇÃOFF-057</v>
      </c>
      <c r="D4420" s="95" t="s">
        <v>5063</v>
      </c>
      <c r="E4420" s="63" t="s">
        <v>58</v>
      </c>
      <c r="F4420" s="64">
        <f>VLOOKUP(C4420,CPU!N:Q,4,0)</f>
        <v>19435.05</v>
      </c>
    </row>
    <row r="4421" spans="1:6" ht="45" x14ac:dyDescent="0.25">
      <c r="A4421" s="62" t="s">
        <v>4715</v>
      </c>
      <c r="B4421" s="96" t="s">
        <v>5062</v>
      </c>
      <c r="C4421" s="96" t="str">
        <f t="shared" si="407"/>
        <v>COMPOSIÇÃOFF-058</v>
      </c>
      <c r="D4421" s="95" t="s">
        <v>5070</v>
      </c>
      <c r="E4421" s="63" t="s">
        <v>81</v>
      </c>
      <c r="F4421" s="64">
        <f>VLOOKUP(C4421,CPU!N:Q,4,0)</f>
        <v>229.45</v>
      </c>
    </row>
    <row r="4422" spans="1:6" ht="45" x14ac:dyDescent="0.25">
      <c r="A4422" s="62" t="s">
        <v>4715</v>
      </c>
      <c r="B4422" s="96" t="s">
        <v>5071</v>
      </c>
      <c r="C4422" s="96" t="str">
        <f t="shared" ref="C4422:C4423" si="408">A4422&amp;B4422</f>
        <v>COMPOSIÇÃOFF-059</v>
      </c>
      <c r="D4422" s="95" t="s">
        <v>5074</v>
      </c>
      <c r="E4422" s="63" t="s">
        <v>81</v>
      </c>
      <c r="F4422" s="64">
        <f>VLOOKUP(C4422,CPU!N:Q,4,0)</f>
        <v>590.58000000000004</v>
      </c>
    </row>
    <row r="4423" spans="1:6" ht="30" x14ac:dyDescent="0.25">
      <c r="A4423" s="62" t="s">
        <v>4715</v>
      </c>
      <c r="B4423" s="96" t="s">
        <v>5072</v>
      </c>
      <c r="C4423" s="96" t="str">
        <f t="shared" si="408"/>
        <v>COMPOSIÇÃOFF-060</v>
      </c>
      <c r="D4423" s="95" t="s">
        <v>5076</v>
      </c>
      <c r="E4423" s="63" t="s">
        <v>81</v>
      </c>
      <c r="F4423" s="64">
        <f>VLOOKUP(C4423,CPU!N:Q,4,0)</f>
        <v>249.04</v>
      </c>
    </row>
    <row r="4424" spans="1:6" ht="75" x14ac:dyDescent="0.25">
      <c r="A4424" s="62" t="s">
        <v>4715</v>
      </c>
      <c r="B4424" s="96" t="s">
        <v>5077</v>
      </c>
      <c r="C4424" s="96" t="str">
        <f t="shared" ref="C4424:C4427" si="409">A4424&amp;B4424</f>
        <v>COMPOSIÇÃOFF-061</v>
      </c>
      <c r="D4424" s="95" t="s">
        <v>5078</v>
      </c>
      <c r="E4424" s="63" t="s">
        <v>81</v>
      </c>
      <c r="F4424" s="64">
        <f>VLOOKUP(C4424,CPU!N:Q,4,0)</f>
        <v>33.64</v>
      </c>
    </row>
    <row r="4425" spans="1:6" ht="30" x14ac:dyDescent="0.25">
      <c r="A4425" s="62" t="s">
        <v>4715</v>
      </c>
      <c r="B4425" s="96" t="s">
        <v>5079</v>
      </c>
      <c r="C4425" s="96" t="str">
        <f t="shared" si="409"/>
        <v>COMPOSIÇÃOFF-062</v>
      </c>
      <c r="D4425" s="95" t="s">
        <v>5082</v>
      </c>
      <c r="E4425" s="63" t="s">
        <v>81</v>
      </c>
      <c r="F4425" s="64">
        <f>VLOOKUP(C4425,CPU!N:Q,4,0)</f>
        <v>262.92999999999995</v>
      </c>
    </row>
    <row r="4426" spans="1:6" ht="60" x14ac:dyDescent="0.25">
      <c r="A4426" s="62" t="s">
        <v>4715</v>
      </c>
      <c r="B4426" s="96" t="s">
        <v>5080</v>
      </c>
      <c r="C4426" s="96" t="str">
        <f t="shared" si="409"/>
        <v>COMPOSIÇÃOFF-063</v>
      </c>
      <c r="D4426" s="95" t="s">
        <v>5083</v>
      </c>
      <c r="E4426" s="63" t="s">
        <v>81</v>
      </c>
      <c r="F4426" s="64">
        <f>VLOOKUP(C4426,CPU!N:Q,4,0)</f>
        <v>249.04</v>
      </c>
    </row>
    <row r="4427" spans="1:6" ht="75" x14ac:dyDescent="0.25">
      <c r="A4427" s="62" t="s">
        <v>4715</v>
      </c>
      <c r="B4427" s="96" t="s">
        <v>5081</v>
      </c>
      <c r="C4427" s="96" t="str">
        <f t="shared" si="409"/>
        <v>COMPOSIÇÃOFF-064</v>
      </c>
      <c r="D4427" s="95" t="s">
        <v>5084</v>
      </c>
      <c r="E4427" s="63" t="s">
        <v>81</v>
      </c>
      <c r="F4427" s="64">
        <f>VLOOKUP(C4427,CPU!N:Q,4,0)</f>
        <v>262.92999999999995</v>
      </c>
    </row>
    <row r="4428" spans="1:6" ht="30" x14ac:dyDescent="0.25">
      <c r="A4428" s="62" t="s">
        <v>4715</v>
      </c>
      <c r="B4428" s="96" t="s">
        <v>5085</v>
      </c>
      <c r="C4428" s="96" t="str">
        <f t="shared" ref="C4428:C4438" si="410">A4428&amp;B4428</f>
        <v>COMPOSIÇÃOFF-065</v>
      </c>
      <c r="D4428" s="95" t="s">
        <v>5092</v>
      </c>
      <c r="E4428" s="63" t="s">
        <v>81</v>
      </c>
      <c r="F4428" s="64">
        <f>VLOOKUP(C4428,CPU!N:Q,4,0)</f>
        <v>96.860000000000014</v>
      </c>
    </row>
    <row r="4429" spans="1:6" ht="30" x14ac:dyDescent="0.25">
      <c r="A4429" s="62" t="s">
        <v>4715</v>
      </c>
      <c r="B4429" s="96" t="s">
        <v>5086</v>
      </c>
      <c r="C4429" s="96" t="str">
        <f t="shared" si="410"/>
        <v>COMPOSIÇÃOFF-066</v>
      </c>
      <c r="D4429" s="95" t="s">
        <v>5093</v>
      </c>
      <c r="E4429" s="63" t="s">
        <v>81</v>
      </c>
      <c r="F4429" s="64">
        <f>VLOOKUP(C4429,CPU!N:Q,4,0)</f>
        <v>28.939999999999998</v>
      </c>
    </row>
    <row r="4430" spans="1:6" ht="30" x14ac:dyDescent="0.25">
      <c r="A4430" s="62" t="s">
        <v>4715</v>
      </c>
      <c r="B4430" s="96" t="s">
        <v>5087</v>
      </c>
      <c r="C4430" s="96" t="str">
        <f t="shared" si="410"/>
        <v>COMPOSIÇÃOFF-067</v>
      </c>
      <c r="D4430" s="95" t="s">
        <v>5094</v>
      </c>
      <c r="E4430" s="63" t="s">
        <v>81</v>
      </c>
      <c r="F4430" s="64">
        <f>VLOOKUP(C4430,CPU!N:Q,4,0)</f>
        <v>28.939999999999998</v>
      </c>
    </row>
    <row r="4431" spans="1:6" ht="30" x14ac:dyDescent="0.25">
      <c r="A4431" s="62" t="s">
        <v>4715</v>
      </c>
      <c r="B4431" s="96" t="s">
        <v>5088</v>
      </c>
      <c r="C4431" s="96" t="str">
        <f t="shared" si="410"/>
        <v>COMPOSIÇÃOFF-068</v>
      </c>
      <c r="D4431" s="95" t="s">
        <v>5095</v>
      </c>
      <c r="E4431" s="63" t="s">
        <v>81</v>
      </c>
      <c r="F4431" s="64">
        <f>VLOOKUP(C4431,CPU!N:Q,4,0)</f>
        <v>16.18</v>
      </c>
    </row>
    <row r="4432" spans="1:6" ht="30" x14ac:dyDescent="0.25">
      <c r="A4432" s="62" t="s">
        <v>4715</v>
      </c>
      <c r="B4432" s="96" t="s">
        <v>5089</v>
      </c>
      <c r="C4432" s="96" t="str">
        <f t="shared" si="410"/>
        <v>COMPOSIÇÃOFF-069</v>
      </c>
      <c r="D4432" s="95" t="s">
        <v>5096</v>
      </c>
      <c r="E4432" s="63" t="s">
        <v>81</v>
      </c>
      <c r="F4432" s="64">
        <f>VLOOKUP(C4432,CPU!N:Q,4,0)</f>
        <v>28.939999999999998</v>
      </c>
    </row>
    <row r="4433" spans="1:6" x14ac:dyDescent="0.25">
      <c r="A4433" s="62" t="s">
        <v>4715</v>
      </c>
      <c r="B4433" s="96" t="s">
        <v>5090</v>
      </c>
      <c r="C4433" s="96" t="str">
        <f t="shared" si="410"/>
        <v>COMPOSIÇÃOFF-070</v>
      </c>
      <c r="D4433" s="95" t="s">
        <v>5097</v>
      </c>
      <c r="E4433" s="63" t="s">
        <v>81</v>
      </c>
      <c r="F4433" s="64">
        <f>VLOOKUP(C4433,CPU!N:Q,4,0)</f>
        <v>461.73</v>
      </c>
    </row>
    <row r="4434" spans="1:6" ht="60" x14ac:dyDescent="0.25">
      <c r="A4434" s="62" t="s">
        <v>4715</v>
      </c>
      <c r="B4434" s="96" t="s">
        <v>5091</v>
      </c>
      <c r="C4434" s="96" t="str">
        <f t="shared" si="410"/>
        <v>COMPOSIÇÃOFF-071</v>
      </c>
      <c r="D4434" s="95" t="s">
        <v>5156</v>
      </c>
      <c r="E4434" s="63" t="s">
        <v>117</v>
      </c>
      <c r="F4434" s="64">
        <f>VLOOKUP(C4434,CPU!N:Q,4,0)</f>
        <v>6621.79</v>
      </c>
    </row>
    <row r="4435" spans="1:6" ht="30" x14ac:dyDescent="0.25">
      <c r="A4435" s="62" t="s">
        <v>4715</v>
      </c>
      <c r="B4435" s="96" t="s">
        <v>5155</v>
      </c>
      <c r="C4435" s="96" t="str">
        <f t="shared" si="410"/>
        <v>COMPOSIÇÃOFF-072</v>
      </c>
      <c r="D4435" s="95" t="s">
        <v>5193</v>
      </c>
      <c r="E4435" s="63" t="s">
        <v>58</v>
      </c>
      <c r="F4435" s="64">
        <f>VLOOKUP(C4435,CPU!N:Q,4,0)</f>
        <v>7.94</v>
      </c>
    </row>
    <row r="4436" spans="1:6" ht="30" x14ac:dyDescent="0.25">
      <c r="A4436" s="62" t="s">
        <v>4715</v>
      </c>
      <c r="B4436" s="96" t="s">
        <v>5186</v>
      </c>
      <c r="C4436" s="96" t="str">
        <f t="shared" si="410"/>
        <v>COMPOSIÇÃOFF-073</v>
      </c>
      <c r="D4436" s="95" t="s">
        <v>5194</v>
      </c>
      <c r="E4436" s="63" t="s">
        <v>58</v>
      </c>
      <c r="F4436" s="64">
        <f>VLOOKUP(C4436,CPU!N:Q,4,0)</f>
        <v>8.879999999999999</v>
      </c>
    </row>
    <row r="4437" spans="1:6" ht="30" x14ac:dyDescent="0.25">
      <c r="A4437" s="62" t="s">
        <v>4715</v>
      </c>
      <c r="B4437" s="96" t="s">
        <v>5188</v>
      </c>
      <c r="C4437" s="96" t="str">
        <f t="shared" si="410"/>
        <v>COMPOSIÇÃOFF-074</v>
      </c>
      <c r="D4437" s="95" t="s">
        <v>5195</v>
      </c>
      <c r="E4437" s="63" t="s">
        <v>58</v>
      </c>
      <c r="F4437" s="64">
        <f>VLOOKUP(C4437,CPU!N:Q,4,0)</f>
        <v>12.86</v>
      </c>
    </row>
    <row r="4438" spans="1:6" ht="30" x14ac:dyDescent="0.25">
      <c r="A4438" s="62" t="s">
        <v>4715</v>
      </c>
      <c r="B4438" s="96" t="s">
        <v>5189</v>
      </c>
      <c r="C4438" s="96" t="str">
        <f t="shared" si="410"/>
        <v>COMPOSIÇÃOFF-075</v>
      </c>
      <c r="D4438" s="95" t="s">
        <v>5196</v>
      </c>
      <c r="E4438" s="63" t="s">
        <v>58</v>
      </c>
      <c r="F4438" s="64">
        <f>VLOOKUP(C4438,CPU!N:Q,4,0)</f>
        <v>17.329999999999998</v>
      </c>
    </row>
    <row r="4439" spans="1:6" ht="30" x14ac:dyDescent="0.25">
      <c r="A4439" s="62" t="s">
        <v>4715</v>
      </c>
      <c r="B4439" s="96" t="s">
        <v>5197</v>
      </c>
      <c r="C4439" s="96" t="str">
        <f t="shared" ref="C4439:C4443" si="411">A4439&amp;B4439</f>
        <v>COMPOSIÇÃOFF-076</v>
      </c>
      <c r="D4439" s="95" t="s">
        <v>5187</v>
      </c>
      <c r="E4439" s="63" t="s">
        <v>58</v>
      </c>
      <c r="F4439" s="64">
        <f>VLOOKUP(C4439,CPU!N:Q,4,0)</f>
        <v>7.37</v>
      </c>
    </row>
    <row r="4440" spans="1:6" ht="30" x14ac:dyDescent="0.25">
      <c r="A4440" s="62" t="s">
        <v>4715</v>
      </c>
      <c r="B4440" s="96" t="s">
        <v>5198</v>
      </c>
      <c r="C4440" s="96" t="str">
        <f t="shared" si="411"/>
        <v>COMPOSIÇÃOFF-077</v>
      </c>
      <c r="D4440" s="95" t="s">
        <v>5190</v>
      </c>
      <c r="E4440" s="63" t="s">
        <v>58</v>
      </c>
      <c r="F4440" s="64">
        <f>VLOOKUP(C4440,CPU!N:Q,4,0)</f>
        <v>8.76</v>
      </c>
    </row>
    <row r="4441" spans="1:6" ht="30" x14ac:dyDescent="0.25">
      <c r="A4441" s="62" t="s">
        <v>4715</v>
      </c>
      <c r="B4441" s="96" t="s">
        <v>5199</v>
      </c>
      <c r="C4441" s="96" t="str">
        <f t="shared" si="411"/>
        <v>COMPOSIÇÃOFF-078</v>
      </c>
      <c r="D4441" s="95" t="s">
        <v>5191</v>
      </c>
      <c r="E4441" s="63" t="s">
        <v>58</v>
      </c>
      <c r="F4441" s="64">
        <f>VLOOKUP(C4441,CPU!N:Q,4,0)</f>
        <v>13.22</v>
      </c>
    </row>
    <row r="4442" spans="1:6" ht="30" x14ac:dyDescent="0.25">
      <c r="A4442" s="62" t="s">
        <v>4715</v>
      </c>
      <c r="B4442" s="96" t="s">
        <v>5200</v>
      </c>
      <c r="C4442" s="96" t="str">
        <f t="shared" si="411"/>
        <v>COMPOSIÇÃOFF-079</v>
      </c>
      <c r="D4442" s="95" t="s">
        <v>5192</v>
      </c>
      <c r="E4442" s="63" t="s">
        <v>58</v>
      </c>
      <c r="F4442" s="64">
        <f>VLOOKUP(C4442,CPU!N:Q,4,0)</f>
        <v>25.880000000000003</v>
      </c>
    </row>
    <row r="4443" spans="1:6" ht="30" x14ac:dyDescent="0.25">
      <c r="A4443" s="62" t="s">
        <v>4715</v>
      </c>
      <c r="B4443" s="96" t="s">
        <v>5205</v>
      </c>
      <c r="C4443" s="96" t="str">
        <f t="shared" si="411"/>
        <v>COMPOSIÇÃOFF-080</v>
      </c>
      <c r="D4443" s="95" t="s">
        <v>5206</v>
      </c>
      <c r="E4443" s="63" t="s">
        <v>58</v>
      </c>
      <c r="F4443" s="64">
        <f>VLOOKUP(C4443,CPU!N:Q,4,0)</f>
        <v>10.34</v>
      </c>
    </row>
    <row r="4444" spans="1:6" ht="30" x14ac:dyDescent="0.25">
      <c r="A4444" s="62" t="s">
        <v>4715</v>
      </c>
      <c r="B4444" s="96" t="s">
        <v>5209</v>
      </c>
      <c r="C4444" s="96" t="str">
        <f t="shared" ref="C4444:C4454" si="412">A4444&amp;B4444</f>
        <v>COMPOSIÇÃOFF-081</v>
      </c>
      <c r="D4444" s="95" t="s">
        <v>5210</v>
      </c>
      <c r="E4444" s="63" t="s">
        <v>58</v>
      </c>
      <c r="F4444" s="64">
        <f>VLOOKUP(C4444,CPU!N:Q,4,0)</f>
        <v>9.4600000000000009</v>
      </c>
    </row>
    <row r="4445" spans="1:6" ht="30" x14ac:dyDescent="0.25">
      <c r="A4445" s="62" t="s">
        <v>4715</v>
      </c>
      <c r="B4445" s="96" t="s">
        <v>5214</v>
      </c>
      <c r="C4445" s="96" t="str">
        <f t="shared" si="412"/>
        <v>COMPOSIÇÃOFF-082</v>
      </c>
      <c r="D4445" s="95" t="s">
        <v>5227</v>
      </c>
      <c r="E4445" s="63" t="s">
        <v>58</v>
      </c>
      <c r="F4445" s="64">
        <f>VLOOKUP(C4445,CPU!N:Q,4,0)</f>
        <v>2.5099999999999998</v>
      </c>
    </row>
    <row r="4446" spans="1:6" ht="30" x14ac:dyDescent="0.25">
      <c r="A4446" s="62" t="s">
        <v>4715</v>
      </c>
      <c r="B4446" s="96" t="s">
        <v>5215</v>
      </c>
      <c r="C4446" s="96" t="str">
        <f t="shared" si="412"/>
        <v>COMPOSIÇÃOFF-083</v>
      </c>
      <c r="D4446" s="95" t="s">
        <v>5229</v>
      </c>
      <c r="E4446" s="63" t="s">
        <v>58</v>
      </c>
      <c r="F4446" s="64">
        <f>VLOOKUP(C4446,CPU!N:Q,4,0)</f>
        <v>2.6100000000000003</v>
      </c>
    </row>
    <row r="4447" spans="1:6" ht="30" x14ac:dyDescent="0.25">
      <c r="A4447" s="62" t="s">
        <v>4715</v>
      </c>
      <c r="B4447" s="96" t="s">
        <v>5216</v>
      </c>
      <c r="C4447" s="96" t="str">
        <f t="shared" si="412"/>
        <v>COMPOSIÇÃOFF-084</v>
      </c>
      <c r="D4447" s="95" t="s">
        <v>5230</v>
      </c>
      <c r="E4447" s="63" t="s">
        <v>58</v>
      </c>
      <c r="F4447" s="64">
        <f>VLOOKUP(C4447,CPU!N:Q,4,0)</f>
        <v>3.06</v>
      </c>
    </row>
    <row r="4448" spans="1:6" ht="30" x14ac:dyDescent="0.25">
      <c r="A4448" s="62" t="s">
        <v>4715</v>
      </c>
      <c r="B4448" s="96" t="s">
        <v>5217</v>
      </c>
      <c r="C4448" s="96" t="str">
        <f t="shared" si="412"/>
        <v>COMPOSIÇÃOFF-085</v>
      </c>
      <c r="D4448" s="95" t="s">
        <v>5231</v>
      </c>
      <c r="E4448" s="63" t="s">
        <v>58</v>
      </c>
      <c r="F4448" s="64">
        <f>VLOOKUP(C4448,CPU!N:Q,4,0)</f>
        <v>4.42</v>
      </c>
    </row>
    <row r="4449" spans="1:6" ht="30" x14ac:dyDescent="0.25">
      <c r="A4449" s="62" t="s">
        <v>4715</v>
      </c>
      <c r="B4449" s="96" t="s">
        <v>5218</v>
      </c>
      <c r="C4449" s="96" t="str">
        <f t="shared" si="412"/>
        <v>COMPOSIÇÃOFF-086</v>
      </c>
      <c r="D4449" s="95" t="s">
        <v>5232</v>
      </c>
      <c r="E4449" s="63" t="s">
        <v>58</v>
      </c>
      <c r="F4449" s="64">
        <f>VLOOKUP(C4449,CPU!N:Q,4,0)</f>
        <v>8.2600000000000016</v>
      </c>
    </row>
    <row r="4450" spans="1:6" ht="30" x14ac:dyDescent="0.25">
      <c r="A4450" s="62" t="s">
        <v>4715</v>
      </c>
      <c r="B4450" s="96" t="s">
        <v>5219</v>
      </c>
      <c r="C4450" s="96" t="str">
        <f t="shared" si="412"/>
        <v>COMPOSIÇÃOFF-087</v>
      </c>
      <c r="D4450" s="95" t="s">
        <v>5239</v>
      </c>
      <c r="E4450" s="63" t="s">
        <v>58</v>
      </c>
      <c r="F4450" s="64">
        <f>VLOOKUP(C4450,CPU!N:Q,4,0)</f>
        <v>6.3999999999999995</v>
      </c>
    </row>
    <row r="4451" spans="1:6" ht="30" x14ac:dyDescent="0.25">
      <c r="A4451" s="62" t="s">
        <v>4715</v>
      </c>
      <c r="B4451" s="96" t="s">
        <v>5220</v>
      </c>
      <c r="C4451" s="96" t="str">
        <f t="shared" si="412"/>
        <v>COMPOSIÇÃOFF-088</v>
      </c>
      <c r="D4451" s="325" t="s">
        <v>5243</v>
      </c>
      <c r="E4451" s="63" t="s">
        <v>58</v>
      </c>
      <c r="F4451" s="64">
        <f>VLOOKUP(C4451,CPU!N:Q,4,0)</f>
        <v>24.630000000000003</v>
      </c>
    </row>
    <row r="4452" spans="1:6" ht="30" x14ac:dyDescent="0.25">
      <c r="A4452" s="62" t="s">
        <v>4715</v>
      </c>
      <c r="B4452" s="96" t="s">
        <v>5221</v>
      </c>
      <c r="C4452" s="96" t="str">
        <f t="shared" si="412"/>
        <v>COMPOSIÇÃOFF-089</v>
      </c>
      <c r="D4452" s="325" t="s">
        <v>5244</v>
      </c>
      <c r="E4452" s="63" t="s">
        <v>58</v>
      </c>
      <c r="F4452" s="64">
        <f>VLOOKUP(C4452,CPU!N:Q,4,0)</f>
        <v>24.630000000000003</v>
      </c>
    </row>
    <row r="4453" spans="1:6" ht="30" x14ac:dyDescent="0.25">
      <c r="A4453" s="62" t="s">
        <v>4715</v>
      </c>
      <c r="B4453" s="96" t="s">
        <v>5222</v>
      </c>
      <c r="C4453" s="96" t="str">
        <f t="shared" si="412"/>
        <v>COMPOSIÇÃOFF-090</v>
      </c>
      <c r="D4453" s="95" t="s">
        <v>5253</v>
      </c>
      <c r="E4453" s="63" t="s">
        <v>58</v>
      </c>
      <c r="F4453" s="64">
        <f>VLOOKUP(C4453,CPU!N:Q,4,0)</f>
        <v>13.19</v>
      </c>
    </row>
    <row r="4454" spans="1:6" ht="30" x14ac:dyDescent="0.25">
      <c r="A4454" s="62" t="s">
        <v>4715</v>
      </c>
      <c r="B4454" s="96" t="s">
        <v>5223</v>
      </c>
      <c r="C4454" s="96" t="str">
        <f t="shared" si="412"/>
        <v>COMPOSIÇÃOFF-091</v>
      </c>
      <c r="D4454" s="95" t="s">
        <v>5254</v>
      </c>
      <c r="E4454" s="63" t="s">
        <v>58</v>
      </c>
      <c r="F4454" s="64">
        <f>VLOOKUP(C4454,CPU!N:Q,4,0)</f>
        <v>19.34</v>
      </c>
    </row>
    <row r="4455" spans="1:6" x14ac:dyDescent="0.25">
      <c r="A4455" s="62" t="s">
        <v>4715</v>
      </c>
      <c r="B4455" s="96" t="s">
        <v>5224</v>
      </c>
      <c r="C4455" s="96" t="str">
        <f t="shared" ref="C4455:C4468" si="413">A4455&amp;B4455</f>
        <v>COMPOSIÇÃOFF-092</v>
      </c>
      <c r="D4455" s="95" t="s">
        <v>5255</v>
      </c>
      <c r="E4455" s="63" t="s">
        <v>58</v>
      </c>
      <c r="F4455" s="64">
        <f>VLOOKUP(C4455,CPU!N:Q,4,0)</f>
        <v>21.15</v>
      </c>
    </row>
    <row r="4456" spans="1:6" x14ac:dyDescent="0.25">
      <c r="A4456" s="62" t="s">
        <v>4715</v>
      </c>
      <c r="B4456" s="96" t="s">
        <v>5225</v>
      </c>
      <c r="C4456" s="96" t="str">
        <f t="shared" si="413"/>
        <v>COMPOSIÇÃOFF-093</v>
      </c>
      <c r="D4456" s="95" t="s">
        <v>5266</v>
      </c>
      <c r="E4456" s="63" t="s">
        <v>58</v>
      </c>
      <c r="F4456" s="64">
        <f>VLOOKUP(C4456,CPU!N:Q,4,0)</f>
        <v>6912.9299999999994</v>
      </c>
    </row>
    <row r="4457" spans="1:6" x14ac:dyDescent="0.25">
      <c r="A4457" s="62" t="s">
        <v>4715</v>
      </c>
      <c r="B4457" s="96" t="s">
        <v>5226</v>
      </c>
      <c r="C4457" s="96" t="str">
        <f t="shared" si="413"/>
        <v>COMPOSIÇÃOFF-094</v>
      </c>
      <c r="D4457" s="95" t="s">
        <v>5267</v>
      </c>
      <c r="E4457" s="63" t="s">
        <v>58</v>
      </c>
      <c r="F4457" s="64">
        <f>VLOOKUP(C4457,CPU!N:Q,4,0)</f>
        <v>255.28</v>
      </c>
    </row>
    <row r="4458" spans="1:6" x14ac:dyDescent="0.25">
      <c r="A4458" s="62" t="s">
        <v>4715</v>
      </c>
      <c r="B4458" s="96" t="s">
        <v>5248</v>
      </c>
      <c r="C4458" s="96" t="str">
        <f t="shared" si="413"/>
        <v>COMPOSIÇÃOFF-095</v>
      </c>
      <c r="D4458" s="95" t="s">
        <v>5278</v>
      </c>
      <c r="E4458" s="63" t="s">
        <v>58</v>
      </c>
      <c r="F4458" s="64">
        <f>VLOOKUP(C4458,CPU!N:Q,4,0)</f>
        <v>29.41</v>
      </c>
    </row>
    <row r="4459" spans="1:6" x14ac:dyDescent="0.25">
      <c r="A4459" s="62" t="s">
        <v>4715</v>
      </c>
      <c r="B4459" s="96" t="s">
        <v>5249</v>
      </c>
      <c r="C4459" s="96" t="str">
        <f t="shared" si="413"/>
        <v>COMPOSIÇÃOFF-096</v>
      </c>
      <c r="D4459" s="95" t="s">
        <v>5279</v>
      </c>
      <c r="E4459" s="63" t="s">
        <v>58</v>
      </c>
      <c r="F4459" s="64">
        <f>VLOOKUP(C4459,CPU!N:Q,4,0)</f>
        <v>9.48</v>
      </c>
    </row>
    <row r="4460" spans="1:6" x14ac:dyDescent="0.25">
      <c r="A4460" s="62" t="s">
        <v>4715</v>
      </c>
      <c r="B4460" s="96" t="s">
        <v>5250</v>
      </c>
      <c r="C4460" s="96" t="str">
        <f t="shared" si="413"/>
        <v>COMPOSIÇÃOFF-097</v>
      </c>
      <c r="D4460" s="95" t="s">
        <v>5280</v>
      </c>
      <c r="E4460" s="63" t="s">
        <v>58</v>
      </c>
      <c r="F4460" s="64">
        <f>VLOOKUP(C4460,CPU!N:Q,4,0)</f>
        <v>6.04</v>
      </c>
    </row>
    <row r="4461" spans="1:6" x14ac:dyDescent="0.25">
      <c r="A4461" s="62" t="s">
        <v>4715</v>
      </c>
      <c r="B4461" s="96" t="s">
        <v>5251</v>
      </c>
      <c r="C4461" s="96" t="str">
        <f t="shared" si="413"/>
        <v>COMPOSIÇÃOFF-098</v>
      </c>
      <c r="D4461" s="95" t="s">
        <v>5281</v>
      </c>
      <c r="E4461" s="63" t="s">
        <v>58</v>
      </c>
      <c r="F4461" s="64">
        <f>VLOOKUP(C4461,CPU!N:Q,4,0)</f>
        <v>25.17</v>
      </c>
    </row>
    <row r="4462" spans="1:6" x14ac:dyDescent="0.25">
      <c r="A4462" s="62" t="s">
        <v>4715</v>
      </c>
      <c r="B4462" s="96" t="s">
        <v>5252</v>
      </c>
      <c r="C4462" s="96" t="str">
        <f t="shared" si="413"/>
        <v>COMPOSIÇÃOFF-099</v>
      </c>
      <c r="D4462" s="95" t="s">
        <v>5282</v>
      </c>
      <c r="E4462" s="63" t="s">
        <v>58</v>
      </c>
      <c r="F4462" s="64">
        <f>VLOOKUP(C4462,CPU!N:Q,4,0)</f>
        <v>20.919999999999998</v>
      </c>
    </row>
    <row r="4463" spans="1:6" x14ac:dyDescent="0.25">
      <c r="A4463" s="62" t="s">
        <v>4715</v>
      </c>
      <c r="B4463" s="96" t="s">
        <v>5268</v>
      </c>
      <c r="C4463" s="96" t="str">
        <f t="shared" si="413"/>
        <v>COMPOSIÇÃOFF-100</v>
      </c>
      <c r="D4463" s="95" t="s">
        <v>5283</v>
      </c>
      <c r="E4463" s="63" t="s">
        <v>58</v>
      </c>
      <c r="F4463" s="64">
        <f>VLOOKUP(C4463,CPU!N:Q,4,0)</f>
        <v>28.98</v>
      </c>
    </row>
    <row r="4464" spans="1:6" x14ac:dyDescent="0.25">
      <c r="A4464" s="62" t="s">
        <v>4715</v>
      </c>
      <c r="B4464" s="96" t="s">
        <v>5269</v>
      </c>
      <c r="C4464" s="96" t="str">
        <f t="shared" si="413"/>
        <v>COMPOSIÇÃOFF-101</v>
      </c>
      <c r="D4464" s="95" t="s">
        <v>5284</v>
      </c>
      <c r="E4464" s="63" t="s">
        <v>58</v>
      </c>
      <c r="F4464" s="64">
        <f>VLOOKUP(C4464,CPU!N:Q,4,0)</f>
        <v>9.7900000000000009</v>
      </c>
    </row>
    <row r="4465" spans="1:6" x14ac:dyDescent="0.25">
      <c r="A4465" s="62" t="s">
        <v>4715</v>
      </c>
      <c r="B4465" s="96" t="s">
        <v>5270</v>
      </c>
      <c r="C4465" s="96" t="str">
        <f t="shared" si="413"/>
        <v>COMPOSIÇÃOFF-102</v>
      </c>
      <c r="D4465" s="95" t="s">
        <v>5285</v>
      </c>
      <c r="E4465" s="63" t="s">
        <v>58</v>
      </c>
      <c r="F4465" s="64">
        <f>VLOOKUP(C4465,CPU!N:Q,4,0)</f>
        <v>12.26</v>
      </c>
    </row>
    <row r="4466" spans="1:6" x14ac:dyDescent="0.25">
      <c r="A4466" s="62" t="s">
        <v>4715</v>
      </c>
      <c r="B4466" s="96" t="s">
        <v>5271</v>
      </c>
      <c r="C4466" s="96" t="str">
        <f t="shared" si="413"/>
        <v>COMPOSIÇÃOFF-103</v>
      </c>
      <c r="D4466" s="95" t="s">
        <v>5286</v>
      </c>
      <c r="E4466" s="63" t="s">
        <v>58</v>
      </c>
      <c r="F4466" s="64">
        <f>VLOOKUP(C4466,CPU!N:Q,4,0)</f>
        <v>26.159999999999997</v>
      </c>
    </row>
    <row r="4467" spans="1:6" x14ac:dyDescent="0.25">
      <c r="A4467" s="62" t="s">
        <v>4715</v>
      </c>
      <c r="B4467" s="96" t="s">
        <v>5272</v>
      </c>
      <c r="C4467" s="96" t="str">
        <f t="shared" si="413"/>
        <v>COMPOSIÇÃOFF-104</v>
      </c>
      <c r="D4467" s="95" t="s">
        <v>5287</v>
      </c>
      <c r="E4467" s="63" t="s">
        <v>58</v>
      </c>
      <c r="F4467" s="64">
        <f>VLOOKUP(C4467,CPU!N:Q,4,0)</f>
        <v>6.98</v>
      </c>
    </row>
    <row r="4468" spans="1:6" x14ac:dyDescent="0.25">
      <c r="A4468" s="62" t="s">
        <v>4715</v>
      </c>
      <c r="B4468" s="96" t="s">
        <v>5273</v>
      </c>
      <c r="C4468" s="96" t="str">
        <f t="shared" si="413"/>
        <v>COMPOSIÇÃOFF-105</v>
      </c>
      <c r="D4468" s="95" t="s">
        <v>5288</v>
      </c>
      <c r="E4468" s="63" t="s">
        <v>58</v>
      </c>
      <c r="F4468" s="64">
        <f>VLOOKUP(C4468,CPU!N:Q,4,0)</f>
        <v>6.19</v>
      </c>
    </row>
    <row r="4469" spans="1:6" x14ac:dyDescent="0.25">
      <c r="A4469" s="62" t="s">
        <v>4715</v>
      </c>
      <c r="B4469" s="96" t="s">
        <v>5274</v>
      </c>
      <c r="C4469" s="96" t="str">
        <f t="shared" ref="C4469:C4476" si="414">A4469&amp;B4469</f>
        <v>COMPOSIÇÃOFF-106</v>
      </c>
      <c r="D4469" s="95" t="s">
        <v>5296</v>
      </c>
      <c r="E4469" s="63" t="s">
        <v>58</v>
      </c>
      <c r="F4469" s="64">
        <f>VLOOKUP(C4469,CPU!N:Q,4,0)</f>
        <v>13.4</v>
      </c>
    </row>
    <row r="4470" spans="1:6" x14ac:dyDescent="0.25">
      <c r="A4470" s="62" t="s">
        <v>4715</v>
      </c>
      <c r="B4470" s="96" t="s">
        <v>5275</v>
      </c>
      <c r="C4470" s="96" t="str">
        <f t="shared" si="414"/>
        <v>COMPOSIÇÃOFF-107</v>
      </c>
      <c r="D4470" s="95" t="s">
        <v>5297</v>
      </c>
      <c r="E4470" s="63" t="s">
        <v>58</v>
      </c>
      <c r="F4470" s="64">
        <f>VLOOKUP(C4470,CPU!N:Q,4,0)</f>
        <v>7.04</v>
      </c>
    </row>
    <row r="4471" spans="1:6" x14ac:dyDescent="0.25">
      <c r="A4471" s="62" t="s">
        <v>4715</v>
      </c>
      <c r="B4471" s="96" t="s">
        <v>5276</v>
      </c>
      <c r="C4471" s="96" t="str">
        <f t="shared" si="414"/>
        <v>COMPOSIÇÃOFF-108</v>
      </c>
      <c r="D4471" s="95" t="s">
        <v>5298</v>
      </c>
      <c r="E4471" s="63" t="s">
        <v>58</v>
      </c>
      <c r="F4471" s="64">
        <f>VLOOKUP(C4471,CPU!N:Q,4,0)</f>
        <v>5.6199999999999992</v>
      </c>
    </row>
    <row r="4472" spans="1:6" ht="30" x14ac:dyDescent="0.25">
      <c r="A4472" s="62" t="s">
        <v>4715</v>
      </c>
      <c r="B4472" s="96" t="s">
        <v>5277</v>
      </c>
      <c r="C4472" s="96" t="str">
        <f t="shared" si="414"/>
        <v>COMPOSIÇÃOFF-109</v>
      </c>
      <c r="D4472" s="95" t="s">
        <v>5299</v>
      </c>
      <c r="E4472" s="63" t="s">
        <v>58</v>
      </c>
      <c r="F4472" s="64">
        <f>VLOOKUP(C4472,CPU!N:Q,4,0)</f>
        <v>255.28</v>
      </c>
    </row>
    <row r="4473" spans="1:6" x14ac:dyDescent="0.25">
      <c r="A4473" s="62" t="s">
        <v>4715</v>
      </c>
      <c r="B4473" s="96" t="s">
        <v>5289</v>
      </c>
      <c r="C4473" s="96" t="str">
        <f t="shared" si="414"/>
        <v>COMPOSIÇÃOFF-110</v>
      </c>
      <c r="D4473" s="95" t="s">
        <v>5301</v>
      </c>
      <c r="E4473" s="63" t="s">
        <v>58</v>
      </c>
      <c r="F4473" s="64">
        <f>VLOOKUP(C4473,CPU!N:Q,4,0)</f>
        <v>210.37</v>
      </c>
    </row>
    <row r="4474" spans="1:6" ht="30" x14ac:dyDescent="0.25">
      <c r="A4474" s="62" t="s">
        <v>4715</v>
      </c>
      <c r="B4474" s="96" t="s">
        <v>5290</v>
      </c>
      <c r="C4474" s="96" t="str">
        <f t="shared" si="414"/>
        <v>COMPOSIÇÃOFF-111</v>
      </c>
      <c r="D4474" s="95" t="s">
        <v>5302</v>
      </c>
      <c r="E4474" s="63" t="s">
        <v>58</v>
      </c>
      <c r="F4474" s="64">
        <f>VLOOKUP(C4474,CPU!N:Q,4,0)</f>
        <v>4723.82</v>
      </c>
    </row>
    <row r="4475" spans="1:6" ht="30" x14ac:dyDescent="0.25">
      <c r="A4475" s="62" t="s">
        <v>4715</v>
      </c>
      <c r="B4475" s="96" t="s">
        <v>5291</v>
      </c>
      <c r="C4475" s="96" t="str">
        <f t="shared" si="414"/>
        <v>COMPOSIÇÃOFF-112</v>
      </c>
      <c r="D4475" s="95" t="s">
        <v>5334</v>
      </c>
      <c r="E4475" s="63" t="s">
        <v>110</v>
      </c>
      <c r="F4475" s="64">
        <f>VLOOKUP(C4475,CPU!N:Q,4,0)</f>
        <v>243.36</v>
      </c>
    </row>
    <row r="4476" spans="1:6" ht="30" x14ac:dyDescent="0.25">
      <c r="A4476" s="62" t="s">
        <v>4715</v>
      </c>
      <c r="B4476" s="96" t="s">
        <v>5292</v>
      </c>
      <c r="C4476" s="96" t="str">
        <f t="shared" si="414"/>
        <v>COMPOSIÇÃOFF-113</v>
      </c>
      <c r="D4476" s="95" t="s">
        <v>5335</v>
      </c>
      <c r="E4476" s="63" t="s">
        <v>110</v>
      </c>
      <c r="F4476" s="64">
        <f>VLOOKUP(C4476,CPU!N:Q,4,0)</f>
        <v>243.36</v>
      </c>
    </row>
    <row r="4477" spans="1:6" ht="30" x14ac:dyDescent="0.25">
      <c r="A4477" s="62" t="s">
        <v>4715</v>
      </c>
      <c r="B4477" s="96" t="s">
        <v>5293</v>
      </c>
      <c r="C4477" s="96" t="str">
        <f t="shared" ref="C4477" si="415">A4477&amp;B4477</f>
        <v>COMPOSIÇÃOFF-114</v>
      </c>
      <c r="D4477" s="95" t="s">
        <v>5336</v>
      </c>
      <c r="E4477" s="63" t="s">
        <v>110</v>
      </c>
      <c r="F4477" s="64">
        <f>VLOOKUP(C4477,CPU!N:Q,4,0)</f>
        <v>642.67999999999995</v>
      </c>
    </row>
    <row r="4478" spans="1:6" ht="30" x14ac:dyDescent="0.25">
      <c r="A4478" s="62" t="s">
        <v>4715</v>
      </c>
      <c r="B4478" s="96" t="s">
        <v>5294</v>
      </c>
      <c r="C4478" s="96" t="str">
        <f t="shared" ref="C4478" si="416">A4478&amp;B4478</f>
        <v>COMPOSIÇÃOFF-115</v>
      </c>
      <c r="D4478" s="95" t="s">
        <v>5337</v>
      </c>
      <c r="E4478" s="63" t="s">
        <v>81</v>
      </c>
      <c r="F4478" s="64">
        <f>VLOOKUP(C4478,CPU!N:Q,4,0)</f>
        <v>165.29000000000002</v>
      </c>
    </row>
    <row r="4479" spans="1:6" ht="30" x14ac:dyDescent="0.25">
      <c r="A4479" s="62" t="s">
        <v>4715</v>
      </c>
      <c r="B4479" s="96" t="s">
        <v>5295</v>
      </c>
      <c r="C4479" s="96" t="str">
        <f t="shared" ref="C4479" si="417">A4479&amp;B4479</f>
        <v>COMPOSIÇÃOFF-116</v>
      </c>
      <c r="D4479" s="95" t="s">
        <v>5350</v>
      </c>
      <c r="E4479" s="63" t="s">
        <v>81</v>
      </c>
      <c r="F4479" s="64">
        <f>VLOOKUP(C4479,CPU!N:Q,4,0)</f>
        <v>535.39</v>
      </c>
    </row>
    <row r="4480" spans="1:6" ht="45" x14ac:dyDescent="0.25">
      <c r="A4480" s="62" t="s">
        <v>4715</v>
      </c>
      <c r="B4480" s="96" t="s">
        <v>5356</v>
      </c>
      <c r="C4480" s="96" t="str">
        <f t="shared" ref="C4480:C4485" si="418">A4480&amp;B4480</f>
        <v>COMPOSIÇÃOFF-117</v>
      </c>
      <c r="D4480" s="95" t="s">
        <v>5367</v>
      </c>
      <c r="E4480" s="63" t="s">
        <v>58</v>
      </c>
      <c r="F4480" s="64">
        <f>VLOOKUP(C4480,CPU!N:Q,4,0)</f>
        <v>682.90000000000009</v>
      </c>
    </row>
    <row r="4481" spans="1:6" ht="48" customHeight="1" x14ac:dyDescent="0.25">
      <c r="A4481" s="62" t="s">
        <v>4715</v>
      </c>
      <c r="B4481" s="96" t="s">
        <v>5357</v>
      </c>
      <c r="C4481" s="96" t="str">
        <f t="shared" si="418"/>
        <v>COMPOSIÇÃOFF-118</v>
      </c>
      <c r="D4481" s="95" t="s">
        <v>5362</v>
      </c>
      <c r="E4481" s="63" t="s">
        <v>58</v>
      </c>
      <c r="F4481" s="64">
        <f>VLOOKUP(C4481,CPU!N:Q,4,0)</f>
        <v>624.01</v>
      </c>
    </row>
    <row r="4482" spans="1:6" ht="45" x14ac:dyDescent="0.25">
      <c r="A4482" s="62" t="s">
        <v>4715</v>
      </c>
      <c r="B4482" s="96" t="s">
        <v>5358</v>
      </c>
      <c r="C4482" s="96" t="str">
        <f t="shared" si="418"/>
        <v>COMPOSIÇÃOFF-119</v>
      </c>
      <c r="D4482" s="95" t="s">
        <v>5363</v>
      </c>
      <c r="E4482" s="63" t="s">
        <v>58</v>
      </c>
      <c r="F4482" s="64">
        <f>VLOOKUP(C4482,CPU!N:Q,4,0)</f>
        <v>368.13</v>
      </c>
    </row>
    <row r="4483" spans="1:6" ht="45" x14ac:dyDescent="0.25">
      <c r="A4483" s="62" t="s">
        <v>4715</v>
      </c>
      <c r="B4483" s="96" t="s">
        <v>5359</v>
      </c>
      <c r="C4483" s="96" t="str">
        <f t="shared" si="418"/>
        <v>COMPOSIÇÃOFF-120</v>
      </c>
      <c r="D4483" s="95" t="s">
        <v>5364</v>
      </c>
      <c r="E4483" s="63" t="s">
        <v>58</v>
      </c>
      <c r="F4483" s="64">
        <f>VLOOKUP(C4483,CPU!N:Q,4,0)</f>
        <v>345.52</v>
      </c>
    </row>
    <row r="4484" spans="1:6" ht="45" x14ac:dyDescent="0.25">
      <c r="A4484" s="62" t="s">
        <v>4715</v>
      </c>
      <c r="B4484" s="96" t="s">
        <v>5360</v>
      </c>
      <c r="C4484" s="96" t="str">
        <f t="shared" si="418"/>
        <v>COMPOSIÇÃOFF-121</v>
      </c>
      <c r="D4484" s="95" t="s">
        <v>5365</v>
      </c>
      <c r="E4484" s="63" t="s">
        <v>58</v>
      </c>
      <c r="F4484" s="64">
        <f>VLOOKUP(C4484,CPU!N:Q,4,0)</f>
        <v>675.31000000000006</v>
      </c>
    </row>
    <row r="4485" spans="1:6" ht="45" x14ac:dyDescent="0.25">
      <c r="A4485" s="62" t="s">
        <v>4715</v>
      </c>
      <c r="B4485" s="96" t="s">
        <v>5361</v>
      </c>
      <c r="C4485" s="96" t="str">
        <f t="shared" si="418"/>
        <v>COMPOSIÇÃOFF-122</v>
      </c>
      <c r="D4485" s="95" t="s">
        <v>5366</v>
      </c>
      <c r="E4485" s="63" t="s">
        <v>58</v>
      </c>
      <c r="F4485" s="64">
        <f>VLOOKUP(C4485,CPU!N:Q,4,0)</f>
        <v>471.85999999999996</v>
      </c>
    </row>
    <row r="4486" spans="1:6" ht="30" x14ac:dyDescent="0.25">
      <c r="A4486" s="62" t="s">
        <v>4715</v>
      </c>
      <c r="B4486" s="96" t="s">
        <v>5372</v>
      </c>
      <c r="C4486" s="96" t="str">
        <f t="shared" ref="C4486" si="419">A4486&amp;B4486</f>
        <v>COMPOSIÇÃOFF-123</v>
      </c>
      <c r="D4486" s="95" t="s">
        <v>5373</v>
      </c>
      <c r="E4486" s="63" t="s">
        <v>58</v>
      </c>
      <c r="F4486" s="64">
        <f>VLOOKUP(C4486,CPU!N:Q,4,0)</f>
        <v>723.3900000000001</v>
      </c>
    </row>
    <row r="4487" spans="1:6" x14ac:dyDescent="0.25">
      <c r="A4487" s="62" t="s">
        <v>4715</v>
      </c>
      <c r="B4487" s="96" t="s">
        <v>5378</v>
      </c>
      <c r="C4487" s="96" t="str">
        <f t="shared" ref="C4487:C4488" si="420">A4487&amp;B4487</f>
        <v>COMPOSIÇÃOFF-124</v>
      </c>
      <c r="D4487" s="95" t="s">
        <v>5379</v>
      </c>
      <c r="E4487" s="63" t="s">
        <v>58</v>
      </c>
      <c r="F4487" s="64">
        <f>VLOOKUP(C4487,CPU!N:Q,4,0)</f>
        <v>2849.6800000000003</v>
      </c>
    </row>
    <row r="4488" spans="1:6" ht="30" x14ac:dyDescent="0.25">
      <c r="A4488" s="62" t="s">
        <v>4715</v>
      </c>
      <c r="B4488" s="96" t="s">
        <v>5390</v>
      </c>
      <c r="C4488" s="96" t="str">
        <f t="shared" si="420"/>
        <v>COMPOSIÇÃOFF-125</v>
      </c>
      <c r="D4488" s="325" t="s">
        <v>5391</v>
      </c>
      <c r="E4488" s="63" t="s">
        <v>58</v>
      </c>
      <c r="F4488" s="64">
        <f>VLOOKUP(C4488,CPU!N:Q,4,0)</f>
        <v>4282.22</v>
      </c>
    </row>
    <row r="4489" spans="1:6" ht="30" x14ac:dyDescent="0.25">
      <c r="A4489" s="62" t="s">
        <v>4715</v>
      </c>
      <c r="B4489" s="96" t="s">
        <v>5397</v>
      </c>
      <c r="C4489" s="96" t="str">
        <f t="shared" ref="C4489:C4493" si="421">A4489&amp;B4489</f>
        <v>COMPOSIÇÃOFF-126</v>
      </c>
      <c r="D4489" s="325" t="s">
        <v>5392</v>
      </c>
      <c r="E4489" s="63" t="s">
        <v>58</v>
      </c>
      <c r="F4489" s="64">
        <f>VLOOKUP(C4489,CPU!N:Q,4,0)</f>
        <v>4282.22</v>
      </c>
    </row>
    <row r="4490" spans="1:6" ht="30" x14ac:dyDescent="0.25">
      <c r="A4490" s="62" t="s">
        <v>4715</v>
      </c>
      <c r="B4490" s="96" t="s">
        <v>5398</v>
      </c>
      <c r="C4490" s="96" t="str">
        <f t="shared" si="421"/>
        <v>COMPOSIÇÃOFF-127</v>
      </c>
      <c r="D4490" s="325" t="s">
        <v>5393</v>
      </c>
      <c r="E4490" s="63" t="s">
        <v>58</v>
      </c>
      <c r="F4490" s="64">
        <f>VLOOKUP(C4490,CPU!N:Q,4,0)</f>
        <v>2854.81</v>
      </c>
    </row>
    <row r="4491" spans="1:6" ht="30" x14ac:dyDescent="0.25">
      <c r="A4491" s="62" t="s">
        <v>4715</v>
      </c>
      <c r="B4491" s="96" t="s">
        <v>5399</v>
      </c>
      <c r="C4491" s="96" t="str">
        <f t="shared" si="421"/>
        <v>COMPOSIÇÃOFF-128</v>
      </c>
      <c r="D4491" s="325" t="s">
        <v>5402</v>
      </c>
      <c r="E4491" s="63" t="s">
        <v>58</v>
      </c>
      <c r="F4491" s="64">
        <f>VLOOKUP(C4491,CPU!N:Q,4,0)</f>
        <v>2854.81</v>
      </c>
    </row>
    <row r="4492" spans="1:6" ht="30" x14ac:dyDescent="0.25">
      <c r="A4492" s="62" t="s">
        <v>4715</v>
      </c>
      <c r="B4492" s="96" t="s">
        <v>5400</v>
      </c>
      <c r="C4492" s="96" t="str">
        <f t="shared" si="421"/>
        <v>COMPOSIÇÃOFF-129</v>
      </c>
      <c r="D4492" s="325" t="s">
        <v>5394</v>
      </c>
      <c r="E4492" s="63" t="s">
        <v>58</v>
      </c>
      <c r="F4492" s="64">
        <f>VLOOKUP(C4492,CPU!N:Q,4,0)</f>
        <v>2854.81</v>
      </c>
    </row>
    <row r="4493" spans="1:6" ht="30" x14ac:dyDescent="0.25">
      <c r="A4493" s="62" t="s">
        <v>4715</v>
      </c>
      <c r="B4493" s="96" t="s">
        <v>5401</v>
      </c>
      <c r="C4493" s="96" t="str">
        <f t="shared" si="421"/>
        <v>COMPOSIÇÃOFF-130</v>
      </c>
      <c r="D4493" s="325" t="s">
        <v>5395</v>
      </c>
      <c r="E4493" s="63" t="s">
        <v>58</v>
      </c>
      <c r="F4493" s="64">
        <f>VLOOKUP(C4493,CPU!N:Q,4,0)</f>
        <v>3409.92</v>
      </c>
    </row>
    <row r="4494" spans="1:6" ht="30" x14ac:dyDescent="0.25">
      <c r="A4494" s="62" t="s">
        <v>4715</v>
      </c>
      <c r="B4494" s="96" t="s">
        <v>5403</v>
      </c>
      <c r="C4494" s="96" t="str">
        <f t="shared" ref="C4494:C4497" si="422">A4494&amp;B4494</f>
        <v>COMPOSIÇÃOFF-131</v>
      </c>
      <c r="D4494" s="95" t="s">
        <v>5396</v>
      </c>
      <c r="E4494" s="63" t="s">
        <v>58</v>
      </c>
      <c r="F4494" s="64">
        <f>VLOOKUP(C4494,CPU!N:Q,4,0)</f>
        <v>2379.0100000000002</v>
      </c>
    </row>
    <row r="4495" spans="1:6" ht="30" x14ac:dyDescent="0.25">
      <c r="A4495" s="62" t="s">
        <v>4715</v>
      </c>
      <c r="B4495" s="96" t="s">
        <v>5448</v>
      </c>
      <c r="C4495" s="96" t="str">
        <f t="shared" si="422"/>
        <v>COMPOSIÇÃOFF-132</v>
      </c>
      <c r="D4495" s="325" t="s">
        <v>5453</v>
      </c>
      <c r="E4495" s="63" t="s">
        <v>117</v>
      </c>
      <c r="F4495" s="64">
        <f>VLOOKUP(C4495,CPU!N:Q,4,0)</f>
        <v>789035.76</v>
      </c>
    </row>
    <row r="4496" spans="1:6" ht="30" x14ac:dyDescent="0.25">
      <c r="A4496" s="62" t="s">
        <v>4715</v>
      </c>
      <c r="B4496" s="96" t="s">
        <v>5449</v>
      </c>
      <c r="C4496" s="96" t="str">
        <f t="shared" si="422"/>
        <v>COMPOSIÇÃOFF-133</v>
      </c>
      <c r="D4496" s="325" t="s">
        <v>5452</v>
      </c>
      <c r="E4496" s="63" t="s">
        <v>117</v>
      </c>
      <c r="F4496" s="64">
        <f>VLOOKUP(C4496,CPU!N:Q,4,0)</f>
        <v>489718.6</v>
      </c>
    </row>
    <row r="4497" spans="1:6" ht="30" x14ac:dyDescent="0.25">
      <c r="A4497" s="62" t="s">
        <v>4715</v>
      </c>
      <c r="B4497" s="96" t="s">
        <v>5450</v>
      </c>
      <c r="C4497" s="96" t="str">
        <f t="shared" si="422"/>
        <v>COMPOSIÇÃOFF-134</v>
      </c>
      <c r="D4497" s="325" t="s">
        <v>5454</v>
      </c>
      <c r="E4497" s="63" t="s">
        <v>117</v>
      </c>
      <c r="F4497" s="64">
        <f>VLOOKUP(C4497,CPU!N:Q,4,0)</f>
        <v>489718.6</v>
      </c>
    </row>
    <row r="4498" spans="1:6" ht="30" x14ac:dyDescent="0.25">
      <c r="A4498" s="62" t="s">
        <v>4715</v>
      </c>
      <c r="B4498" s="96" t="s">
        <v>5451</v>
      </c>
      <c r="C4498" s="96" t="str">
        <f t="shared" ref="C4498" si="423">A4498&amp;B4498</f>
        <v>COMPOSIÇÃOFF-135</v>
      </c>
      <c r="D4498" s="325" t="s">
        <v>5455</v>
      </c>
      <c r="E4498" s="63" t="s">
        <v>117</v>
      </c>
      <c r="F4498" s="64">
        <f>VLOOKUP(C4498,CPU!N:Q,4,0)</f>
        <v>489718.6</v>
      </c>
    </row>
    <row r="4499" spans="1:6" ht="60" x14ac:dyDescent="0.25">
      <c r="A4499" s="62" t="s">
        <v>4715</v>
      </c>
      <c r="B4499" s="96" t="s">
        <v>5471</v>
      </c>
      <c r="C4499" s="96" t="str">
        <f t="shared" ref="C4499" si="424">A4499&amp;B4499</f>
        <v>COMPOSIÇÃOFF-136</v>
      </c>
      <c r="D4499" s="325" t="s">
        <v>5469</v>
      </c>
      <c r="E4499" s="63" t="s">
        <v>117</v>
      </c>
      <c r="F4499" s="64">
        <f>VLOOKUP(C4499,CPU!N:Q,4,0)</f>
        <v>5444</v>
      </c>
    </row>
    <row r="4500" spans="1:6" x14ac:dyDescent="0.25">
      <c r="A4500" s="62" t="s">
        <v>4715</v>
      </c>
      <c r="B4500" s="96" t="s">
        <v>5482</v>
      </c>
      <c r="C4500" s="96" t="str">
        <f t="shared" ref="C4500" si="425">A4500&amp;B4500</f>
        <v>COMPOSIÇÃOFF-137</v>
      </c>
      <c r="D4500" s="325" t="s">
        <v>5483</v>
      </c>
      <c r="E4500" s="63" t="s">
        <v>81</v>
      </c>
      <c r="F4500" s="64">
        <f>VLOOKUP(C4500,CPU!N:Q,4,0)</f>
        <v>330</v>
      </c>
    </row>
    <row r="4501" spans="1:6" x14ac:dyDescent="0.25">
      <c r="A4501" s="62" t="s">
        <v>4715</v>
      </c>
      <c r="B4501" s="96" t="s">
        <v>5502</v>
      </c>
      <c r="C4501" s="96" t="str">
        <f t="shared" ref="C4501" si="426">A4501&amp;B4501</f>
        <v>COMPOSIÇÃOFF-138</v>
      </c>
      <c r="D4501" s="95" t="s">
        <v>5503</v>
      </c>
      <c r="E4501" s="63" t="s">
        <v>58</v>
      </c>
      <c r="F4501" s="64">
        <f>VLOOKUP(C4501,CPU!N:Q,4,0)</f>
        <v>67.41</v>
      </c>
    </row>
    <row r="4502" spans="1:6" x14ac:dyDescent="0.25">
      <c r="A4502" s="62" t="s">
        <v>4715</v>
      </c>
      <c r="B4502" s="96" t="s">
        <v>5507</v>
      </c>
      <c r="C4502" s="96" t="str">
        <f t="shared" ref="C4502:C4503" si="427">A4502&amp;B4502</f>
        <v>COMPOSIÇÃOFF-139</v>
      </c>
      <c r="D4502" s="95" t="s">
        <v>5508</v>
      </c>
      <c r="E4502" s="63" t="s">
        <v>58</v>
      </c>
      <c r="F4502" s="64">
        <f>VLOOKUP(C4502,CPU!N:Q,4,0)</f>
        <v>29994.39</v>
      </c>
    </row>
    <row r="4503" spans="1:6" x14ac:dyDescent="0.25">
      <c r="A4503" s="62" t="s">
        <v>4715</v>
      </c>
      <c r="B4503" s="96" t="s">
        <v>5511</v>
      </c>
      <c r="C4503" s="96" t="str">
        <f t="shared" si="427"/>
        <v>COMPOSIÇÃOFF-140</v>
      </c>
      <c r="D4503" s="95" t="s">
        <v>5509</v>
      </c>
      <c r="E4503" s="63" t="s">
        <v>58</v>
      </c>
      <c r="F4503" s="64">
        <f>VLOOKUP(C4503,CPU!N:Q,4,0)</f>
        <v>48792.22</v>
      </c>
    </row>
    <row r="4504" spans="1:6" x14ac:dyDescent="0.25">
      <c r="A4504" s="238" t="s">
        <v>4713</v>
      </c>
      <c r="B4504" s="234"/>
      <c r="C4504" s="234"/>
      <c r="D4504" s="235"/>
      <c r="E4504" s="236"/>
      <c r="F4504" s="237"/>
    </row>
    <row r="4505" spans="1:6" x14ac:dyDescent="0.25">
      <c r="A4505" s="62" t="s">
        <v>5437</v>
      </c>
      <c r="B4505" s="96" t="s">
        <v>5438</v>
      </c>
      <c r="C4505" s="96" t="str">
        <f>A4505&amp;B4505</f>
        <v>SINDUSCONREF-EXT-VB1</v>
      </c>
      <c r="D4505" s="95" t="s">
        <v>5443</v>
      </c>
      <c r="E4505" s="344" t="s">
        <v>4740</v>
      </c>
      <c r="F4505" s="64">
        <f>'PO-SEDE'!H387*0.1/6</f>
        <v>38289.17833333333</v>
      </c>
    </row>
    <row r="4506" spans="1:6" x14ac:dyDescent="0.25">
      <c r="A4506" s="62" t="s">
        <v>5437</v>
      </c>
      <c r="B4506" s="96" t="s">
        <v>5439</v>
      </c>
      <c r="C4506" s="96" t="str">
        <f t="shared" ref="C4506:C4508" si="428">A4506&amp;B4506</f>
        <v>SINDUSCONREF-EXT-VB2</v>
      </c>
      <c r="D4506" s="95" t="s">
        <v>5442</v>
      </c>
      <c r="E4506" s="344" t="s">
        <v>4740</v>
      </c>
      <c r="F4506" s="64" t="e">
        <f>#REF!*0.1/6</f>
        <v>#REF!</v>
      </c>
    </row>
    <row r="4507" spans="1:6" x14ac:dyDescent="0.25">
      <c r="A4507" s="62" t="s">
        <v>5437</v>
      </c>
      <c r="B4507" s="96" t="s">
        <v>5440</v>
      </c>
      <c r="C4507" s="96" t="str">
        <f t="shared" si="428"/>
        <v>SINDUSCONREF-EXT-VB3</v>
      </c>
      <c r="D4507" s="95" t="s">
        <v>5444</v>
      </c>
      <c r="E4507" s="344" t="s">
        <v>4740</v>
      </c>
      <c r="F4507" s="64" t="e">
        <f>#REF!*0.1/6</f>
        <v>#REF!</v>
      </c>
    </row>
    <row r="4508" spans="1:6" x14ac:dyDescent="0.25">
      <c r="A4508" s="62" t="s">
        <v>5437</v>
      </c>
      <c r="B4508" s="96" t="s">
        <v>5441</v>
      </c>
      <c r="C4508" s="96" t="str">
        <f t="shared" si="428"/>
        <v>SINDUSCONREF-EXT-VB4</v>
      </c>
      <c r="D4508" s="95" t="s">
        <v>5445</v>
      </c>
      <c r="E4508" s="344" t="s">
        <v>4740</v>
      </c>
      <c r="F4508" s="64" t="e">
        <f>#REF!*0.1/6</f>
        <v>#REF!</v>
      </c>
    </row>
  </sheetData>
  <autoFilter ref="A1:F4331"/>
  <pageMargins left="0.511811024" right="0.511811024" top="0.78740157499999996" bottom="0.78740157499999996" header="0.31496062000000002" footer="0.31496062000000002"/>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9"/>
  <sheetViews>
    <sheetView topLeftCell="A251" zoomScale="80" zoomScaleNormal="80" workbookViewId="0">
      <selection activeCell="B4502" sqref="A4502:B4502"/>
    </sheetView>
  </sheetViews>
  <sheetFormatPr defaultColWidth="9.140625" defaultRowHeight="15" x14ac:dyDescent="0.25"/>
  <cols>
    <col min="1" max="1" width="9.140625" style="321"/>
    <col min="2" max="2" width="9.140625" style="322"/>
    <col min="3" max="3" width="22.28515625" style="321" bestFit="1" customWidth="1"/>
    <col min="4" max="4" width="47.5703125" style="325" customWidth="1"/>
    <col min="5" max="5" width="9.140625" style="321"/>
    <col min="6" max="6" width="12.28515625" style="324" bestFit="1" customWidth="1"/>
    <col min="7" max="16384" width="9.140625" style="321"/>
  </cols>
  <sheetData>
    <row r="1" spans="1:7" x14ac:dyDescent="0.25">
      <c r="D1" s="323" t="s">
        <v>4396</v>
      </c>
    </row>
    <row r="2" spans="1:7" x14ac:dyDescent="0.25">
      <c r="A2" s="321" t="s">
        <v>4398</v>
      </c>
      <c r="B2" s="322">
        <v>10101</v>
      </c>
      <c r="C2" s="321" t="str">
        <f t="shared" ref="C2:C33" si="0">A2&amp;B2</f>
        <v>CPOS10101</v>
      </c>
      <c r="D2" s="325" t="s">
        <v>4362</v>
      </c>
      <c r="E2" s="321" t="s">
        <v>129</v>
      </c>
      <c r="F2" s="324">
        <v>11.238228999999999</v>
      </c>
      <c r="G2" s="321" t="s">
        <v>4395</v>
      </c>
    </row>
    <row r="3" spans="1:7" x14ac:dyDescent="0.25">
      <c r="A3" s="321" t="s">
        <v>4398</v>
      </c>
      <c r="B3" s="322">
        <v>10106</v>
      </c>
      <c r="C3" s="321" t="str">
        <f t="shared" si="0"/>
        <v>CPOS10106</v>
      </c>
      <c r="D3" s="325" t="s">
        <v>4363</v>
      </c>
      <c r="E3" s="321" t="s">
        <v>129</v>
      </c>
      <c r="F3" s="324">
        <v>13.575469</v>
      </c>
      <c r="G3" s="321" t="s">
        <v>4395</v>
      </c>
    </row>
    <row r="4" spans="1:7" x14ac:dyDescent="0.25">
      <c r="A4" s="321" t="s">
        <v>4398</v>
      </c>
      <c r="B4" s="322">
        <v>10109</v>
      </c>
      <c r="C4" s="321" t="str">
        <f t="shared" si="0"/>
        <v>CPOS10109</v>
      </c>
      <c r="D4" s="325" t="s">
        <v>4364</v>
      </c>
      <c r="E4" s="321" t="s">
        <v>129</v>
      </c>
      <c r="F4" s="324">
        <v>12.192601999999999</v>
      </c>
      <c r="G4" s="321" t="s">
        <v>4395</v>
      </c>
    </row>
    <row r="5" spans="1:7" x14ac:dyDescent="0.25">
      <c r="A5" s="321" t="s">
        <v>4398</v>
      </c>
      <c r="B5" s="322">
        <v>10111</v>
      </c>
      <c r="C5" s="321" t="str">
        <f t="shared" si="0"/>
        <v>CPOS10111</v>
      </c>
      <c r="D5" s="325" t="s">
        <v>4365</v>
      </c>
      <c r="E5" s="321" t="s">
        <v>129</v>
      </c>
      <c r="F5" s="324">
        <v>13.380699</v>
      </c>
      <c r="G5" s="321" t="s">
        <v>4395</v>
      </c>
    </row>
    <row r="6" spans="1:7" x14ac:dyDescent="0.25">
      <c r="A6" s="321" t="s">
        <v>4398</v>
      </c>
      <c r="B6" s="322">
        <v>10112</v>
      </c>
      <c r="C6" s="321" t="str">
        <f t="shared" si="0"/>
        <v>CPOS10112</v>
      </c>
      <c r="D6" s="325" t="s">
        <v>4366</v>
      </c>
      <c r="E6" s="321" t="s">
        <v>129</v>
      </c>
      <c r="F6" s="324">
        <v>10.985028</v>
      </c>
      <c r="G6" s="321" t="s">
        <v>4395</v>
      </c>
    </row>
    <row r="7" spans="1:7" x14ac:dyDescent="0.25">
      <c r="A7" s="321" t="s">
        <v>4398</v>
      </c>
      <c r="B7" s="322">
        <v>10115</v>
      </c>
      <c r="C7" s="321" t="str">
        <f t="shared" si="0"/>
        <v>CPOS10115</v>
      </c>
      <c r="D7" s="325" t="s">
        <v>4367</v>
      </c>
      <c r="E7" s="321" t="s">
        <v>129</v>
      </c>
      <c r="F7" s="324">
        <v>15.5816</v>
      </c>
      <c r="G7" s="321" t="s">
        <v>4395</v>
      </c>
    </row>
    <row r="8" spans="1:7" x14ac:dyDescent="0.25">
      <c r="A8" s="321" t="s">
        <v>4398</v>
      </c>
      <c r="B8" s="322">
        <v>10116</v>
      </c>
      <c r="C8" s="321" t="str">
        <f t="shared" si="0"/>
        <v>CPOS10116</v>
      </c>
      <c r="D8" s="325" t="s">
        <v>4368</v>
      </c>
      <c r="E8" s="321" t="s">
        <v>129</v>
      </c>
      <c r="F8" s="324">
        <v>10.985028</v>
      </c>
      <c r="G8" s="321" t="s">
        <v>4395</v>
      </c>
    </row>
    <row r="9" spans="1:7" x14ac:dyDescent="0.25">
      <c r="A9" s="321" t="s">
        <v>4398</v>
      </c>
      <c r="B9" s="322">
        <v>10117</v>
      </c>
      <c r="C9" s="321" t="str">
        <f t="shared" si="0"/>
        <v>CPOS10117</v>
      </c>
      <c r="D9" s="325" t="s">
        <v>4369</v>
      </c>
      <c r="E9" s="321" t="s">
        <v>129</v>
      </c>
      <c r="F9" s="324">
        <v>36.324604999999998</v>
      </c>
      <c r="G9" s="321" t="s">
        <v>4395</v>
      </c>
    </row>
    <row r="10" spans="1:7" x14ac:dyDescent="0.25">
      <c r="A10" s="321" t="s">
        <v>4398</v>
      </c>
      <c r="B10" s="322">
        <v>10118</v>
      </c>
      <c r="C10" s="321" t="str">
        <f t="shared" si="0"/>
        <v>CPOS10118</v>
      </c>
      <c r="D10" s="325" t="s">
        <v>4370</v>
      </c>
      <c r="E10" s="321" t="s">
        <v>129</v>
      </c>
      <c r="F10" s="324">
        <v>16.906036</v>
      </c>
      <c r="G10" s="321" t="s">
        <v>4395</v>
      </c>
    </row>
    <row r="11" spans="1:7" x14ac:dyDescent="0.25">
      <c r="A11" s="321" t="s">
        <v>4398</v>
      </c>
      <c r="B11" s="322">
        <v>10119</v>
      </c>
      <c r="C11" s="321" t="str">
        <f t="shared" si="0"/>
        <v>CPOS10119</v>
      </c>
      <c r="D11" s="325" t="s">
        <v>4371</v>
      </c>
      <c r="E11" s="321" t="s">
        <v>129</v>
      </c>
      <c r="F11" s="324">
        <v>10.985028</v>
      </c>
      <c r="G11" s="321" t="s">
        <v>4395</v>
      </c>
    </row>
    <row r="12" spans="1:7" x14ac:dyDescent="0.25">
      <c r="A12" s="321" t="s">
        <v>4398</v>
      </c>
      <c r="B12" s="322">
        <v>10121</v>
      </c>
      <c r="C12" s="321" t="str">
        <f t="shared" si="0"/>
        <v>CPOS10121</v>
      </c>
      <c r="D12" s="325" t="s">
        <v>4372</v>
      </c>
      <c r="E12" s="321" t="s">
        <v>129</v>
      </c>
      <c r="F12" s="324">
        <v>13.692331000000001</v>
      </c>
      <c r="G12" s="321" t="s">
        <v>4395</v>
      </c>
    </row>
    <row r="13" spans="1:7" x14ac:dyDescent="0.25">
      <c r="A13" s="321" t="s">
        <v>4398</v>
      </c>
      <c r="B13" s="322">
        <v>10122</v>
      </c>
      <c r="C13" s="321" t="str">
        <f t="shared" si="0"/>
        <v>CPOS10122</v>
      </c>
      <c r="D13" s="325" t="s">
        <v>4373</v>
      </c>
      <c r="E13" s="321" t="s">
        <v>129</v>
      </c>
      <c r="F13" s="324">
        <v>10.985028</v>
      </c>
      <c r="G13" s="321" t="s">
        <v>4395</v>
      </c>
    </row>
    <row r="14" spans="1:7" x14ac:dyDescent="0.25">
      <c r="A14" s="321" t="s">
        <v>4398</v>
      </c>
      <c r="B14" s="322">
        <v>10123</v>
      </c>
      <c r="C14" s="321" t="str">
        <f t="shared" si="0"/>
        <v>CPOS10123</v>
      </c>
      <c r="D14" s="325" t="s">
        <v>4374</v>
      </c>
      <c r="E14" s="321" t="s">
        <v>129</v>
      </c>
      <c r="F14" s="324">
        <v>12.971681999999999</v>
      </c>
      <c r="G14" s="321" t="s">
        <v>4395</v>
      </c>
    </row>
    <row r="15" spans="1:7" x14ac:dyDescent="0.25">
      <c r="A15" s="321" t="s">
        <v>4398</v>
      </c>
      <c r="B15" s="322">
        <v>10124</v>
      </c>
      <c r="C15" s="321" t="str">
        <f t="shared" si="0"/>
        <v>CPOS10124</v>
      </c>
      <c r="D15" s="325" t="s">
        <v>4375</v>
      </c>
      <c r="E15" s="321" t="s">
        <v>129</v>
      </c>
      <c r="F15" s="324">
        <v>14.938858999999999</v>
      </c>
      <c r="G15" s="321" t="s">
        <v>4395</v>
      </c>
    </row>
    <row r="16" spans="1:7" x14ac:dyDescent="0.25">
      <c r="A16" s="321" t="s">
        <v>4398</v>
      </c>
      <c r="B16" s="322">
        <v>10126</v>
      </c>
      <c r="C16" s="321" t="str">
        <f t="shared" si="0"/>
        <v>CPOS10126</v>
      </c>
      <c r="D16" s="325" t="s">
        <v>4376</v>
      </c>
      <c r="E16" s="321" t="s">
        <v>129</v>
      </c>
      <c r="F16" s="324">
        <v>12.07574</v>
      </c>
      <c r="G16" s="321" t="s">
        <v>4395</v>
      </c>
    </row>
    <row r="17" spans="1:8" x14ac:dyDescent="0.25">
      <c r="A17" s="321" t="s">
        <v>4398</v>
      </c>
      <c r="B17" s="322">
        <v>10130</v>
      </c>
      <c r="C17" s="321" t="str">
        <f t="shared" si="0"/>
        <v>CPOS10130</v>
      </c>
      <c r="D17" s="325" t="s">
        <v>4377</v>
      </c>
      <c r="E17" s="321" t="s">
        <v>129</v>
      </c>
      <c r="F17" s="324">
        <v>21.210453000000001</v>
      </c>
      <c r="G17" s="321" t="s">
        <v>4395</v>
      </c>
    </row>
    <row r="18" spans="1:8" x14ac:dyDescent="0.25">
      <c r="A18" s="321" t="s">
        <v>4398</v>
      </c>
      <c r="B18" s="322">
        <v>10139</v>
      </c>
      <c r="C18" s="321" t="str">
        <f t="shared" si="0"/>
        <v>CPOS10139</v>
      </c>
      <c r="D18" s="325" t="s">
        <v>4378</v>
      </c>
      <c r="E18" s="321" t="s">
        <v>129</v>
      </c>
      <c r="F18" s="324">
        <v>13.731285</v>
      </c>
      <c r="G18" s="321" t="s">
        <v>4395</v>
      </c>
    </row>
    <row r="19" spans="1:8" x14ac:dyDescent="0.25">
      <c r="A19" s="321" t="s">
        <v>4398</v>
      </c>
      <c r="B19" s="322">
        <v>10140</v>
      </c>
      <c r="C19" s="321" t="str">
        <f t="shared" si="0"/>
        <v>CPOS10140</v>
      </c>
      <c r="D19" s="325" t="s">
        <v>4379</v>
      </c>
      <c r="E19" s="321" t="s">
        <v>129</v>
      </c>
      <c r="F19" s="324">
        <v>14.198733000000001</v>
      </c>
      <c r="G19" s="321" t="s">
        <v>4395</v>
      </c>
    </row>
    <row r="20" spans="1:8" x14ac:dyDescent="0.25">
      <c r="A20" s="321" t="s">
        <v>4398</v>
      </c>
      <c r="B20" s="322">
        <v>10141</v>
      </c>
      <c r="C20" s="321" t="str">
        <f t="shared" si="0"/>
        <v>CPOS10141</v>
      </c>
      <c r="D20" s="325" t="s">
        <v>4380</v>
      </c>
      <c r="E20" s="321" t="s">
        <v>129</v>
      </c>
      <c r="F20" s="324">
        <v>10.985028</v>
      </c>
      <c r="G20" s="321" t="s">
        <v>4395</v>
      </c>
    </row>
    <row r="21" spans="1:8" x14ac:dyDescent="0.25">
      <c r="A21" s="321" t="s">
        <v>4398</v>
      </c>
      <c r="B21" s="322">
        <v>10142</v>
      </c>
      <c r="C21" s="321" t="str">
        <f t="shared" si="0"/>
        <v>CPOS10142</v>
      </c>
      <c r="D21" s="325" t="s">
        <v>4381</v>
      </c>
      <c r="E21" s="321" t="s">
        <v>129</v>
      </c>
      <c r="F21" s="324">
        <v>16.029571000000001</v>
      </c>
      <c r="G21" s="321" t="s">
        <v>4395</v>
      </c>
    </row>
    <row r="22" spans="1:8" x14ac:dyDescent="0.25">
      <c r="A22" s="321" t="s">
        <v>4398</v>
      </c>
      <c r="B22" s="322">
        <v>10143</v>
      </c>
      <c r="C22" s="321" t="str">
        <f t="shared" si="0"/>
        <v>CPOS10143</v>
      </c>
      <c r="D22" s="325" t="s">
        <v>4382</v>
      </c>
      <c r="E22" s="321" t="s">
        <v>129</v>
      </c>
      <c r="F22" s="324">
        <v>21.561039000000001</v>
      </c>
      <c r="G22" s="321" t="s">
        <v>4395</v>
      </c>
    </row>
    <row r="23" spans="1:8" x14ac:dyDescent="0.25">
      <c r="A23" s="321" t="s">
        <v>4398</v>
      </c>
      <c r="B23" s="322">
        <v>10144</v>
      </c>
      <c r="C23" s="321" t="str">
        <f t="shared" si="0"/>
        <v>CPOS10144</v>
      </c>
      <c r="D23" s="325" t="s">
        <v>4383</v>
      </c>
      <c r="E23" s="321" t="s">
        <v>129</v>
      </c>
      <c r="F23" s="324">
        <v>18.133087</v>
      </c>
      <c r="G23" s="321" t="s">
        <v>4395</v>
      </c>
    </row>
    <row r="24" spans="1:8" x14ac:dyDescent="0.25">
      <c r="A24" s="321" t="s">
        <v>4398</v>
      </c>
      <c r="B24" s="322">
        <v>10145</v>
      </c>
      <c r="C24" s="321" t="str">
        <f t="shared" si="0"/>
        <v>CPOS10145</v>
      </c>
      <c r="D24" s="325" t="s">
        <v>4385</v>
      </c>
      <c r="E24" s="321" t="s">
        <v>129</v>
      </c>
      <c r="F24" s="324">
        <v>10.985028</v>
      </c>
      <c r="G24" s="321" t="s">
        <v>4395</v>
      </c>
    </row>
    <row r="25" spans="1:8" x14ac:dyDescent="0.25">
      <c r="A25" s="321" t="s">
        <v>4398</v>
      </c>
      <c r="B25" s="322">
        <v>10146</v>
      </c>
      <c r="C25" s="321" t="str">
        <f t="shared" si="0"/>
        <v>CPOS10146</v>
      </c>
      <c r="D25" s="325" t="s">
        <v>4384</v>
      </c>
      <c r="E25" s="321" t="s">
        <v>129</v>
      </c>
      <c r="F25" s="324">
        <v>11.335614</v>
      </c>
      <c r="G25" s="321" t="s">
        <v>4395</v>
      </c>
      <c r="H25" s="326"/>
    </row>
    <row r="26" spans="1:8" x14ac:dyDescent="0.25">
      <c r="A26" s="321" t="s">
        <v>4398</v>
      </c>
      <c r="B26" s="322">
        <v>10148</v>
      </c>
      <c r="C26" s="321" t="str">
        <f t="shared" si="0"/>
        <v>CPOS10148</v>
      </c>
      <c r="D26" s="325" t="s">
        <v>4386</v>
      </c>
      <c r="E26" s="321" t="s">
        <v>129</v>
      </c>
      <c r="F26" s="324">
        <v>17.782501</v>
      </c>
      <c r="G26" s="321" t="s">
        <v>4395</v>
      </c>
    </row>
    <row r="27" spans="1:8" x14ac:dyDescent="0.25">
      <c r="A27" s="321" t="s">
        <v>4398</v>
      </c>
      <c r="B27" s="322">
        <v>10160</v>
      </c>
      <c r="C27" s="321" t="str">
        <f t="shared" si="0"/>
        <v>CPOS10160</v>
      </c>
      <c r="D27" s="325" t="s">
        <v>4387</v>
      </c>
      <c r="E27" s="321" t="s">
        <v>129</v>
      </c>
      <c r="F27" s="324">
        <v>11.218752</v>
      </c>
      <c r="G27" s="321" t="s">
        <v>4395</v>
      </c>
    </row>
    <row r="28" spans="1:8" x14ac:dyDescent="0.25">
      <c r="A28" s="321" t="s">
        <v>4398</v>
      </c>
      <c r="B28" s="322">
        <v>10185</v>
      </c>
      <c r="C28" s="321" t="str">
        <f t="shared" si="0"/>
        <v>CPOS10185</v>
      </c>
      <c r="D28" s="325" t="s">
        <v>4388</v>
      </c>
      <c r="E28" s="321" t="s">
        <v>129</v>
      </c>
      <c r="F28" s="324">
        <v>24.015141</v>
      </c>
      <c r="G28" s="321" t="s">
        <v>4395</v>
      </c>
    </row>
    <row r="29" spans="1:8" x14ac:dyDescent="0.25">
      <c r="A29" s="321" t="s">
        <v>4398</v>
      </c>
      <c r="B29" s="322">
        <v>10186</v>
      </c>
      <c r="C29" s="321" t="str">
        <f t="shared" si="0"/>
        <v>CPOS10186</v>
      </c>
      <c r="D29" s="325" t="s">
        <v>4389</v>
      </c>
      <c r="E29" s="321" t="s">
        <v>129</v>
      </c>
      <c r="F29" s="324">
        <v>16.399633999999999</v>
      </c>
      <c r="G29" s="321" t="s">
        <v>4395</v>
      </c>
    </row>
    <row r="30" spans="1:8" x14ac:dyDescent="0.25">
      <c r="A30" s="321" t="s">
        <v>4398</v>
      </c>
      <c r="B30" s="322">
        <v>10187</v>
      </c>
      <c r="C30" s="321" t="str">
        <f t="shared" si="0"/>
        <v>CPOS10187</v>
      </c>
      <c r="D30" s="325" t="s">
        <v>4390</v>
      </c>
      <c r="E30" s="321" t="s">
        <v>129</v>
      </c>
      <c r="F30" s="324">
        <v>21.366269000000003</v>
      </c>
      <c r="G30" s="321" t="s">
        <v>4395</v>
      </c>
    </row>
    <row r="31" spans="1:8" x14ac:dyDescent="0.25">
      <c r="A31" s="321" t="s">
        <v>4398</v>
      </c>
      <c r="B31" s="322">
        <v>10195</v>
      </c>
      <c r="C31" s="321" t="str">
        <f t="shared" si="0"/>
        <v>CPOS10195</v>
      </c>
      <c r="D31" s="325" t="s">
        <v>4391</v>
      </c>
      <c r="E31" s="321" t="s">
        <v>129</v>
      </c>
      <c r="F31" s="324">
        <v>11.238228999999999</v>
      </c>
      <c r="G31" s="321" t="s">
        <v>4395</v>
      </c>
    </row>
    <row r="32" spans="1:8" x14ac:dyDescent="0.25">
      <c r="A32" s="321" t="s">
        <v>4398</v>
      </c>
      <c r="B32" s="322">
        <v>10197</v>
      </c>
      <c r="C32" s="321" t="str">
        <f t="shared" si="0"/>
        <v>CPOS10197</v>
      </c>
      <c r="D32" s="325" t="s">
        <v>4392</v>
      </c>
      <c r="E32" s="321" t="s">
        <v>129</v>
      </c>
      <c r="F32" s="324">
        <v>28.592236</v>
      </c>
      <c r="G32" s="321" t="s">
        <v>4395</v>
      </c>
    </row>
    <row r="33" spans="1:8" x14ac:dyDescent="0.25">
      <c r="A33" s="321" t="s">
        <v>4398</v>
      </c>
      <c r="B33" s="322">
        <v>10198</v>
      </c>
      <c r="C33" s="321" t="str">
        <f t="shared" si="0"/>
        <v>CPOS10198</v>
      </c>
      <c r="D33" s="325" t="s">
        <v>4393</v>
      </c>
      <c r="E33" s="321" t="s">
        <v>129</v>
      </c>
      <c r="F33" s="324">
        <v>20.606666000000001</v>
      </c>
      <c r="G33" s="321" t="s">
        <v>4395</v>
      </c>
    </row>
    <row r="34" spans="1:8" x14ac:dyDescent="0.25">
      <c r="A34" s="321" t="s">
        <v>4398</v>
      </c>
      <c r="B34" s="322">
        <v>10506</v>
      </c>
      <c r="C34" s="321" t="str">
        <f t="shared" ref="C34:C65" si="1">A34&amp;B34</f>
        <v>CPOS10506</v>
      </c>
      <c r="D34" s="325" t="s">
        <v>4394</v>
      </c>
      <c r="E34" s="321" t="s">
        <v>129</v>
      </c>
      <c r="F34" s="324">
        <v>20.587189000000002</v>
      </c>
      <c r="G34" s="321" t="s">
        <v>4395</v>
      </c>
    </row>
    <row r="35" spans="1:8" x14ac:dyDescent="0.25">
      <c r="A35" s="321" t="s">
        <v>4398</v>
      </c>
      <c r="B35" s="322">
        <v>10150</v>
      </c>
      <c r="C35" s="321" t="str">
        <f t="shared" si="1"/>
        <v>CPOS10150</v>
      </c>
      <c r="D35" s="325" t="s">
        <v>5164</v>
      </c>
      <c r="E35" s="321" t="s">
        <v>129</v>
      </c>
      <c r="F35" s="324">
        <v>7.28</v>
      </c>
      <c r="G35" s="321" t="s">
        <v>4395</v>
      </c>
    </row>
    <row r="36" spans="1:8" x14ac:dyDescent="0.25">
      <c r="A36" s="321" t="s">
        <v>4398</v>
      </c>
      <c r="B36" s="322">
        <v>10151</v>
      </c>
      <c r="C36" s="321" t="str">
        <f t="shared" si="1"/>
        <v>CPOS10151</v>
      </c>
      <c r="D36" s="325" t="s">
        <v>5165</v>
      </c>
      <c r="E36" s="321" t="s">
        <v>129</v>
      </c>
      <c r="F36" s="324">
        <v>5.99</v>
      </c>
      <c r="G36" s="321" t="s">
        <v>4395</v>
      </c>
    </row>
    <row r="37" spans="1:8" x14ac:dyDescent="0.25">
      <c r="A37" s="321" t="s">
        <v>4398</v>
      </c>
      <c r="B37" s="322">
        <v>20702</v>
      </c>
      <c r="C37" s="321" t="str">
        <f t="shared" si="1"/>
        <v>CPOS20702</v>
      </c>
      <c r="D37" s="325" t="s">
        <v>4779</v>
      </c>
      <c r="E37" s="321" t="s">
        <v>129</v>
      </c>
      <c r="F37" s="324">
        <v>389.90899999999999</v>
      </c>
      <c r="G37" s="321" t="s">
        <v>4395</v>
      </c>
      <c r="H37" s="321" t="s">
        <v>4792</v>
      </c>
    </row>
    <row r="38" spans="1:8" x14ac:dyDescent="0.25">
      <c r="A38" s="321" t="s">
        <v>4398</v>
      </c>
      <c r="B38" s="322">
        <v>20703</v>
      </c>
      <c r="C38" s="321" t="str">
        <f t="shared" si="1"/>
        <v>CPOS20703</v>
      </c>
      <c r="D38" s="325" t="s">
        <v>4780</v>
      </c>
      <c r="E38" s="321" t="s">
        <v>129</v>
      </c>
      <c r="F38" s="324">
        <v>251.63</v>
      </c>
      <c r="G38" s="321" t="s">
        <v>4395</v>
      </c>
      <c r="H38" s="321" t="s">
        <v>4792</v>
      </c>
    </row>
    <row r="39" spans="1:8" x14ac:dyDescent="0.25">
      <c r="A39" s="321" t="s">
        <v>4398</v>
      </c>
      <c r="B39" s="322">
        <v>20704</v>
      </c>
      <c r="C39" s="321" t="str">
        <f t="shared" si="1"/>
        <v>CPOS20704</v>
      </c>
      <c r="D39" s="325" t="s">
        <v>4781</v>
      </c>
      <c r="E39" s="321" t="s">
        <v>129</v>
      </c>
      <c r="F39" s="324">
        <v>175.9</v>
      </c>
      <c r="G39" s="321" t="s">
        <v>4395</v>
      </c>
      <c r="H39" s="321" t="s">
        <v>4792</v>
      </c>
    </row>
    <row r="40" spans="1:8" x14ac:dyDescent="0.25">
      <c r="A40" s="321" t="s">
        <v>4398</v>
      </c>
      <c r="B40" s="322">
        <v>20705</v>
      </c>
      <c r="C40" s="321" t="str">
        <f t="shared" si="1"/>
        <v>CPOS20705</v>
      </c>
      <c r="D40" s="325" t="s">
        <v>4782</v>
      </c>
      <c r="E40" s="321" t="s">
        <v>129</v>
      </c>
      <c r="F40" s="324">
        <v>129.4</v>
      </c>
      <c r="G40" s="321" t="s">
        <v>4395</v>
      </c>
      <c r="H40" s="321" t="s">
        <v>4792</v>
      </c>
    </row>
    <row r="41" spans="1:8" ht="30" x14ac:dyDescent="0.25">
      <c r="A41" s="321" t="s">
        <v>4398</v>
      </c>
      <c r="B41" s="322">
        <v>20717</v>
      </c>
      <c r="C41" s="321" t="str">
        <f t="shared" si="1"/>
        <v>CPOS20717</v>
      </c>
      <c r="D41" s="325" t="s">
        <v>4783</v>
      </c>
      <c r="E41" s="321" t="s">
        <v>129</v>
      </c>
      <c r="F41" s="324">
        <v>79.790000000000006</v>
      </c>
      <c r="G41" s="321" t="s">
        <v>4395</v>
      </c>
      <c r="H41" s="321" t="s">
        <v>4792</v>
      </c>
    </row>
    <row r="42" spans="1:8" x14ac:dyDescent="0.25">
      <c r="A42" s="321" t="s">
        <v>4398</v>
      </c>
      <c r="B42" s="322">
        <v>20720</v>
      </c>
      <c r="C42" s="321" t="str">
        <f t="shared" si="1"/>
        <v>CPOS20720</v>
      </c>
      <c r="D42" s="325" t="s">
        <v>4784</v>
      </c>
      <c r="E42" s="321" t="s">
        <v>129</v>
      </c>
      <c r="F42" s="324">
        <v>72.319999999999993</v>
      </c>
      <c r="G42" s="321" t="s">
        <v>4395</v>
      </c>
      <c r="H42" s="321" t="s">
        <v>4792</v>
      </c>
    </row>
    <row r="43" spans="1:8" ht="30" x14ac:dyDescent="0.25">
      <c r="A43" s="321" t="s">
        <v>4398</v>
      </c>
      <c r="B43" s="322">
        <v>20734</v>
      </c>
      <c r="C43" s="321" t="str">
        <f t="shared" si="1"/>
        <v>CPOS20734</v>
      </c>
      <c r="D43" s="325" t="s">
        <v>4785</v>
      </c>
      <c r="E43" s="321" t="s">
        <v>129</v>
      </c>
      <c r="F43" s="324">
        <v>95.37</v>
      </c>
      <c r="G43" s="321" t="s">
        <v>4395</v>
      </c>
      <c r="H43" s="321" t="s">
        <v>4792</v>
      </c>
    </row>
    <row r="44" spans="1:8" ht="30" x14ac:dyDescent="0.25">
      <c r="A44" s="321" t="s">
        <v>4398</v>
      </c>
      <c r="B44" s="322">
        <v>20739</v>
      </c>
      <c r="C44" s="321" t="str">
        <f t="shared" si="1"/>
        <v>CPOS20739</v>
      </c>
      <c r="D44" s="325" t="s">
        <v>4786</v>
      </c>
      <c r="E44" s="321" t="s">
        <v>129</v>
      </c>
      <c r="F44" s="324">
        <v>251.63</v>
      </c>
      <c r="G44" s="321" t="s">
        <v>4395</v>
      </c>
      <c r="H44" s="321" t="s">
        <v>4792</v>
      </c>
    </row>
    <row r="45" spans="1:8" ht="30" x14ac:dyDescent="0.25">
      <c r="A45" s="321" t="s">
        <v>4398</v>
      </c>
      <c r="B45" s="322">
        <v>20744</v>
      </c>
      <c r="C45" s="321" t="str">
        <f t="shared" si="1"/>
        <v>CPOS20744</v>
      </c>
      <c r="D45" s="325" t="s">
        <v>4787</v>
      </c>
      <c r="E45" s="321" t="s">
        <v>129</v>
      </c>
      <c r="F45" s="324">
        <v>129.4</v>
      </c>
      <c r="G45" s="321" t="s">
        <v>4395</v>
      </c>
      <c r="H45" s="321" t="s">
        <v>4792</v>
      </c>
    </row>
    <row r="46" spans="1:8" ht="30" x14ac:dyDescent="0.25">
      <c r="A46" s="321" t="s">
        <v>4398</v>
      </c>
      <c r="B46" s="322">
        <v>20748</v>
      </c>
      <c r="C46" s="321" t="str">
        <f t="shared" si="1"/>
        <v>CPOS20748</v>
      </c>
      <c r="D46" s="325" t="s">
        <v>4788</v>
      </c>
      <c r="E46" s="321" t="s">
        <v>129</v>
      </c>
      <c r="F46" s="324">
        <v>248.33</v>
      </c>
      <c r="G46" s="321" t="s">
        <v>4395</v>
      </c>
      <c r="H46" s="321" t="s">
        <v>4792</v>
      </c>
    </row>
    <row r="47" spans="1:8" ht="30" x14ac:dyDescent="0.25">
      <c r="A47" s="321" t="s">
        <v>4398</v>
      </c>
      <c r="B47" s="322">
        <v>20750</v>
      </c>
      <c r="C47" s="321" t="str">
        <f t="shared" si="1"/>
        <v>CPOS20750</v>
      </c>
      <c r="D47" s="325" t="s">
        <v>4789</v>
      </c>
      <c r="E47" s="321" t="s">
        <v>129</v>
      </c>
      <c r="F47" s="324">
        <v>12.01</v>
      </c>
      <c r="G47" s="321" t="s">
        <v>4395</v>
      </c>
      <c r="H47" s="321" t="s">
        <v>4792</v>
      </c>
    </row>
    <row r="48" spans="1:8" x14ac:dyDescent="0.25">
      <c r="A48" s="321" t="s">
        <v>4398</v>
      </c>
      <c r="B48" s="322">
        <v>20753</v>
      </c>
      <c r="C48" s="321" t="str">
        <f t="shared" si="1"/>
        <v>CPOS20753</v>
      </c>
      <c r="D48" s="325" t="s">
        <v>4790</v>
      </c>
      <c r="E48" s="321" t="s">
        <v>129</v>
      </c>
      <c r="F48" s="324">
        <v>79.790000000000006</v>
      </c>
      <c r="G48" s="321" t="s">
        <v>4395</v>
      </c>
      <c r="H48" s="321" t="s">
        <v>4792</v>
      </c>
    </row>
    <row r="49" spans="1:8" ht="30" x14ac:dyDescent="0.25">
      <c r="A49" s="321" t="s">
        <v>4398</v>
      </c>
      <c r="B49" s="322">
        <v>20770</v>
      </c>
      <c r="C49" s="321" t="str">
        <f t="shared" si="1"/>
        <v>CPOS20770</v>
      </c>
      <c r="D49" s="325" t="s">
        <v>4791</v>
      </c>
      <c r="E49" s="321" t="s">
        <v>129</v>
      </c>
      <c r="F49" s="324">
        <v>129.4</v>
      </c>
      <c r="G49" s="321" t="s">
        <v>4395</v>
      </c>
      <c r="H49" s="321" t="s">
        <v>4792</v>
      </c>
    </row>
    <row r="50" spans="1:8" ht="30" x14ac:dyDescent="0.25">
      <c r="A50" s="321" t="s">
        <v>4398</v>
      </c>
      <c r="B50" s="322">
        <v>25673</v>
      </c>
      <c r="C50" s="321" t="str">
        <f t="shared" si="1"/>
        <v>CPOS25673</v>
      </c>
      <c r="D50" s="325" t="s">
        <v>5166</v>
      </c>
      <c r="E50" s="321" t="s">
        <v>81</v>
      </c>
      <c r="F50" s="324">
        <v>130.53</v>
      </c>
      <c r="G50" s="321" t="s">
        <v>4707</v>
      </c>
    </row>
    <row r="51" spans="1:8" x14ac:dyDescent="0.25">
      <c r="A51" s="321" t="s">
        <v>4398</v>
      </c>
      <c r="B51" s="322">
        <v>26599</v>
      </c>
      <c r="C51" s="321" t="str">
        <f t="shared" si="1"/>
        <v>CPOS26599</v>
      </c>
      <c r="D51" s="325" t="s">
        <v>5167</v>
      </c>
      <c r="E51" s="321" t="s">
        <v>81</v>
      </c>
      <c r="F51" s="324">
        <v>0.31</v>
      </c>
      <c r="G51" s="321" t="s">
        <v>4707</v>
      </c>
    </row>
    <row r="52" spans="1:8" ht="30" x14ac:dyDescent="0.25">
      <c r="A52" s="321" t="s">
        <v>4398</v>
      </c>
      <c r="B52" s="322">
        <v>80352</v>
      </c>
      <c r="C52" s="321" t="str">
        <f t="shared" si="1"/>
        <v>CPOS80352</v>
      </c>
      <c r="D52" s="325" t="s">
        <v>4794</v>
      </c>
      <c r="E52" s="321" t="s">
        <v>129</v>
      </c>
      <c r="F52" s="324">
        <v>56.18</v>
      </c>
      <c r="G52" s="321" t="s">
        <v>4795</v>
      </c>
      <c r="H52" s="321" t="s">
        <v>4792</v>
      </c>
    </row>
    <row r="53" spans="1:8" x14ac:dyDescent="0.25">
      <c r="A53" s="321" t="s">
        <v>4398</v>
      </c>
      <c r="B53" s="322">
        <v>80359</v>
      </c>
      <c r="C53" s="321" t="str">
        <f t="shared" si="1"/>
        <v>CPOS80359</v>
      </c>
      <c r="D53" s="325" t="s">
        <v>4796</v>
      </c>
      <c r="E53" s="321" t="s">
        <v>129</v>
      </c>
      <c r="F53" s="324">
        <v>56.25</v>
      </c>
      <c r="G53" s="321" t="s">
        <v>4795</v>
      </c>
      <c r="H53" s="321" t="s">
        <v>4792</v>
      </c>
    </row>
    <row r="54" spans="1:8" x14ac:dyDescent="0.25">
      <c r="A54" s="321" t="s">
        <v>4398</v>
      </c>
      <c r="B54" s="322">
        <v>20514</v>
      </c>
      <c r="C54" s="321" t="str">
        <f t="shared" si="1"/>
        <v>CPOS20514</v>
      </c>
      <c r="D54" s="325" t="s">
        <v>4706</v>
      </c>
      <c r="E54" s="321" t="s">
        <v>119</v>
      </c>
      <c r="F54" s="324">
        <v>68.92</v>
      </c>
      <c r="G54" s="321" t="s">
        <v>4707</v>
      </c>
    </row>
    <row r="55" spans="1:8" x14ac:dyDescent="0.25">
      <c r="A55" s="321" t="s">
        <v>4398</v>
      </c>
      <c r="B55" s="322">
        <v>37501</v>
      </c>
      <c r="C55" s="321" t="str">
        <f t="shared" si="1"/>
        <v>CPOS37501</v>
      </c>
      <c r="D55" s="325" t="s">
        <v>4735</v>
      </c>
      <c r="E55" s="321" t="s">
        <v>329</v>
      </c>
      <c r="F55" s="324">
        <v>22.86</v>
      </c>
      <c r="G55" s="321" t="s">
        <v>4707</v>
      </c>
    </row>
    <row r="56" spans="1:8" x14ac:dyDescent="0.25">
      <c r="A56" s="321" t="s">
        <v>4398</v>
      </c>
      <c r="B56" s="322">
        <v>230811</v>
      </c>
      <c r="C56" s="321" t="str">
        <f t="shared" si="1"/>
        <v>CPOS230811</v>
      </c>
      <c r="D56" s="325" t="s">
        <v>1311</v>
      </c>
      <c r="E56" s="321" t="s">
        <v>81</v>
      </c>
      <c r="F56" s="324">
        <v>101.87</v>
      </c>
      <c r="G56" s="321" t="s">
        <v>4707</v>
      </c>
    </row>
    <row r="57" spans="1:8" x14ac:dyDescent="0.25">
      <c r="A57" s="321" t="s">
        <v>4398</v>
      </c>
      <c r="B57" s="322">
        <v>210701</v>
      </c>
      <c r="C57" s="321" t="str">
        <f t="shared" si="1"/>
        <v>CPOS210701</v>
      </c>
      <c r="D57" s="325" t="s">
        <v>1215</v>
      </c>
      <c r="E57" s="321" t="s">
        <v>81</v>
      </c>
      <c r="F57" s="324">
        <v>105.81</v>
      </c>
      <c r="G57" s="321" t="s">
        <v>4707</v>
      </c>
    </row>
    <row r="58" spans="1:8" ht="30" x14ac:dyDescent="0.25">
      <c r="A58" s="321" t="s">
        <v>4398</v>
      </c>
      <c r="B58" s="322">
        <v>12701</v>
      </c>
      <c r="C58" s="321" t="str">
        <f t="shared" si="1"/>
        <v>CPOS12701</v>
      </c>
      <c r="D58" s="325" t="s">
        <v>200</v>
      </c>
      <c r="E58" s="321" t="s">
        <v>58</v>
      </c>
      <c r="F58" s="324">
        <v>8535.5499999999993</v>
      </c>
      <c r="G58" s="321" t="s">
        <v>4707</v>
      </c>
    </row>
    <row r="59" spans="1:8" ht="30" x14ac:dyDescent="0.25">
      <c r="A59" s="321" t="s">
        <v>4398</v>
      </c>
      <c r="B59" s="322">
        <v>12703</v>
      </c>
      <c r="C59" s="321" t="str">
        <f t="shared" si="1"/>
        <v>CPOS12703</v>
      </c>
      <c r="D59" s="325" t="s">
        <v>202</v>
      </c>
      <c r="E59" s="321" t="s">
        <v>58</v>
      </c>
      <c r="F59" s="324">
        <v>11999.65</v>
      </c>
      <c r="G59" s="321" t="s">
        <v>4707</v>
      </c>
    </row>
    <row r="60" spans="1:8" x14ac:dyDescent="0.25">
      <c r="A60" s="321" t="s">
        <v>4398</v>
      </c>
      <c r="B60" s="322">
        <v>12704</v>
      </c>
      <c r="C60" s="321" t="str">
        <f t="shared" si="1"/>
        <v>CPOS12704</v>
      </c>
      <c r="D60" s="325" t="s">
        <v>203</v>
      </c>
      <c r="E60" s="321" t="s">
        <v>58</v>
      </c>
      <c r="F60" s="324">
        <v>23213.200000000001</v>
      </c>
      <c r="G60" s="321" t="s">
        <v>4707</v>
      </c>
    </row>
    <row r="61" spans="1:8" x14ac:dyDescent="0.25">
      <c r="A61" s="321" t="s">
        <v>4398</v>
      </c>
      <c r="B61" s="322">
        <v>12705</v>
      </c>
      <c r="C61" s="321" t="str">
        <f t="shared" si="1"/>
        <v>CPOS12705</v>
      </c>
      <c r="D61" s="325" t="s">
        <v>4802</v>
      </c>
      <c r="E61" s="321" t="s">
        <v>58</v>
      </c>
      <c r="F61" s="324">
        <v>35739.19</v>
      </c>
      <c r="G61" s="321" t="s">
        <v>4707</v>
      </c>
    </row>
    <row r="62" spans="1:8" ht="30" x14ac:dyDescent="0.25">
      <c r="A62" s="321" t="s">
        <v>4398</v>
      </c>
      <c r="B62" s="321">
        <v>12706</v>
      </c>
      <c r="C62" s="321" t="str">
        <f t="shared" si="1"/>
        <v>CPOS12706</v>
      </c>
      <c r="D62" s="325" t="s">
        <v>205</v>
      </c>
      <c r="E62" s="321" t="s">
        <v>58</v>
      </c>
      <c r="F62" s="324">
        <v>14506.15</v>
      </c>
      <c r="G62" s="321" t="s">
        <v>4707</v>
      </c>
    </row>
    <row r="63" spans="1:8" x14ac:dyDescent="0.25">
      <c r="A63" s="321" t="s">
        <v>4398</v>
      </c>
      <c r="B63" s="321">
        <v>12707</v>
      </c>
      <c r="C63" s="321" t="str">
        <f t="shared" si="1"/>
        <v>CPOS12707</v>
      </c>
      <c r="D63" s="325" t="s">
        <v>206</v>
      </c>
      <c r="E63" s="321" t="s">
        <v>58</v>
      </c>
      <c r="F63" s="324">
        <v>17331.75</v>
      </c>
      <c r="G63" s="321" t="s">
        <v>4707</v>
      </c>
    </row>
    <row r="64" spans="1:8" x14ac:dyDescent="0.25">
      <c r="A64" s="321" t="s">
        <v>4398</v>
      </c>
      <c r="B64" s="322">
        <v>80349</v>
      </c>
      <c r="C64" s="321" t="str">
        <f t="shared" si="1"/>
        <v>CPOS80349</v>
      </c>
      <c r="D64" s="325" t="s">
        <v>4804</v>
      </c>
      <c r="E64" s="321" t="s">
        <v>129</v>
      </c>
      <c r="F64" s="324">
        <v>50.72</v>
      </c>
      <c r="G64" s="321" t="s">
        <v>4795</v>
      </c>
    </row>
    <row r="65" spans="1:7" ht="30" x14ac:dyDescent="0.25">
      <c r="A65" s="321" t="s">
        <v>4398</v>
      </c>
      <c r="B65" s="322">
        <v>80351</v>
      </c>
      <c r="C65" s="321" t="str">
        <f t="shared" si="1"/>
        <v>CPOS80351</v>
      </c>
      <c r="D65" s="325" t="s">
        <v>4811</v>
      </c>
      <c r="E65" s="321" t="s">
        <v>129</v>
      </c>
      <c r="F65" s="324">
        <v>116.93</v>
      </c>
      <c r="G65" s="321" t="s">
        <v>4795</v>
      </c>
    </row>
    <row r="66" spans="1:7" ht="30" x14ac:dyDescent="0.25">
      <c r="A66" s="321" t="s">
        <v>4398</v>
      </c>
      <c r="B66" s="322">
        <v>80102</v>
      </c>
      <c r="C66" s="321" t="str">
        <f t="shared" ref="C66:C97" si="2">A66&amp;B66</f>
        <v>CPOS80102</v>
      </c>
      <c r="D66" s="325" t="s">
        <v>4812</v>
      </c>
      <c r="E66" s="321" t="s">
        <v>129</v>
      </c>
      <c r="F66" s="324">
        <v>98</v>
      </c>
      <c r="G66" s="321" t="s">
        <v>4795</v>
      </c>
    </row>
    <row r="67" spans="1:7" ht="30" x14ac:dyDescent="0.25">
      <c r="A67" s="321" t="s">
        <v>4398</v>
      </c>
      <c r="B67" s="322">
        <v>80258</v>
      </c>
      <c r="C67" s="321" t="str">
        <f t="shared" si="2"/>
        <v>CPOS80258</v>
      </c>
      <c r="D67" s="325" t="s">
        <v>4813</v>
      </c>
      <c r="E67" s="321" t="s">
        <v>129</v>
      </c>
      <c r="F67" s="324">
        <v>98.75</v>
      </c>
      <c r="G67" s="321" t="s">
        <v>4795</v>
      </c>
    </row>
    <row r="68" spans="1:7" ht="45" x14ac:dyDescent="0.25">
      <c r="A68" s="321" t="s">
        <v>4398</v>
      </c>
      <c r="B68" s="322">
        <v>20903</v>
      </c>
      <c r="C68" s="322" t="str">
        <f t="shared" si="2"/>
        <v>CPOS20903</v>
      </c>
      <c r="D68" s="325" t="str">
        <f>VLOOKUP(A68&amp;B68,SERVIÇOS!C:F,2,0)</f>
        <v>Limpeza manual do terreno, inclusive troncos até 5 cm de diâmetro, com caminhão à disposição, dentro da obra, até o raio de 1,0 km</v>
      </c>
      <c r="E68" s="321" t="str">
        <f>VLOOKUP(A68&amp;B68,SERVIÇOS!C:F,3,0)</f>
        <v>m²</v>
      </c>
      <c r="F68" s="324">
        <f>VLOOKUP(A68&amp;B68,SERVIÇOS!C:F,4,0)</f>
        <v>3.93</v>
      </c>
      <c r="G68" s="321" t="s">
        <v>4707</v>
      </c>
    </row>
    <row r="69" spans="1:7" ht="45" x14ac:dyDescent="0.25">
      <c r="A69" s="321" t="s">
        <v>4398</v>
      </c>
      <c r="B69" s="322">
        <v>50704</v>
      </c>
      <c r="C69" s="321" t="str">
        <f t="shared" si="2"/>
        <v>CPOS50704</v>
      </c>
      <c r="D69" s="325" t="str">
        <f>VLOOKUP(A69&amp;B69,SERVIÇOS!C:F,2,0)</f>
        <v>Remoção de entulho separado de obra com caçamba metálica - terra, alvenaria, concreto, argamassa, madeira, papel, plástico ou metal</v>
      </c>
      <c r="E69" s="321" t="str">
        <f>VLOOKUP(A69&amp;B69,SERVIÇOS!C:F,3,0)</f>
        <v>m³</v>
      </c>
      <c r="F69" s="324">
        <f>VLOOKUP(A69&amp;B69,SERVIÇOS!C:F,4,0)</f>
        <v>81.8</v>
      </c>
      <c r="G69" s="321" t="s">
        <v>4707</v>
      </c>
    </row>
    <row r="70" spans="1:7" ht="30" x14ac:dyDescent="0.25">
      <c r="A70" s="321" t="s">
        <v>4398</v>
      </c>
      <c r="B70" s="322">
        <v>540203</v>
      </c>
      <c r="C70" s="321" t="str">
        <f t="shared" si="2"/>
        <v>CPOS540203</v>
      </c>
      <c r="D70" s="325" t="str">
        <f>VLOOKUP(A70&amp;B70,SERVIÇOS!C:F,2,0)</f>
        <v>Revestimento primário com pedra britada, compactação mínima de 95% do PN</v>
      </c>
      <c r="E70" s="321" t="str">
        <f>VLOOKUP(A70&amp;B70,SERVIÇOS!C:F,3,0)</f>
        <v>m³</v>
      </c>
      <c r="F70" s="324">
        <f>VLOOKUP(A70&amp;B70,SERVIÇOS!C:F,4,0)</f>
        <v>65.45</v>
      </c>
      <c r="G70" s="321" t="s">
        <v>4707</v>
      </c>
    </row>
    <row r="71" spans="1:7" x14ac:dyDescent="0.25">
      <c r="A71" s="321" t="s">
        <v>4398</v>
      </c>
      <c r="B71" s="322">
        <v>20312</v>
      </c>
      <c r="C71" s="321" t="str">
        <f t="shared" si="2"/>
        <v>CPOS20312</v>
      </c>
      <c r="D71" s="325" t="str">
        <f>VLOOKUP(A71&amp;B71,SERVIÇOS!C:F,2,0)</f>
        <v>Tapume fixo para fechamento de áreas, com portão</v>
      </c>
      <c r="E71" s="321" t="str">
        <f>VLOOKUP(A71&amp;B71,SERVIÇOS!C:F,3,0)</f>
        <v>m²</v>
      </c>
      <c r="F71" s="324">
        <f>VLOOKUP(A71&amp;B71,SERVIÇOS!C:F,4,0)</f>
        <v>49.68</v>
      </c>
      <c r="G71" s="321" t="s">
        <v>4707</v>
      </c>
    </row>
    <row r="72" spans="1:7" x14ac:dyDescent="0.25">
      <c r="A72" s="321" t="s">
        <v>4398</v>
      </c>
      <c r="B72" s="322">
        <v>20802</v>
      </c>
      <c r="C72" s="321" t="str">
        <f t="shared" si="2"/>
        <v>CPOS20802</v>
      </c>
      <c r="D72" s="325" t="str">
        <f>VLOOKUP(A72&amp;B72,SERVIÇOS!C:F,2,0)</f>
        <v>Placa de identificação para obra</v>
      </c>
      <c r="E72" s="321" t="str">
        <f>VLOOKUP(A72&amp;B72,SERVIÇOS!C:F,3,0)</f>
        <v>m²</v>
      </c>
      <c r="F72" s="324">
        <f>VLOOKUP(A72&amp;B72,SERVIÇOS!C:F,4,0)</f>
        <v>364.99</v>
      </c>
      <c r="G72" s="321" t="s">
        <v>4707</v>
      </c>
    </row>
    <row r="73" spans="1:7" ht="45" x14ac:dyDescent="0.25">
      <c r="A73" s="321" t="s">
        <v>4398</v>
      </c>
      <c r="B73" s="322">
        <v>20803</v>
      </c>
      <c r="C73" s="321" t="str">
        <f t="shared" si="2"/>
        <v>CPOS20803</v>
      </c>
      <c r="D73" s="325" t="str">
        <f>VLOOKUP(A73&amp;B73,SERVIÇOS!C:F,2,0)</f>
        <v>Manutenção de placa padronizada de identificação visual de programas e empreendimentos do governo do Estado de São Paulo</v>
      </c>
      <c r="E73" s="321" t="str">
        <f>VLOOKUP(A73&amp;B73,SERVIÇOS!C:F,3,0)</f>
        <v>m²xmês</v>
      </c>
      <c r="F73" s="324">
        <f>VLOOKUP(A73&amp;B73,SERVIÇOS!C:F,4,0)</f>
        <v>7.84</v>
      </c>
      <c r="G73" s="321" t="s">
        <v>4707</v>
      </c>
    </row>
    <row r="74" spans="1:7" ht="30" x14ac:dyDescent="0.25">
      <c r="A74" s="321" t="s">
        <v>4398</v>
      </c>
      <c r="B74" s="322">
        <v>480201</v>
      </c>
      <c r="C74" s="321" t="str">
        <f t="shared" si="2"/>
        <v>CPOS480201</v>
      </c>
      <c r="D74" s="325" t="str">
        <f>VLOOKUP(A74&amp;B74,SERVIÇOS!C:F,2,0)</f>
        <v>Reservatório de fibra de vidro - capacidade de 15.000 litros</v>
      </c>
      <c r="E74" s="321" t="str">
        <f>VLOOKUP(A74&amp;B74,SERVIÇOS!C:F,3,0)</f>
        <v>un</v>
      </c>
      <c r="F74" s="324">
        <f>VLOOKUP(A74&amp;B74,SERVIÇOS!C:F,4,0)</f>
        <v>5183.54</v>
      </c>
      <c r="G74" s="321" t="s">
        <v>4707</v>
      </c>
    </row>
    <row r="75" spans="1:7" ht="30" x14ac:dyDescent="0.25">
      <c r="A75" s="321" t="s">
        <v>4398</v>
      </c>
      <c r="B75" s="322">
        <v>480202</v>
      </c>
      <c r="C75" s="321" t="str">
        <f t="shared" si="2"/>
        <v>CPOS480202</v>
      </c>
      <c r="D75" s="325" t="str">
        <f>VLOOKUP(A75&amp;B75,SERVIÇOS!C:F,2,0)</f>
        <v>Reservatório de fibra de vidro - capacidade de 1.000 litros</v>
      </c>
      <c r="E75" s="321" t="str">
        <f>VLOOKUP(A75&amp;B75,SERVIÇOS!C:F,3,0)</f>
        <v>un</v>
      </c>
      <c r="F75" s="324">
        <f>VLOOKUP(A75&amp;B75,SERVIÇOS!C:F,4,0)</f>
        <v>413.81</v>
      </c>
      <c r="G75" s="321" t="s">
        <v>4707</v>
      </c>
    </row>
    <row r="76" spans="1:7" ht="60" x14ac:dyDescent="0.25">
      <c r="A76" s="321" t="s">
        <v>4398</v>
      </c>
      <c r="B76" s="322">
        <v>360805</v>
      </c>
      <c r="C76" s="321" t="str">
        <f t="shared" si="2"/>
        <v>CPOS360805</v>
      </c>
      <c r="D76" s="325" t="str">
        <f>VLOOKUP(A76&amp;B76,SERVIÇOS!C:F,2,0)</f>
        <v>Grupo gerador com potência de 80-73/88-81 kVA, 220/127 V ou 380/220 V e fator de potência de 0,8 indutivo, completo, inclusive painel e conjunto de baterias</v>
      </c>
      <c r="E76" s="321" t="str">
        <f>VLOOKUP(A76&amp;B76,SERVIÇOS!C:F,3,0)</f>
        <v>un</v>
      </c>
      <c r="F76" s="324">
        <f>VLOOKUP(A76&amp;B76,SERVIÇOS!C:F,4,0)</f>
        <v>59048.01</v>
      </c>
      <c r="G76" s="321" t="s">
        <v>4707</v>
      </c>
    </row>
    <row r="77" spans="1:7" ht="30" x14ac:dyDescent="0.25">
      <c r="A77" s="321" t="s">
        <v>4398</v>
      </c>
      <c r="B77" s="322">
        <v>411308</v>
      </c>
      <c r="C77" s="321" t="str">
        <f t="shared" si="2"/>
        <v>CPOS411308</v>
      </c>
      <c r="D77" s="325" t="str">
        <f>VLOOKUP(A77&amp;B77,SERVIÇOS!C:F,2,0)</f>
        <v>Luminária blindada plafonier para lâmpada mista 250W</v>
      </c>
      <c r="E77" s="321" t="str">
        <f>VLOOKUP(A77&amp;B77,SERVIÇOS!C:F,3,0)</f>
        <v>un</v>
      </c>
      <c r="F77" s="324">
        <f>VLOOKUP(A77&amp;B77,SERVIÇOS!C:F,4,0)</f>
        <v>118.04</v>
      </c>
      <c r="G77" s="321" t="s">
        <v>4707</v>
      </c>
    </row>
    <row r="78" spans="1:7" ht="30" x14ac:dyDescent="0.25">
      <c r="A78" s="321" t="s">
        <v>4398</v>
      </c>
      <c r="B78" s="322">
        <v>401101</v>
      </c>
      <c r="C78" s="321" t="str">
        <f t="shared" si="2"/>
        <v>CPOS401101</v>
      </c>
      <c r="D78" s="325" t="str">
        <f>VLOOKUP(A78&amp;B78,SERVIÇOS!C:F,2,0)</f>
        <v>Relé fotoelétrico 50/60 Hz 110/220 V - 1200 VA, completo</v>
      </c>
      <c r="E78" s="321" t="str">
        <f>VLOOKUP(A78&amp;B78,SERVIÇOS!C:F,3,0)</f>
        <v>un</v>
      </c>
      <c r="F78" s="324">
        <f>VLOOKUP(A78&amp;B78,SERVIÇOS!C:F,4,0)</f>
        <v>55.75</v>
      </c>
      <c r="G78" s="321" t="s">
        <v>4707</v>
      </c>
    </row>
    <row r="79" spans="1:7" ht="30" x14ac:dyDescent="0.25">
      <c r="A79" s="321" t="s">
        <v>4398</v>
      </c>
      <c r="B79" s="322">
        <v>480203</v>
      </c>
      <c r="C79" s="321" t="str">
        <f t="shared" si="2"/>
        <v>CPOS480203</v>
      </c>
      <c r="D79" s="325" t="str">
        <f>VLOOKUP(A79&amp;B79,SERVIÇOS!C:F,2,0)</f>
        <v>Reservatório de fibra de vidro - capacidade de 500 litros</v>
      </c>
      <c r="E79" s="321" t="str">
        <f>VLOOKUP(A79&amp;B79,SERVIÇOS!C:F,3,0)</f>
        <v>un</v>
      </c>
      <c r="F79" s="324">
        <f>VLOOKUP(A79&amp;B79,SERVIÇOS!C:F,4,0)</f>
        <v>263</v>
      </c>
      <c r="G79" s="321" t="s">
        <v>4707</v>
      </c>
    </row>
    <row r="80" spans="1:7" ht="30" x14ac:dyDescent="0.25">
      <c r="A80" s="321" t="s">
        <v>4398</v>
      </c>
      <c r="B80" s="322">
        <v>20102</v>
      </c>
      <c r="C80" s="321" t="str">
        <f t="shared" si="2"/>
        <v>CPOS20102</v>
      </c>
      <c r="D80" s="325" t="str">
        <f>VLOOKUP(A80&amp;B80,SERVIÇOS!C:F,2,0)</f>
        <v>Construção provisória em madeira - fornecimento e montagem</v>
      </c>
      <c r="E80" s="321" t="str">
        <f>VLOOKUP(A80&amp;B80,SERVIÇOS!C:F,3,0)</f>
        <v>m²</v>
      </c>
      <c r="F80" s="324">
        <f>VLOOKUP(A80&amp;B80,SERVIÇOS!C:F,4,0)</f>
        <v>244.84</v>
      </c>
      <c r="G80" s="321" t="s">
        <v>4707</v>
      </c>
    </row>
    <row r="81" spans="1:7" x14ac:dyDescent="0.25">
      <c r="A81" s="321" t="s">
        <v>4398</v>
      </c>
      <c r="B81" s="322">
        <v>20117</v>
      </c>
      <c r="C81" s="321" t="str">
        <f t="shared" si="2"/>
        <v>CPOS20117</v>
      </c>
      <c r="D81" s="325" t="str">
        <f>VLOOKUP(A81&amp;B81,SERVIÇOS!C:F,2,0)</f>
        <v>Sanitário/vestiário provisório em alvenaria</v>
      </c>
      <c r="E81" s="321" t="str">
        <f>VLOOKUP(A81&amp;B81,SERVIÇOS!C:F,3,0)</f>
        <v>m²</v>
      </c>
      <c r="F81" s="324">
        <f>VLOOKUP(A81&amp;B81,SERVIÇOS!C:F,4,0)</f>
        <v>492.14</v>
      </c>
      <c r="G81" s="321" t="s">
        <v>4707</v>
      </c>
    </row>
    <row r="82" spans="1:7" ht="30" x14ac:dyDescent="0.25">
      <c r="A82" s="321" t="s">
        <v>4398</v>
      </c>
      <c r="B82" s="322">
        <v>20118</v>
      </c>
      <c r="C82" s="321" t="str">
        <f t="shared" si="2"/>
        <v>CPOS20118</v>
      </c>
      <c r="D82" s="325" t="str">
        <f>VLOOKUP(A82&amp;B82,SERVIÇOS!C:F,2,0)</f>
        <v>Banheiro químico, modelo Standard, com manutenção conforme exigências da CETESB</v>
      </c>
      <c r="E82" s="321" t="str">
        <f>VLOOKUP(A82&amp;B82,SERVIÇOS!C:F,3,0)</f>
        <v>unxmês</v>
      </c>
      <c r="F82" s="324">
        <f>VLOOKUP(A82&amp;B82,SERVIÇOS!C:F,4,0)</f>
        <v>458.33</v>
      </c>
      <c r="G82" s="321" t="s">
        <v>4707</v>
      </c>
    </row>
    <row r="83" spans="1:7" x14ac:dyDescent="0.25">
      <c r="A83" s="321" t="s">
        <v>4398</v>
      </c>
      <c r="B83" s="322">
        <v>20120</v>
      </c>
      <c r="C83" s="321" t="str">
        <f t="shared" si="2"/>
        <v>CPOS20120</v>
      </c>
      <c r="D83" s="325" t="str">
        <f>VLOOKUP(A83&amp;B83,SERVIÇOS!C:F,2,0)</f>
        <v>Desmobilização de construção provisória</v>
      </c>
      <c r="E83" s="321" t="str">
        <f>VLOOKUP(A83&amp;B83,SERVIÇOS!C:F,3,0)</f>
        <v>m²</v>
      </c>
      <c r="F83" s="324">
        <f>VLOOKUP(A83&amp;B83,SERVIÇOS!C:F,4,0)</f>
        <v>11.540000000000001</v>
      </c>
      <c r="G83" s="321" t="s">
        <v>4707</v>
      </c>
    </row>
    <row r="84" spans="1:7" x14ac:dyDescent="0.25">
      <c r="A84" s="321" t="s">
        <v>4398</v>
      </c>
      <c r="B84" s="322">
        <v>20202</v>
      </c>
      <c r="C84" s="321" t="str">
        <f t="shared" si="2"/>
        <v>CPOS20202</v>
      </c>
      <c r="D84" s="325" t="str">
        <f>VLOOKUP(A84&amp;B84,SERVIÇOS!C:F,2,0)</f>
        <v>Container alojamento - mínimo 9,20 m²</v>
      </c>
      <c r="E84" s="321" t="str">
        <f>VLOOKUP(A84&amp;B84,SERVIÇOS!C:F,3,0)</f>
        <v>unxmês</v>
      </c>
      <c r="F84" s="324">
        <f>VLOOKUP(A84&amp;B84,SERVIÇOS!C:F,4,0)</f>
        <v>237.42000000000002</v>
      </c>
      <c r="G84" s="321" t="s">
        <v>4707</v>
      </c>
    </row>
    <row r="85" spans="1:7" ht="30" x14ac:dyDescent="0.25">
      <c r="A85" s="321" t="s">
        <v>4398</v>
      </c>
      <c r="B85" s="322">
        <v>20204</v>
      </c>
      <c r="C85" s="321" t="str">
        <f t="shared" si="2"/>
        <v>CPOS20204</v>
      </c>
      <c r="D85" s="325" t="str">
        <f>VLOOKUP(A85&amp;B85,SERVIÇOS!C:F,2,0)</f>
        <v>Container sanitário - mínimo 2 duchas, 2 bacias, 1 lavatório e 1 mictório</v>
      </c>
      <c r="E85" s="321" t="str">
        <f>VLOOKUP(A85&amp;B85,SERVIÇOS!C:F,3,0)</f>
        <v>unxmês</v>
      </c>
      <c r="F85" s="324">
        <f>VLOOKUP(A85&amp;B85,SERVIÇOS!C:F,4,0)</f>
        <v>390.6</v>
      </c>
      <c r="G85" s="321" t="s">
        <v>4707</v>
      </c>
    </row>
    <row r="86" spans="1:7" x14ac:dyDescent="0.25">
      <c r="A86" s="321" t="s">
        <v>4398</v>
      </c>
      <c r="B86" s="322">
        <v>20206</v>
      </c>
      <c r="C86" s="321" t="str">
        <f t="shared" si="2"/>
        <v>CPOS20206</v>
      </c>
      <c r="D86" s="325" t="str">
        <f>VLOOKUP(A86&amp;B86,SERVIÇOS!C:F,2,0)</f>
        <v>Container depósito - mínimo 9,20 m²</v>
      </c>
      <c r="E86" s="321" t="str">
        <f>VLOOKUP(A86&amp;B86,SERVIÇOS!C:F,3,0)</f>
        <v>unxmês</v>
      </c>
      <c r="F86" s="324">
        <f>VLOOKUP(A86&amp;B86,SERVIÇOS!C:F,4,0)</f>
        <v>227.27</v>
      </c>
      <c r="G86" s="321" t="s">
        <v>4707</v>
      </c>
    </row>
    <row r="87" spans="1:7" ht="30" x14ac:dyDescent="0.25">
      <c r="A87" s="321" t="s">
        <v>4398</v>
      </c>
      <c r="B87" s="322">
        <v>20208</v>
      </c>
      <c r="C87" s="321" t="str">
        <f t="shared" si="2"/>
        <v>CPOS20208</v>
      </c>
      <c r="D87" s="325" t="str">
        <f>VLOOKUP(A87&amp;B87,SERVIÇOS!C:F,2,0)</f>
        <v>Container escritório com 1 sanitário - mínimo 9,20 m²</v>
      </c>
      <c r="E87" s="321" t="str">
        <f>VLOOKUP(A87&amp;B87,SERVIÇOS!C:F,3,0)</f>
        <v>unxmês</v>
      </c>
      <c r="F87" s="324">
        <f>VLOOKUP(A87&amp;B87,SERVIÇOS!C:F,4,0)</f>
        <v>299.77</v>
      </c>
      <c r="G87" s="321" t="s">
        <v>4707</v>
      </c>
    </row>
    <row r="88" spans="1:7" x14ac:dyDescent="0.25">
      <c r="A88" s="321" t="s">
        <v>4398</v>
      </c>
      <c r="B88" s="322">
        <v>20210</v>
      </c>
      <c r="C88" s="321" t="str">
        <f t="shared" si="2"/>
        <v>CPOS20210</v>
      </c>
      <c r="D88" s="325" t="str">
        <f>VLOOKUP(A88&amp;B88,SERVIÇOS!C:F,2,0)</f>
        <v>Container guarita simples - mínimo 1,0 m²</v>
      </c>
      <c r="E88" s="321" t="str">
        <f>VLOOKUP(A88&amp;B88,SERVIÇOS!C:F,3,0)</f>
        <v>unxmês</v>
      </c>
      <c r="F88" s="324">
        <f>VLOOKUP(A88&amp;B88,SERVIÇOS!C:F,4,0)</f>
        <v>186.54</v>
      </c>
      <c r="G88" s="321" t="s">
        <v>4707</v>
      </c>
    </row>
    <row r="89" spans="1:7" x14ac:dyDescent="0.25">
      <c r="A89" s="321" t="s">
        <v>4398</v>
      </c>
      <c r="B89" s="322">
        <v>38511</v>
      </c>
      <c r="C89" s="321" t="str">
        <f t="shared" si="2"/>
        <v>CPOS38511</v>
      </c>
      <c r="D89" s="325" t="s">
        <v>1894</v>
      </c>
      <c r="E89" s="321" t="s">
        <v>119</v>
      </c>
      <c r="F89" s="324">
        <v>92.46</v>
      </c>
      <c r="G89" s="321" t="s">
        <v>4707</v>
      </c>
    </row>
    <row r="90" spans="1:7" ht="45" x14ac:dyDescent="0.25">
      <c r="A90" s="321" t="s">
        <v>4398</v>
      </c>
      <c r="B90" s="322">
        <v>25057</v>
      </c>
      <c r="C90" s="321" t="str">
        <f t="shared" si="2"/>
        <v>CPOS25057</v>
      </c>
      <c r="D90" s="325" t="s">
        <v>5065</v>
      </c>
      <c r="E90" s="321" t="s">
        <v>81</v>
      </c>
      <c r="F90" s="324">
        <v>82.88</v>
      </c>
      <c r="G90" s="321" t="s">
        <v>4707</v>
      </c>
    </row>
    <row r="91" spans="1:7" x14ac:dyDescent="0.25">
      <c r="A91" s="321" t="s">
        <v>4398</v>
      </c>
      <c r="B91" s="322">
        <v>28057</v>
      </c>
      <c r="C91" s="321" t="str">
        <f t="shared" si="2"/>
        <v>CPOS28057</v>
      </c>
      <c r="D91" s="325" t="s">
        <v>5068</v>
      </c>
      <c r="E91" s="321" t="s">
        <v>463</v>
      </c>
      <c r="F91" s="324">
        <v>35.58</v>
      </c>
      <c r="G91" s="321" t="s">
        <v>4707</v>
      </c>
    </row>
    <row r="92" spans="1:7" x14ac:dyDescent="0.25">
      <c r="A92" s="321" t="s">
        <v>4398</v>
      </c>
      <c r="B92" s="322">
        <v>37545</v>
      </c>
      <c r="C92" s="321" t="str">
        <f t="shared" si="2"/>
        <v>CPOS37545</v>
      </c>
      <c r="D92" s="325" t="s">
        <v>5067</v>
      </c>
      <c r="E92" s="321" t="s">
        <v>463</v>
      </c>
      <c r="F92" s="324">
        <v>44.74</v>
      </c>
      <c r="G92" s="321" t="s">
        <v>4707</v>
      </c>
    </row>
    <row r="93" spans="1:7" ht="30" x14ac:dyDescent="0.25">
      <c r="A93" s="321" t="s">
        <v>4398</v>
      </c>
      <c r="B93" s="322">
        <v>38014</v>
      </c>
      <c r="C93" s="321" t="str">
        <f t="shared" si="2"/>
        <v>CPOS38014</v>
      </c>
      <c r="D93" s="325" t="s">
        <v>5069</v>
      </c>
      <c r="E93" s="321" t="s">
        <v>58</v>
      </c>
      <c r="F93" s="324">
        <v>0.5</v>
      </c>
      <c r="G93" s="321" t="s">
        <v>4707</v>
      </c>
    </row>
    <row r="94" spans="1:7" ht="30" x14ac:dyDescent="0.25">
      <c r="A94" s="62" t="s">
        <v>4398</v>
      </c>
      <c r="B94" s="96">
        <v>280108</v>
      </c>
      <c r="C94" s="321" t="str">
        <f t="shared" si="2"/>
        <v>CPOS280108</v>
      </c>
      <c r="D94" s="95" t="s">
        <v>1606</v>
      </c>
      <c r="E94" s="63" t="s">
        <v>117</v>
      </c>
      <c r="F94" s="64">
        <v>145.49</v>
      </c>
      <c r="G94" s="321" t="s">
        <v>4707</v>
      </c>
    </row>
    <row r="95" spans="1:7" x14ac:dyDescent="0.25">
      <c r="A95" s="62" t="s">
        <v>4398</v>
      </c>
      <c r="B95" s="96" t="s">
        <v>5102</v>
      </c>
      <c r="C95" s="321" t="str">
        <f t="shared" si="2"/>
        <v>CPOS20503</v>
      </c>
      <c r="D95" s="95" t="s">
        <v>5121</v>
      </c>
      <c r="E95" s="63" t="s">
        <v>119</v>
      </c>
      <c r="F95" s="64">
        <v>73.73</v>
      </c>
      <c r="G95" s="321" t="s">
        <v>4707</v>
      </c>
    </row>
    <row r="96" spans="1:7" x14ac:dyDescent="0.25">
      <c r="A96" s="62" t="s">
        <v>4398</v>
      </c>
      <c r="B96" s="96" t="s">
        <v>5103</v>
      </c>
      <c r="C96" s="321" t="str">
        <f t="shared" si="2"/>
        <v>CPOS20505</v>
      </c>
      <c r="D96" s="95" t="s">
        <v>5120</v>
      </c>
      <c r="E96" s="63" t="s">
        <v>329</v>
      </c>
      <c r="F96" s="64">
        <v>0.42</v>
      </c>
      <c r="G96" s="321" t="s">
        <v>4707</v>
      </c>
    </row>
    <row r="97" spans="1:7" x14ac:dyDescent="0.25">
      <c r="A97" s="62" t="s">
        <v>4398</v>
      </c>
      <c r="B97" s="96" t="s">
        <v>5104</v>
      </c>
      <c r="C97" s="321" t="str">
        <f t="shared" si="2"/>
        <v>CPOS20508</v>
      </c>
      <c r="D97" s="95" t="s">
        <v>5119</v>
      </c>
      <c r="E97" s="63" t="s">
        <v>329</v>
      </c>
      <c r="F97" s="64">
        <v>0.46</v>
      </c>
      <c r="G97" s="321" t="s">
        <v>4707</v>
      </c>
    </row>
    <row r="98" spans="1:7" x14ac:dyDescent="0.25">
      <c r="A98" s="62" t="s">
        <v>4398</v>
      </c>
      <c r="B98" s="96" t="s">
        <v>5105</v>
      </c>
      <c r="C98" s="321" t="str">
        <f t="shared" ref="C98:C129" si="3">A98&amp;B98</f>
        <v>CPOS20518</v>
      </c>
      <c r="D98" s="95" t="s">
        <v>5122</v>
      </c>
      <c r="E98" s="63" t="s">
        <v>119</v>
      </c>
      <c r="F98" s="64">
        <v>69.64</v>
      </c>
      <c r="G98" s="321" t="s">
        <v>4707</v>
      </c>
    </row>
    <row r="99" spans="1:7" x14ac:dyDescent="0.25">
      <c r="A99" s="62" t="s">
        <v>4398</v>
      </c>
      <c r="B99" s="96">
        <v>21014</v>
      </c>
      <c r="C99" s="321" t="str">
        <f t="shared" si="3"/>
        <v>CPOS21014</v>
      </c>
      <c r="D99" s="95" t="s">
        <v>5123</v>
      </c>
      <c r="E99" s="63" t="s">
        <v>110</v>
      </c>
      <c r="F99" s="64">
        <v>2.0299999999999998</v>
      </c>
      <c r="G99" s="321" t="s">
        <v>4707</v>
      </c>
    </row>
    <row r="100" spans="1:7" x14ac:dyDescent="0.25">
      <c r="A100" s="62" t="s">
        <v>4398</v>
      </c>
      <c r="B100" s="96">
        <v>21023</v>
      </c>
      <c r="C100" s="321" t="str">
        <f t="shared" si="3"/>
        <v>CPOS21023</v>
      </c>
      <c r="D100" s="95" t="s">
        <v>5124</v>
      </c>
      <c r="E100" s="63" t="s">
        <v>110</v>
      </c>
      <c r="F100" s="64">
        <v>1.18</v>
      </c>
      <c r="G100" s="321" t="s">
        <v>4707</v>
      </c>
    </row>
    <row r="101" spans="1:7" x14ac:dyDescent="0.25">
      <c r="A101" s="62" t="s">
        <v>4398</v>
      </c>
      <c r="B101" s="96" t="s">
        <v>5106</v>
      </c>
      <c r="C101" s="321" t="str">
        <f t="shared" si="3"/>
        <v>CPOS21538</v>
      </c>
      <c r="D101" s="95" t="s">
        <v>5125</v>
      </c>
      <c r="E101" s="63" t="s">
        <v>329</v>
      </c>
      <c r="F101" s="64">
        <v>3.1</v>
      </c>
      <c r="G101" s="321" t="s">
        <v>4707</v>
      </c>
    </row>
    <row r="102" spans="1:7" ht="30" x14ac:dyDescent="0.25">
      <c r="A102" s="62" t="s">
        <v>4398</v>
      </c>
      <c r="B102" s="96">
        <v>22509</v>
      </c>
      <c r="C102" s="321" t="str">
        <f t="shared" si="3"/>
        <v>CPOS22509</v>
      </c>
      <c r="D102" s="95" t="s">
        <v>5126</v>
      </c>
      <c r="E102" s="63" t="s">
        <v>58</v>
      </c>
      <c r="F102" s="64">
        <v>2.2999999999999998</v>
      </c>
      <c r="G102" s="321" t="s">
        <v>4707</v>
      </c>
    </row>
    <row r="103" spans="1:7" x14ac:dyDescent="0.25">
      <c r="A103" s="62" t="s">
        <v>4398</v>
      </c>
      <c r="B103" s="96" t="s">
        <v>5107</v>
      </c>
      <c r="C103" s="321" t="str">
        <f t="shared" si="3"/>
        <v>CPOS26760</v>
      </c>
      <c r="D103" s="95" t="s">
        <v>5127</v>
      </c>
      <c r="E103" s="63" t="s">
        <v>329</v>
      </c>
      <c r="F103" s="64">
        <v>5.0999999999999996</v>
      </c>
      <c r="G103" s="321" t="s">
        <v>4707</v>
      </c>
    </row>
    <row r="104" spans="1:7" x14ac:dyDescent="0.25">
      <c r="A104" s="62" t="s">
        <v>4398</v>
      </c>
      <c r="B104" s="96" t="s">
        <v>5108</v>
      </c>
      <c r="C104" s="321" t="str">
        <f t="shared" si="3"/>
        <v>CPOS27010</v>
      </c>
      <c r="D104" s="95" t="s">
        <v>5128</v>
      </c>
      <c r="E104" s="63" t="s">
        <v>329</v>
      </c>
      <c r="F104" s="64">
        <v>6.34</v>
      </c>
      <c r="G104" s="321" t="s">
        <v>4707</v>
      </c>
    </row>
    <row r="105" spans="1:7" ht="30" x14ac:dyDescent="0.25">
      <c r="A105" s="62" t="s">
        <v>4398</v>
      </c>
      <c r="B105" s="96" t="s">
        <v>5109</v>
      </c>
      <c r="C105" s="321" t="str">
        <f t="shared" si="3"/>
        <v>CPOS37542</v>
      </c>
      <c r="D105" s="95" t="s">
        <v>5129</v>
      </c>
      <c r="E105" s="63" t="s">
        <v>463</v>
      </c>
      <c r="F105" s="64">
        <v>12.55</v>
      </c>
      <c r="G105" s="321" t="s">
        <v>4707</v>
      </c>
    </row>
    <row r="106" spans="1:7" x14ac:dyDescent="0.25">
      <c r="A106" s="62" t="s">
        <v>4398</v>
      </c>
      <c r="B106" s="96" t="s">
        <v>5110</v>
      </c>
      <c r="C106" s="321" t="str">
        <f t="shared" si="3"/>
        <v>CPOS38009</v>
      </c>
      <c r="D106" s="95" t="s">
        <v>5130</v>
      </c>
      <c r="E106" s="63" t="s">
        <v>463</v>
      </c>
      <c r="F106" s="64">
        <v>6.65</v>
      </c>
      <c r="G106" s="321" t="s">
        <v>4707</v>
      </c>
    </row>
    <row r="107" spans="1:7" x14ac:dyDescent="0.25">
      <c r="A107" s="62" t="s">
        <v>4398</v>
      </c>
      <c r="B107" s="96">
        <v>40104</v>
      </c>
      <c r="C107" s="321" t="str">
        <f t="shared" si="3"/>
        <v>CPOS40104</v>
      </c>
      <c r="D107" s="95" t="s">
        <v>5131</v>
      </c>
      <c r="E107" s="63" t="s">
        <v>58</v>
      </c>
      <c r="F107" s="64">
        <v>272.02</v>
      </c>
      <c r="G107" s="321" t="s">
        <v>4707</v>
      </c>
    </row>
    <row r="108" spans="1:7" x14ac:dyDescent="0.25">
      <c r="A108" s="62" t="s">
        <v>4398</v>
      </c>
      <c r="B108" s="96" t="s">
        <v>5111</v>
      </c>
      <c r="C108" s="321" t="str">
        <f t="shared" si="3"/>
        <v>CPOS40510</v>
      </c>
      <c r="D108" s="95" t="s">
        <v>5132</v>
      </c>
      <c r="E108" s="63" t="s">
        <v>58</v>
      </c>
      <c r="F108" s="64">
        <v>3.81</v>
      </c>
      <c r="G108" s="321" t="s">
        <v>4707</v>
      </c>
    </row>
    <row r="109" spans="1:7" ht="30" x14ac:dyDescent="0.25">
      <c r="A109" s="62" t="s">
        <v>4398</v>
      </c>
      <c r="B109" s="96">
        <v>45101</v>
      </c>
      <c r="C109" s="321" t="str">
        <f t="shared" si="3"/>
        <v>CPOS45101</v>
      </c>
      <c r="D109" s="95" t="s">
        <v>5133</v>
      </c>
      <c r="E109" s="63" t="s">
        <v>58</v>
      </c>
      <c r="F109" s="64">
        <v>789.7</v>
      </c>
      <c r="G109" s="321" t="s">
        <v>4707</v>
      </c>
    </row>
    <row r="110" spans="1:7" ht="30" x14ac:dyDescent="0.25">
      <c r="A110" s="62" t="s">
        <v>4398</v>
      </c>
      <c r="B110" s="96" t="s">
        <v>5112</v>
      </c>
      <c r="C110" s="321" t="str">
        <f t="shared" si="3"/>
        <v>CPOS45111</v>
      </c>
      <c r="D110" s="95" t="s">
        <v>5134</v>
      </c>
      <c r="E110" s="63" t="s">
        <v>58</v>
      </c>
      <c r="F110" s="64">
        <v>298.83</v>
      </c>
      <c r="G110" s="321" t="s">
        <v>4707</v>
      </c>
    </row>
    <row r="111" spans="1:7" x14ac:dyDescent="0.25">
      <c r="A111" s="62" t="s">
        <v>4398</v>
      </c>
      <c r="B111" s="96">
        <v>43502</v>
      </c>
      <c r="C111" s="321" t="str">
        <f t="shared" si="3"/>
        <v>CPOS43502</v>
      </c>
      <c r="D111" s="95" t="s">
        <v>5142</v>
      </c>
      <c r="E111" s="63" t="s">
        <v>58</v>
      </c>
      <c r="F111" s="64">
        <v>8.73</v>
      </c>
      <c r="G111" s="321" t="s">
        <v>4707</v>
      </c>
    </row>
    <row r="112" spans="1:7" x14ac:dyDescent="0.25">
      <c r="A112" s="62" t="s">
        <v>4398</v>
      </c>
      <c r="B112" s="96">
        <v>21021</v>
      </c>
      <c r="C112" s="321" t="str">
        <f t="shared" si="3"/>
        <v>CPOS21021</v>
      </c>
      <c r="D112" s="95" t="s">
        <v>5148</v>
      </c>
      <c r="E112" s="63" t="s">
        <v>81</v>
      </c>
      <c r="F112" s="64">
        <v>42.24</v>
      </c>
      <c r="G112" s="321" t="s">
        <v>4707</v>
      </c>
    </row>
    <row r="113" spans="1:7" ht="45" x14ac:dyDescent="0.25">
      <c r="A113" s="62" t="s">
        <v>4398</v>
      </c>
      <c r="B113" s="96" t="s">
        <v>5144</v>
      </c>
      <c r="C113" s="321" t="str">
        <f t="shared" si="3"/>
        <v>CPOS28056</v>
      </c>
      <c r="D113" s="95" t="s">
        <v>5150</v>
      </c>
      <c r="E113" s="63" t="s">
        <v>463</v>
      </c>
      <c r="F113" s="64">
        <v>15.03</v>
      </c>
      <c r="G113" s="321" t="s">
        <v>4707</v>
      </c>
    </row>
    <row r="114" spans="1:7" ht="30" x14ac:dyDescent="0.25">
      <c r="A114" s="62" t="s">
        <v>4398</v>
      </c>
      <c r="B114" s="96" t="s">
        <v>5145</v>
      </c>
      <c r="C114" s="321" t="str">
        <f t="shared" si="3"/>
        <v>CPOS38012</v>
      </c>
      <c r="D114" s="95" t="s">
        <v>5151</v>
      </c>
      <c r="E114" s="63" t="s">
        <v>58</v>
      </c>
      <c r="F114" s="64">
        <v>2</v>
      </c>
      <c r="G114" s="321" t="s">
        <v>4707</v>
      </c>
    </row>
    <row r="115" spans="1:7" ht="30" x14ac:dyDescent="0.25">
      <c r="A115" s="62" t="s">
        <v>4398</v>
      </c>
      <c r="B115" s="96" t="s">
        <v>5146</v>
      </c>
      <c r="C115" s="321" t="str">
        <f t="shared" si="3"/>
        <v>CPOS38028</v>
      </c>
      <c r="D115" s="95" t="s">
        <v>5152</v>
      </c>
      <c r="E115" s="63" t="s">
        <v>463</v>
      </c>
      <c r="F115" s="64">
        <v>23.33</v>
      </c>
      <c r="G115" s="321" t="s">
        <v>4707</v>
      </c>
    </row>
    <row r="116" spans="1:7" ht="30" x14ac:dyDescent="0.25">
      <c r="A116" s="62" t="s">
        <v>4398</v>
      </c>
      <c r="B116" s="96" t="s">
        <v>5147</v>
      </c>
      <c r="C116" s="321" t="str">
        <f t="shared" si="3"/>
        <v>CPOS45108</v>
      </c>
      <c r="D116" s="95" t="s">
        <v>5153</v>
      </c>
      <c r="E116" s="63" t="s">
        <v>58</v>
      </c>
      <c r="F116" s="64">
        <v>383.11</v>
      </c>
      <c r="G116" s="321" t="s">
        <v>4707</v>
      </c>
    </row>
    <row r="117" spans="1:7" x14ac:dyDescent="0.25">
      <c r="A117" s="62" t="s">
        <v>4398</v>
      </c>
      <c r="B117" s="96">
        <v>21510</v>
      </c>
      <c r="C117" s="321" t="str">
        <f t="shared" si="3"/>
        <v>CPOS21510</v>
      </c>
      <c r="D117" s="95" t="s">
        <v>5158</v>
      </c>
      <c r="E117" s="63" t="s">
        <v>329</v>
      </c>
      <c r="F117" s="64">
        <v>3.62</v>
      </c>
      <c r="G117" s="321" t="s">
        <v>4707</v>
      </c>
    </row>
    <row r="118" spans="1:7" x14ac:dyDescent="0.25">
      <c r="A118" s="62" t="s">
        <v>4398</v>
      </c>
      <c r="B118" s="96">
        <v>22515</v>
      </c>
      <c r="C118" s="321" t="str">
        <f t="shared" si="3"/>
        <v>CPOS22515</v>
      </c>
      <c r="D118" s="95" t="s">
        <v>5159</v>
      </c>
      <c r="E118" s="63" t="s">
        <v>58</v>
      </c>
      <c r="F118" s="64">
        <v>0.28999999999999998</v>
      </c>
      <c r="G118" s="321" t="s">
        <v>4707</v>
      </c>
    </row>
    <row r="119" spans="1:7" x14ac:dyDescent="0.25">
      <c r="A119" s="62" t="s">
        <v>4398</v>
      </c>
      <c r="B119" s="96">
        <v>69513</v>
      </c>
      <c r="C119" s="321" t="str">
        <f t="shared" si="3"/>
        <v>CPOS69513</v>
      </c>
      <c r="D119" s="95" t="s">
        <v>5178</v>
      </c>
      <c r="E119" s="63" t="s">
        <v>329</v>
      </c>
      <c r="F119" s="64">
        <v>42.49</v>
      </c>
      <c r="G119" s="321" t="s">
        <v>4707</v>
      </c>
    </row>
    <row r="120" spans="1:7" x14ac:dyDescent="0.25">
      <c r="A120" s="62" t="s">
        <v>4398</v>
      </c>
      <c r="B120" s="96">
        <v>69514</v>
      </c>
      <c r="C120" s="321" t="str">
        <f t="shared" si="3"/>
        <v>CPOS69514</v>
      </c>
      <c r="D120" s="95" t="s">
        <v>5179</v>
      </c>
      <c r="E120" s="63" t="s">
        <v>463</v>
      </c>
      <c r="F120" s="64">
        <v>29.11</v>
      </c>
      <c r="G120" s="321" t="s">
        <v>4707</v>
      </c>
    </row>
    <row r="121" spans="1:7" ht="30" x14ac:dyDescent="0.25">
      <c r="A121" s="62" t="s">
        <v>4398</v>
      </c>
      <c r="B121" s="96">
        <v>38040</v>
      </c>
      <c r="C121" s="321" t="str">
        <f t="shared" si="3"/>
        <v>CPOS38040</v>
      </c>
      <c r="D121" s="95" t="s">
        <v>5180</v>
      </c>
      <c r="E121" s="63" t="s">
        <v>58</v>
      </c>
      <c r="F121" s="64">
        <v>1.04</v>
      </c>
      <c r="G121" s="321" t="s">
        <v>4707</v>
      </c>
    </row>
    <row r="122" spans="1:7" x14ac:dyDescent="0.25">
      <c r="A122" s="62" t="s">
        <v>4398</v>
      </c>
      <c r="B122" s="96">
        <v>69552</v>
      </c>
      <c r="C122" s="321" t="str">
        <f t="shared" si="3"/>
        <v>CPOS69552</v>
      </c>
      <c r="D122" s="95" t="s">
        <v>5245</v>
      </c>
      <c r="E122" s="63" t="s">
        <v>110</v>
      </c>
      <c r="F122" s="64">
        <v>0.16</v>
      </c>
      <c r="G122" s="321" t="s">
        <v>4707</v>
      </c>
    </row>
    <row r="123" spans="1:7" x14ac:dyDescent="0.25">
      <c r="A123" s="62" t="s">
        <v>4398</v>
      </c>
      <c r="B123" s="96">
        <v>69501</v>
      </c>
      <c r="C123" s="321" t="str">
        <f t="shared" si="3"/>
        <v>CPOS69501</v>
      </c>
      <c r="D123" s="325" t="s">
        <v>5262</v>
      </c>
      <c r="E123" s="321" t="s">
        <v>329</v>
      </c>
      <c r="F123" s="324">
        <v>65.430000000000007</v>
      </c>
      <c r="G123" s="321" t="s">
        <v>4707</v>
      </c>
    </row>
    <row r="124" spans="1:7" x14ac:dyDescent="0.25">
      <c r="A124" s="62" t="s">
        <v>4398</v>
      </c>
      <c r="B124" s="96">
        <v>39040</v>
      </c>
      <c r="C124" s="321" t="str">
        <f t="shared" si="3"/>
        <v>CPOS39040</v>
      </c>
      <c r="D124" s="325" t="s">
        <v>5338</v>
      </c>
      <c r="E124" s="321" t="s">
        <v>119</v>
      </c>
      <c r="F124" s="324">
        <v>339.93</v>
      </c>
      <c r="G124" s="321" t="s">
        <v>4707</v>
      </c>
    </row>
    <row r="125" spans="1:7" ht="45" x14ac:dyDescent="0.25">
      <c r="A125" s="62" t="s">
        <v>4398</v>
      </c>
      <c r="B125" s="96">
        <v>24028</v>
      </c>
      <c r="C125" s="321" t="str">
        <f t="shared" si="3"/>
        <v>CPOS24028</v>
      </c>
      <c r="D125" s="325" t="s">
        <v>5340</v>
      </c>
      <c r="E125" s="321" t="s">
        <v>4406</v>
      </c>
      <c r="F125" s="324">
        <v>19.13</v>
      </c>
      <c r="G125" s="321" t="s">
        <v>4707</v>
      </c>
    </row>
    <row r="126" spans="1:7" x14ac:dyDescent="0.25">
      <c r="A126" s="62" t="s">
        <v>4398</v>
      </c>
      <c r="B126" s="96">
        <v>330533</v>
      </c>
      <c r="C126" s="321" t="str">
        <f t="shared" si="3"/>
        <v>CPOS330533</v>
      </c>
      <c r="D126" s="325" t="s">
        <v>1865</v>
      </c>
      <c r="E126" s="321" t="s">
        <v>81</v>
      </c>
      <c r="F126" s="324">
        <v>13.23</v>
      </c>
      <c r="G126" s="321" t="s">
        <v>4707</v>
      </c>
    </row>
    <row r="127" spans="1:7" x14ac:dyDescent="0.25">
      <c r="A127" s="62" t="s">
        <v>4398</v>
      </c>
      <c r="B127" s="96">
        <v>28002</v>
      </c>
      <c r="C127" s="321" t="str">
        <f t="shared" si="3"/>
        <v>CPOS28002</v>
      </c>
      <c r="D127" s="325" t="s">
        <v>5344</v>
      </c>
      <c r="E127" s="321" t="s">
        <v>463</v>
      </c>
      <c r="F127" s="324">
        <v>35.21</v>
      </c>
      <c r="G127" s="321" t="s">
        <v>4707</v>
      </c>
    </row>
    <row r="128" spans="1:7" x14ac:dyDescent="0.25">
      <c r="A128" s="62" t="s">
        <v>4398</v>
      </c>
      <c r="B128" s="96">
        <v>110309</v>
      </c>
      <c r="C128" s="321" t="str">
        <f t="shared" si="3"/>
        <v>CPOS110309</v>
      </c>
      <c r="D128" s="95" t="s">
        <v>663</v>
      </c>
      <c r="E128" s="63" t="s">
        <v>119</v>
      </c>
      <c r="F128" s="64">
        <v>306.44</v>
      </c>
      <c r="G128" s="321" t="s">
        <v>4707</v>
      </c>
    </row>
    <row r="129" spans="1:7" ht="30" x14ac:dyDescent="0.25">
      <c r="A129" s="62" t="s">
        <v>4398</v>
      </c>
      <c r="B129" s="96">
        <v>21032</v>
      </c>
      <c r="C129" s="321" t="str">
        <f t="shared" si="3"/>
        <v>CPOS21032</v>
      </c>
      <c r="D129" s="325" t="s">
        <v>5354</v>
      </c>
      <c r="E129" s="321" t="s">
        <v>81</v>
      </c>
      <c r="F129" s="324">
        <v>13.94</v>
      </c>
      <c r="G129" s="321" t="s">
        <v>4707</v>
      </c>
    </row>
    <row r="130" spans="1:7" x14ac:dyDescent="0.25">
      <c r="A130" s="62" t="s">
        <v>4398</v>
      </c>
      <c r="B130" s="96">
        <v>331003</v>
      </c>
      <c r="C130" s="321" t="str">
        <f t="shared" ref="C130:C145" si="4">A130&amp;B130</f>
        <v>CPOS331003</v>
      </c>
      <c r="D130" s="95" t="s">
        <v>1879</v>
      </c>
      <c r="E130" s="63" t="s">
        <v>81</v>
      </c>
      <c r="F130" s="64">
        <v>16.18</v>
      </c>
      <c r="G130" s="321" t="s">
        <v>4707</v>
      </c>
    </row>
    <row r="131" spans="1:7" x14ac:dyDescent="0.25">
      <c r="A131" s="62" t="s">
        <v>4398</v>
      </c>
      <c r="B131" s="96">
        <v>210701</v>
      </c>
      <c r="C131" s="321" t="str">
        <f t="shared" si="4"/>
        <v>CPOS210701</v>
      </c>
      <c r="D131" s="95" t="s">
        <v>1215</v>
      </c>
      <c r="E131" s="63" t="s">
        <v>81</v>
      </c>
      <c r="F131" s="64">
        <v>105.81</v>
      </c>
      <c r="G131" s="321" t="s">
        <v>4707</v>
      </c>
    </row>
    <row r="132" spans="1:7" ht="30" x14ac:dyDescent="0.25">
      <c r="A132" s="62" t="s">
        <v>4398</v>
      </c>
      <c r="B132" s="96">
        <v>65676</v>
      </c>
      <c r="C132" s="321" t="str">
        <f t="shared" si="4"/>
        <v>CPOS65676</v>
      </c>
      <c r="D132" s="95" t="s">
        <v>5369</v>
      </c>
      <c r="E132" s="63" t="s">
        <v>81</v>
      </c>
      <c r="F132" s="64">
        <v>474.13</v>
      </c>
      <c r="G132" s="321" t="s">
        <v>4707</v>
      </c>
    </row>
    <row r="133" spans="1:7" ht="30" x14ac:dyDescent="0.25">
      <c r="A133" s="62" t="s">
        <v>4398</v>
      </c>
      <c r="B133" s="96">
        <v>260401</v>
      </c>
      <c r="C133" s="96" t="str">
        <f t="shared" si="4"/>
        <v>CPOS260401</v>
      </c>
      <c r="D133" s="95" t="s">
        <v>1581</v>
      </c>
      <c r="E133" s="63" t="s">
        <v>81</v>
      </c>
      <c r="F133" s="64">
        <v>265</v>
      </c>
      <c r="G133" s="321" t="s">
        <v>4707</v>
      </c>
    </row>
    <row r="134" spans="1:7" ht="30" x14ac:dyDescent="0.25">
      <c r="A134" s="62" t="s">
        <v>4398</v>
      </c>
      <c r="B134" s="96">
        <v>21091</v>
      </c>
      <c r="C134" s="321" t="str">
        <f t="shared" si="4"/>
        <v>CPOS21091</v>
      </c>
      <c r="D134" s="95" t="s">
        <v>5499</v>
      </c>
      <c r="E134" s="63" t="s">
        <v>240</v>
      </c>
      <c r="F134" s="64">
        <v>38.5</v>
      </c>
      <c r="G134" s="321" t="s">
        <v>4707</v>
      </c>
    </row>
    <row r="135" spans="1:7" x14ac:dyDescent="0.25">
      <c r="A135" s="62" t="s">
        <v>4398</v>
      </c>
      <c r="B135" s="96"/>
      <c r="C135" s="321" t="str">
        <f t="shared" si="4"/>
        <v>CPOS</v>
      </c>
      <c r="D135" s="95"/>
      <c r="E135" s="63"/>
      <c r="F135" s="64"/>
      <c r="G135" s="321" t="s">
        <v>4707</v>
      </c>
    </row>
    <row r="136" spans="1:7" x14ac:dyDescent="0.25">
      <c r="A136" s="62" t="s">
        <v>4398</v>
      </c>
      <c r="B136" s="96"/>
      <c r="C136" s="321" t="str">
        <f t="shared" si="4"/>
        <v>CPOS</v>
      </c>
      <c r="D136" s="95"/>
      <c r="E136" s="63"/>
      <c r="F136" s="64"/>
      <c r="G136" s="321" t="s">
        <v>4707</v>
      </c>
    </row>
    <row r="137" spans="1:7" x14ac:dyDescent="0.25">
      <c r="A137" s="62" t="s">
        <v>4398</v>
      </c>
      <c r="B137" s="96"/>
      <c r="C137" s="321" t="str">
        <f t="shared" si="4"/>
        <v>CPOS</v>
      </c>
      <c r="D137" s="95"/>
      <c r="E137" s="63"/>
      <c r="F137" s="64"/>
      <c r="G137" s="321" t="s">
        <v>4707</v>
      </c>
    </row>
    <row r="138" spans="1:7" x14ac:dyDescent="0.25">
      <c r="A138" s="62" t="s">
        <v>4398</v>
      </c>
      <c r="B138" s="96"/>
      <c r="C138" s="321" t="str">
        <f t="shared" si="4"/>
        <v>CPOS</v>
      </c>
      <c r="D138" s="95"/>
      <c r="E138" s="63"/>
      <c r="F138" s="64"/>
      <c r="G138" s="321" t="s">
        <v>4707</v>
      </c>
    </row>
    <row r="139" spans="1:7" x14ac:dyDescent="0.25">
      <c r="A139" s="62" t="s">
        <v>4398</v>
      </c>
      <c r="B139" s="96"/>
      <c r="C139" s="321" t="str">
        <f t="shared" si="4"/>
        <v>CPOS</v>
      </c>
      <c r="D139" s="95"/>
      <c r="E139" s="63"/>
      <c r="F139" s="64"/>
      <c r="G139" s="321" t="s">
        <v>4707</v>
      </c>
    </row>
    <row r="140" spans="1:7" x14ac:dyDescent="0.25">
      <c r="A140" s="62" t="s">
        <v>4398</v>
      </c>
      <c r="B140" s="96"/>
      <c r="C140" s="321" t="str">
        <f t="shared" si="4"/>
        <v>CPOS</v>
      </c>
      <c r="D140" s="95"/>
      <c r="E140" s="63"/>
      <c r="F140" s="64"/>
      <c r="G140" s="321" t="s">
        <v>4707</v>
      </c>
    </row>
    <row r="141" spans="1:7" x14ac:dyDescent="0.25">
      <c r="A141" s="62" t="s">
        <v>4398</v>
      </c>
      <c r="B141" s="96"/>
      <c r="C141" s="321" t="str">
        <f t="shared" si="4"/>
        <v>CPOS</v>
      </c>
      <c r="D141" s="95"/>
      <c r="E141" s="63"/>
      <c r="F141" s="64"/>
      <c r="G141" s="321" t="s">
        <v>4707</v>
      </c>
    </row>
    <row r="142" spans="1:7" x14ac:dyDescent="0.25">
      <c r="A142" s="62" t="s">
        <v>4398</v>
      </c>
      <c r="C142" s="321" t="str">
        <f t="shared" si="4"/>
        <v>CPOS</v>
      </c>
      <c r="G142" s="321" t="s">
        <v>4707</v>
      </c>
    </row>
    <row r="143" spans="1:7" x14ac:dyDescent="0.25">
      <c r="A143" s="62" t="s">
        <v>4398</v>
      </c>
      <c r="C143" s="321" t="str">
        <f t="shared" si="4"/>
        <v>CPOS</v>
      </c>
      <c r="G143" s="321" t="s">
        <v>4707</v>
      </c>
    </row>
    <row r="144" spans="1:7" x14ac:dyDescent="0.25">
      <c r="A144" s="62" t="s">
        <v>4398</v>
      </c>
      <c r="C144" s="321" t="str">
        <f t="shared" si="4"/>
        <v>CPOS</v>
      </c>
      <c r="G144" s="321" t="s">
        <v>4707</v>
      </c>
    </row>
    <row r="145" spans="1:7" x14ac:dyDescent="0.25">
      <c r="A145" s="62" t="s">
        <v>4398</v>
      </c>
      <c r="C145" s="321" t="str">
        <f t="shared" si="4"/>
        <v>CPOS</v>
      </c>
      <c r="G145" s="321" t="s">
        <v>4707</v>
      </c>
    </row>
    <row r="146" spans="1:7" x14ac:dyDescent="0.25">
      <c r="A146" s="327" t="s">
        <v>4703</v>
      </c>
      <c r="B146" s="327"/>
      <c r="C146" s="328"/>
      <c r="D146" s="329"/>
      <c r="E146" s="330"/>
      <c r="F146" s="331"/>
      <c r="G146" s="332"/>
    </row>
    <row r="147" spans="1:7" x14ac:dyDescent="0.25">
      <c r="A147" s="321" t="s">
        <v>4701</v>
      </c>
      <c r="B147" s="322">
        <v>36515</v>
      </c>
      <c r="C147" s="321" t="str">
        <f t="shared" ref="C147:C159" si="5">A147&amp;B147</f>
        <v>FDE36515</v>
      </c>
      <c r="D147" s="325" t="s">
        <v>4705</v>
      </c>
      <c r="E147" s="321" t="s">
        <v>58</v>
      </c>
      <c r="F147" s="324">
        <v>16.149999999999999</v>
      </c>
      <c r="G147" s="321" t="s">
        <v>4707</v>
      </c>
    </row>
    <row r="148" spans="1:7" x14ac:dyDescent="0.25">
      <c r="A148" s="321" t="s">
        <v>4701</v>
      </c>
      <c r="B148" s="322">
        <v>31065</v>
      </c>
      <c r="C148" s="321" t="str">
        <f t="shared" si="5"/>
        <v>FDE31065</v>
      </c>
      <c r="D148" s="325" t="s">
        <v>5073</v>
      </c>
      <c r="E148" s="321" t="s">
        <v>329</v>
      </c>
      <c r="F148" s="324">
        <v>17.28</v>
      </c>
      <c r="G148" s="321" t="s">
        <v>4707</v>
      </c>
    </row>
    <row r="149" spans="1:7" ht="30" x14ac:dyDescent="0.25">
      <c r="A149" s="62" t="s">
        <v>4701</v>
      </c>
      <c r="B149" s="96" t="s">
        <v>5113</v>
      </c>
      <c r="C149" s="321" t="str">
        <f t="shared" si="5"/>
        <v>FDE45119</v>
      </c>
      <c r="D149" s="95" t="s">
        <v>5135</v>
      </c>
      <c r="E149" s="63" t="s">
        <v>58</v>
      </c>
      <c r="F149" s="64">
        <v>81.7</v>
      </c>
      <c r="G149" s="321" t="s">
        <v>4707</v>
      </c>
    </row>
    <row r="150" spans="1:7" x14ac:dyDescent="0.25">
      <c r="A150" s="62" t="s">
        <v>4701</v>
      </c>
      <c r="B150" s="96" t="s">
        <v>5114</v>
      </c>
      <c r="C150" s="321" t="str">
        <f t="shared" si="5"/>
        <v>FDE46306</v>
      </c>
      <c r="D150" s="95" t="s">
        <v>5136</v>
      </c>
      <c r="E150" s="63" t="s">
        <v>58</v>
      </c>
      <c r="F150" s="64">
        <v>90.63</v>
      </c>
      <c r="G150" s="321" t="s">
        <v>4707</v>
      </c>
    </row>
    <row r="151" spans="1:7" x14ac:dyDescent="0.25">
      <c r="A151" s="62" t="s">
        <v>4701</v>
      </c>
      <c r="B151" s="96">
        <v>46311</v>
      </c>
      <c r="C151" s="321" t="str">
        <f t="shared" si="5"/>
        <v>FDE46311</v>
      </c>
      <c r="D151" s="95" t="s">
        <v>5137</v>
      </c>
      <c r="E151" s="63" t="s">
        <v>58</v>
      </c>
      <c r="F151" s="64">
        <v>348.8</v>
      </c>
      <c r="G151" s="321" t="s">
        <v>4707</v>
      </c>
    </row>
    <row r="152" spans="1:7" ht="30" x14ac:dyDescent="0.25">
      <c r="A152" s="62" t="s">
        <v>4701</v>
      </c>
      <c r="B152" s="96">
        <v>46321</v>
      </c>
      <c r="C152" s="321" t="str">
        <f t="shared" si="5"/>
        <v>FDE46321</v>
      </c>
      <c r="D152" s="95" t="s">
        <v>5138</v>
      </c>
      <c r="E152" s="63" t="s">
        <v>58</v>
      </c>
      <c r="F152" s="64">
        <v>21.62</v>
      </c>
      <c r="G152" s="321" t="s">
        <v>4707</v>
      </c>
    </row>
    <row r="153" spans="1:7" x14ac:dyDescent="0.25">
      <c r="A153" s="62" t="s">
        <v>4701</v>
      </c>
      <c r="B153" s="96">
        <v>48008</v>
      </c>
      <c r="C153" s="321" t="str">
        <f t="shared" si="5"/>
        <v>FDE48008</v>
      </c>
      <c r="D153" s="95" t="s">
        <v>5139</v>
      </c>
      <c r="E153" s="63" t="s">
        <v>58</v>
      </c>
      <c r="F153" s="64">
        <v>76.849999999999994</v>
      </c>
      <c r="G153" s="321" t="s">
        <v>4707</v>
      </c>
    </row>
    <row r="154" spans="1:7" ht="30" x14ac:dyDescent="0.25">
      <c r="A154" s="62" t="s">
        <v>4701</v>
      </c>
      <c r="B154" s="96">
        <v>48528</v>
      </c>
      <c r="C154" s="321" t="str">
        <f t="shared" si="5"/>
        <v>FDE48528</v>
      </c>
      <c r="D154" s="95" t="s">
        <v>5140</v>
      </c>
      <c r="E154" s="63" t="s">
        <v>58</v>
      </c>
      <c r="F154" s="64">
        <v>19.72</v>
      </c>
      <c r="G154" s="321" t="s">
        <v>4707</v>
      </c>
    </row>
    <row r="155" spans="1:7" ht="30" x14ac:dyDescent="0.25">
      <c r="A155" s="62" t="s">
        <v>4701</v>
      </c>
      <c r="B155" s="96">
        <v>80101</v>
      </c>
      <c r="C155" s="321" t="str">
        <f t="shared" si="5"/>
        <v>FDE80101</v>
      </c>
      <c r="D155" s="95" t="s">
        <v>5141</v>
      </c>
      <c r="E155" s="63" t="s">
        <v>129</v>
      </c>
      <c r="F155" s="64">
        <v>1.33</v>
      </c>
      <c r="G155" s="321" t="s">
        <v>4707</v>
      </c>
    </row>
    <row r="156" spans="1:7" x14ac:dyDescent="0.25">
      <c r="A156" s="321" t="s">
        <v>4701</v>
      </c>
      <c r="B156" s="322">
        <v>48050</v>
      </c>
      <c r="C156" s="321" t="str">
        <f t="shared" si="5"/>
        <v>FDE48050</v>
      </c>
      <c r="D156" s="325" t="s">
        <v>5143</v>
      </c>
      <c r="E156" s="321" t="s">
        <v>58</v>
      </c>
      <c r="F156" s="324">
        <v>29.94</v>
      </c>
      <c r="G156" s="321" t="s">
        <v>4707</v>
      </c>
    </row>
    <row r="157" spans="1:7" x14ac:dyDescent="0.25">
      <c r="A157" s="62" t="s">
        <v>4701</v>
      </c>
      <c r="B157" s="96">
        <v>23535</v>
      </c>
      <c r="C157" s="321" t="str">
        <f t="shared" si="5"/>
        <v>FDE23535</v>
      </c>
      <c r="D157" s="95" t="s">
        <v>5160</v>
      </c>
      <c r="E157" s="63" t="s">
        <v>58</v>
      </c>
      <c r="F157" s="64">
        <v>169.96</v>
      </c>
      <c r="G157" s="321" t="s">
        <v>4707</v>
      </c>
    </row>
    <row r="158" spans="1:7" x14ac:dyDescent="0.25">
      <c r="A158" s="62" t="s">
        <v>4701</v>
      </c>
      <c r="B158" s="96">
        <v>31533</v>
      </c>
      <c r="C158" s="321" t="str">
        <f t="shared" si="5"/>
        <v>FDE31533</v>
      </c>
      <c r="D158" s="95" t="s">
        <v>5161</v>
      </c>
      <c r="E158" s="63" t="s">
        <v>58</v>
      </c>
      <c r="F158" s="64">
        <v>9.44</v>
      </c>
      <c r="G158" s="321" t="s">
        <v>4707</v>
      </c>
    </row>
    <row r="159" spans="1:7" x14ac:dyDescent="0.25">
      <c r="A159" s="62" t="s">
        <v>4701</v>
      </c>
      <c r="B159" s="96">
        <v>31671</v>
      </c>
      <c r="C159" s="321" t="str">
        <f t="shared" si="5"/>
        <v>FDE31671</v>
      </c>
      <c r="D159" s="95" t="s">
        <v>5162</v>
      </c>
      <c r="E159" s="63" t="s">
        <v>58</v>
      </c>
      <c r="F159" s="64">
        <v>58.22</v>
      </c>
      <c r="G159" s="321" t="s">
        <v>4707</v>
      </c>
    </row>
    <row r="160" spans="1:7" x14ac:dyDescent="0.25">
      <c r="A160" s="62" t="s">
        <v>4701</v>
      </c>
      <c r="B160" s="96">
        <v>25530</v>
      </c>
      <c r="C160" s="321" t="str">
        <f t="shared" ref="C160:C161" si="6">A160&amp;B160</f>
        <v>FDE25530</v>
      </c>
      <c r="D160" s="95" t="s">
        <v>5484</v>
      </c>
      <c r="E160" s="63" t="s">
        <v>329</v>
      </c>
      <c r="F160" s="64">
        <v>20.94</v>
      </c>
      <c r="G160" s="321" t="s">
        <v>4707</v>
      </c>
    </row>
    <row r="161" spans="1:7" x14ac:dyDescent="0.25">
      <c r="A161" s="62" t="s">
        <v>4701</v>
      </c>
      <c r="B161" s="96">
        <v>26771</v>
      </c>
      <c r="C161" s="321" t="str">
        <f t="shared" si="6"/>
        <v>FDE26771</v>
      </c>
      <c r="D161" s="95" t="s">
        <v>5485</v>
      </c>
      <c r="E161" s="63" t="s">
        <v>58</v>
      </c>
      <c r="F161" s="64">
        <v>15.71</v>
      </c>
      <c r="G161" s="321" t="s">
        <v>4707</v>
      </c>
    </row>
    <row r="162" spans="1:7" x14ac:dyDescent="0.25">
      <c r="A162" s="62" t="s">
        <v>4701</v>
      </c>
      <c r="B162" s="96">
        <v>24096</v>
      </c>
      <c r="C162" s="321" t="str">
        <f t="shared" ref="C162" si="7">A162&amp;B162</f>
        <v>FDE24096</v>
      </c>
      <c r="D162" s="95" t="s">
        <v>5486</v>
      </c>
      <c r="E162" s="63" t="s">
        <v>329</v>
      </c>
      <c r="F162" s="64">
        <v>41.51</v>
      </c>
      <c r="G162" s="321" t="s">
        <v>4707</v>
      </c>
    </row>
    <row r="163" spans="1:7" x14ac:dyDescent="0.25">
      <c r="A163" s="62" t="s">
        <v>4701</v>
      </c>
      <c r="B163" s="96">
        <v>20536</v>
      </c>
      <c r="C163" s="321" t="str">
        <f t="shared" ref="C163" si="8">A163&amp;B163</f>
        <v>FDE20536</v>
      </c>
      <c r="D163" s="95" t="s">
        <v>5498</v>
      </c>
      <c r="E163" s="63" t="s">
        <v>119</v>
      </c>
      <c r="F163" s="64">
        <v>266.27999999999997</v>
      </c>
      <c r="G163" s="321" t="s">
        <v>4707</v>
      </c>
    </row>
    <row r="164" spans="1:7" x14ac:dyDescent="0.25">
      <c r="A164" s="62" t="s">
        <v>4701</v>
      </c>
      <c r="B164" s="96">
        <v>38727</v>
      </c>
      <c r="C164" s="321" t="str">
        <f t="shared" ref="C164:C165" si="9">A164&amp;B164</f>
        <v>FDE38727</v>
      </c>
      <c r="D164" s="95" t="s">
        <v>5500</v>
      </c>
      <c r="E164" s="63" t="s">
        <v>58</v>
      </c>
      <c r="F164" s="64">
        <v>7809</v>
      </c>
      <c r="G164" s="321" t="s">
        <v>4707</v>
      </c>
    </row>
    <row r="165" spans="1:7" x14ac:dyDescent="0.25">
      <c r="A165" s="62" t="s">
        <v>4701</v>
      </c>
      <c r="B165" s="96">
        <v>80130</v>
      </c>
      <c r="C165" s="321" t="str">
        <f t="shared" si="9"/>
        <v>FDE80130</v>
      </c>
      <c r="D165" s="95" t="s">
        <v>5501</v>
      </c>
      <c r="E165" s="63" t="s">
        <v>129</v>
      </c>
      <c r="F165" s="64">
        <v>1.1000000000000001</v>
      </c>
      <c r="G165" s="321" t="s">
        <v>4795</v>
      </c>
    </row>
    <row r="166" spans="1:7" x14ac:dyDescent="0.25">
      <c r="A166" s="327" t="s">
        <v>4718</v>
      </c>
      <c r="B166" s="327"/>
      <c r="C166" s="328"/>
      <c r="D166" s="329"/>
      <c r="E166" s="330"/>
      <c r="F166" s="331"/>
      <c r="G166" s="332"/>
    </row>
    <row r="167" spans="1:7" ht="30" x14ac:dyDescent="0.25">
      <c r="A167" s="321" t="s">
        <v>4717</v>
      </c>
      <c r="B167" s="322" t="s">
        <v>4728</v>
      </c>
      <c r="C167" s="321" t="str">
        <f t="shared" ref="C167:C197" si="10">A167&amp;B167</f>
        <v>COTAÇÃOCOT-001</v>
      </c>
      <c r="D167" s="325" t="s">
        <v>4714</v>
      </c>
      <c r="E167" s="321" t="s">
        <v>58</v>
      </c>
      <c r="F167" s="324">
        <f>VLOOKUP(B167,COTAÇÕES!A:J,10,0)</f>
        <v>498.90019999999998</v>
      </c>
      <c r="G167" s="321" t="s">
        <v>4707</v>
      </c>
    </row>
    <row r="168" spans="1:7" ht="45" x14ac:dyDescent="0.25">
      <c r="A168" s="321" t="s">
        <v>4717</v>
      </c>
      <c r="B168" s="322" t="s">
        <v>4855</v>
      </c>
      <c r="C168" s="321" t="str">
        <f t="shared" si="10"/>
        <v>COTAÇÃOCOT-003</v>
      </c>
      <c r="D168" s="325" t="s">
        <v>4939</v>
      </c>
      <c r="E168" s="321" t="s">
        <v>117</v>
      </c>
      <c r="F168" s="324">
        <f>VLOOKUP(B168,COTAÇÕES!A:J,10,0)</f>
        <v>27474.94</v>
      </c>
      <c r="G168" s="321" t="s">
        <v>4707</v>
      </c>
    </row>
    <row r="169" spans="1:7" ht="45" x14ac:dyDescent="0.25">
      <c r="A169" s="321" t="s">
        <v>4717</v>
      </c>
      <c r="B169" s="322" t="s">
        <v>4856</v>
      </c>
      <c r="C169" s="321" t="str">
        <f t="shared" si="10"/>
        <v>COTAÇÃOCOT-004</v>
      </c>
      <c r="D169" s="325" t="s">
        <v>4940</v>
      </c>
      <c r="E169" s="321" t="s">
        <v>117</v>
      </c>
      <c r="F169" s="324">
        <f>VLOOKUP(B169,COTAÇÕES!A:J,10,0)</f>
        <v>105388.8</v>
      </c>
      <c r="G169" s="321" t="s">
        <v>4707</v>
      </c>
    </row>
    <row r="170" spans="1:7" ht="45" x14ac:dyDescent="0.25">
      <c r="A170" s="321" t="s">
        <v>4717</v>
      </c>
      <c r="B170" s="322" t="s">
        <v>4857</v>
      </c>
      <c r="C170" s="321" t="str">
        <f t="shared" si="10"/>
        <v>COTAÇÃOCOT-005</v>
      </c>
      <c r="D170" s="325" t="s">
        <v>4941</v>
      </c>
      <c r="E170" s="321" t="s">
        <v>117</v>
      </c>
      <c r="F170" s="324">
        <f>VLOOKUP(B170,COTAÇÕES!A:J,10,0)</f>
        <v>25948</v>
      </c>
      <c r="G170" s="321" t="s">
        <v>4707</v>
      </c>
    </row>
    <row r="171" spans="1:7" ht="45" x14ac:dyDescent="0.25">
      <c r="A171" s="321" t="s">
        <v>4717</v>
      </c>
      <c r="B171" s="322" t="s">
        <v>4858</v>
      </c>
      <c r="C171" s="321" t="str">
        <f t="shared" si="10"/>
        <v>COTAÇÃOCOT-006</v>
      </c>
      <c r="D171" s="325" t="s">
        <v>4942</v>
      </c>
      <c r="E171" s="321" t="s">
        <v>117</v>
      </c>
      <c r="F171" s="324">
        <f>VLOOKUP(B171,COTAÇÕES!A:J,10,0)</f>
        <v>70751.214000000007</v>
      </c>
      <c r="G171" s="321" t="s">
        <v>4707</v>
      </c>
    </row>
    <row r="172" spans="1:7" ht="30" x14ac:dyDescent="0.25">
      <c r="A172" s="321" t="s">
        <v>4717</v>
      </c>
      <c r="B172" s="322" t="s">
        <v>4859</v>
      </c>
      <c r="C172" s="321" t="str">
        <f t="shared" si="10"/>
        <v>COTAÇÃOCOT-007</v>
      </c>
      <c r="D172" s="333" t="s">
        <v>5346</v>
      </c>
      <c r="E172" s="321" t="s">
        <v>81</v>
      </c>
      <c r="F172" s="324">
        <f>VLOOKUP(B172,COTAÇÕES!A:J,10,0)</f>
        <v>251.73052999999999</v>
      </c>
      <c r="G172" s="321" t="s">
        <v>4707</v>
      </c>
    </row>
    <row r="173" spans="1:7" ht="60" x14ac:dyDescent="0.25">
      <c r="A173" s="321" t="s">
        <v>4717</v>
      </c>
      <c r="B173" s="322" t="s">
        <v>4860</v>
      </c>
      <c r="C173" s="321" t="str">
        <f t="shared" si="10"/>
        <v>COTAÇÃOCOT-008</v>
      </c>
      <c r="D173" s="333" t="s">
        <v>5005</v>
      </c>
      <c r="E173" s="321" t="s">
        <v>58</v>
      </c>
      <c r="F173" s="324">
        <f>VLOOKUP(B173,COTAÇÕES!A:J,10,0)</f>
        <v>2453.5031600000002</v>
      </c>
      <c r="G173" s="321" t="s">
        <v>4707</v>
      </c>
    </row>
    <row r="174" spans="1:7" ht="75" x14ac:dyDescent="0.25">
      <c r="A174" s="321" t="s">
        <v>4717</v>
      </c>
      <c r="B174" s="322" t="s">
        <v>4861</v>
      </c>
      <c r="C174" s="321" t="str">
        <f t="shared" si="10"/>
        <v>COTAÇÃOCOT-009</v>
      </c>
      <c r="D174" s="333" t="s">
        <v>5006</v>
      </c>
      <c r="E174" s="321" t="s">
        <v>58</v>
      </c>
      <c r="F174" s="324">
        <f>VLOOKUP(B174,COTAÇÕES!A:J,10,0)</f>
        <v>2453.5031600000002</v>
      </c>
      <c r="G174" s="321" t="s">
        <v>4707</v>
      </c>
    </row>
    <row r="175" spans="1:7" ht="75" x14ac:dyDescent="0.25">
      <c r="A175" s="321" t="s">
        <v>4717</v>
      </c>
      <c r="B175" s="322" t="s">
        <v>4862</v>
      </c>
      <c r="C175" s="321" t="str">
        <f t="shared" si="10"/>
        <v>COTAÇÃOCOT-010</v>
      </c>
      <c r="D175" s="333" t="s">
        <v>5007</v>
      </c>
      <c r="E175" s="321" t="s">
        <v>58</v>
      </c>
      <c r="F175" s="324">
        <f>VLOOKUP(B175,COTAÇÕES!A:J,10,0)</f>
        <v>2453.5031600000002</v>
      </c>
      <c r="G175" s="321" t="s">
        <v>4707</v>
      </c>
    </row>
    <row r="176" spans="1:7" ht="60" x14ac:dyDescent="0.25">
      <c r="A176" s="321" t="s">
        <v>4717</v>
      </c>
      <c r="B176" s="322" t="s">
        <v>4863</v>
      </c>
      <c r="C176" s="321" t="str">
        <f t="shared" si="10"/>
        <v>COTAÇÃOCOT-011</v>
      </c>
      <c r="D176" s="333" t="s">
        <v>5008</v>
      </c>
      <c r="E176" s="321" t="s">
        <v>58</v>
      </c>
      <c r="F176" s="324">
        <f>VLOOKUP(B176,COTAÇÕES!A:J,10,0)</f>
        <v>1177.6815168000001</v>
      </c>
      <c r="G176" s="321" t="s">
        <v>4707</v>
      </c>
    </row>
    <row r="177" spans="1:7" ht="75" x14ac:dyDescent="0.25">
      <c r="A177" s="321" t="s">
        <v>4717</v>
      </c>
      <c r="B177" s="322" t="s">
        <v>4864</v>
      </c>
      <c r="C177" s="321" t="str">
        <f t="shared" si="10"/>
        <v>COTAÇÃOCOT-012</v>
      </c>
      <c r="D177" s="333" t="s">
        <v>5009</v>
      </c>
      <c r="E177" s="321" t="s">
        <v>58</v>
      </c>
      <c r="F177" s="324">
        <f>VLOOKUP(B177,COTAÇÕES!A:J,10,0)</f>
        <v>9930.8485000000001</v>
      </c>
      <c r="G177" s="321" t="s">
        <v>4707</v>
      </c>
    </row>
    <row r="178" spans="1:7" ht="105" x14ac:dyDescent="0.25">
      <c r="A178" s="321" t="s">
        <v>4717</v>
      </c>
      <c r="B178" s="322" t="s">
        <v>4865</v>
      </c>
      <c r="C178" s="321" t="str">
        <f t="shared" si="10"/>
        <v>COTAÇÃOCOT-013</v>
      </c>
      <c r="D178" s="333" t="s">
        <v>5010</v>
      </c>
      <c r="E178" s="321" t="s">
        <v>58</v>
      </c>
      <c r="F178" s="324">
        <f>VLOOKUP(B178,COTAÇÕES!A:J,10,0)</f>
        <v>5166.6360199999999</v>
      </c>
      <c r="G178" s="321" t="s">
        <v>4707</v>
      </c>
    </row>
    <row r="179" spans="1:7" ht="75" x14ac:dyDescent="0.25">
      <c r="A179" s="321" t="s">
        <v>4717</v>
      </c>
      <c r="B179" s="322" t="s">
        <v>4866</v>
      </c>
      <c r="C179" s="321" t="str">
        <f t="shared" si="10"/>
        <v>COTAÇÃOCOT-014</v>
      </c>
      <c r="D179" s="333" t="s">
        <v>5011</v>
      </c>
      <c r="E179" s="321" t="s">
        <v>58</v>
      </c>
      <c r="F179" s="324">
        <f>VLOOKUP(B179,COTAÇÕES!A:J,10,0)</f>
        <v>4778.8930600000003</v>
      </c>
      <c r="G179" s="321" t="s">
        <v>4707</v>
      </c>
    </row>
    <row r="180" spans="1:7" ht="75" x14ac:dyDescent="0.25">
      <c r="A180" s="321" t="s">
        <v>4717</v>
      </c>
      <c r="B180" s="322" t="s">
        <v>4867</v>
      </c>
      <c r="C180" s="321" t="str">
        <f t="shared" si="10"/>
        <v>COTAÇÃOCOT-015</v>
      </c>
      <c r="D180" s="333" t="s">
        <v>5012</v>
      </c>
      <c r="E180" s="321" t="s">
        <v>58</v>
      </c>
      <c r="F180" s="324">
        <f>VLOOKUP(B180,COTAÇÕES!A:J,10,0)</f>
        <v>4778.8930600000003</v>
      </c>
      <c r="G180" s="321" t="s">
        <v>4707</v>
      </c>
    </row>
    <row r="181" spans="1:7" ht="105" x14ac:dyDescent="0.25">
      <c r="A181" s="321" t="s">
        <v>4717</v>
      </c>
      <c r="B181" s="322" t="s">
        <v>4868</v>
      </c>
      <c r="C181" s="321" t="str">
        <f t="shared" si="10"/>
        <v>COTAÇÃOCOT-016</v>
      </c>
      <c r="D181" s="333" t="s">
        <v>5013</v>
      </c>
      <c r="E181" s="321" t="s">
        <v>58</v>
      </c>
      <c r="F181" s="324">
        <f>VLOOKUP(B181,COTAÇÕES!A:J,10,0)</f>
        <v>4778.8930600000003</v>
      </c>
      <c r="G181" s="321" t="s">
        <v>4707</v>
      </c>
    </row>
    <row r="182" spans="1:7" ht="90" x14ac:dyDescent="0.25">
      <c r="A182" s="321" t="s">
        <v>4717</v>
      </c>
      <c r="B182" s="322" t="s">
        <v>4869</v>
      </c>
      <c r="C182" s="321" t="str">
        <f t="shared" si="10"/>
        <v>COTAÇÃOCOT-017</v>
      </c>
      <c r="D182" s="333" t="s">
        <v>5014</v>
      </c>
      <c r="E182" s="321" t="s">
        <v>58</v>
      </c>
      <c r="F182" s="324">
        <f>VLOOKUP(B182,COTAÇÕES!A:J,10,0)</f>
        <v>4778.8930600000003</v>
      </c>
      <c r="G182" s="321" t="s">
        <v>4707</v>
      </c>
    </row>
    <row r="183" spans="1:7" ht="30" x14ac:dyDescent="0.25">
      <c r="A183" s="321" t="s">
        <v>4717</v>
      </c>
      <c r="B183" s="322" t="s">
        <v>4870</v>
      </c>
      <c r="C183" s="321" t="str">
        <f t="shared" si="10"/>
        <v>COTAÇÃOCOT-018</v>
      </c>
      <c r="D183" s="333" t="s">
        <v>5015</v>
      </c>
      <c r="E183" s="321" t="s">
        <v>58</v>
      </c>
      <c r="F183" s="324">
        <f>VLOOKUP(B183,COTAÇÕES!A:J,10,0)</f>
        <v>3725.6936799999999</v>
      </c>
      <c r="G183" s="321" t="s">
        <v>4707</v>
      </c>
    </row>
    <row r="184" spans="1:7" ht="30" x14ac:dyDescent="0.25">
      <c r="A184" s="321" t="s">
        <v>4717</v>
      </c>
      <c r="B184" s="322" t="s">
        <v>4871</v>
      </c>
      <c r="C184" s="321" t="str">
        <f t="shared" si="10"/>
        <v>COTAÇÃOCOT-019</v>
      </c>
      <c r="D184" s="333" t="s">
        <v>5016</v>
      </c>
      <c r="E184" s="321" t="s">
        <v>58</v>
      </c>
      <c r="F184" s="324">
        <f>VLOOKUP(B184,COTAÇÕES!A:J,10,0)</f>
        <v>721.28453999999999</v>
      </c>
      <c r="G184" s="321" t="s">
        <v>4707</v>
      </c>
    </row>
    <row r="185" spans="1:7" ht="30" x14ac:dyDescent="0.25">
      <c r="A185" s="321" t="s">
        <v>4717</v>
      </c>
      <c r="B185" s="322" t="s">
        <v>4872</v>
      </c>
      <c r="C185" s="321" t="str">
        <f t="shared" si="10"/>
        <v>COTAÇÃOCOT-020</v>
      </c>
      <c r="D185" s="333" t="s">
        <v>5017</v>
      </c>
      <c r="E185" s="321" t="s">
        <v>58</v>
      </c>
      <c r="F185" s="324">
        <f>VLOOKUP(B185,COTAÇÕES!A:J,10,0)</f>
        <v>3606.4326799999999</v>
      </c>
      <c r="G185" s="321" t="s">
        <v>4707</v>
      </c>
    </row>
    <row r="186" spans="1:7" ht="30" x14ac:dyDescent="0.25">
      <c r="A186" s="321" t="s">
        <v>4717</v>
      </c>
      <c r="B186" s="322" t="s">
        <v>4873</v>
      </c>
      <c r="C186" s="321" t="str">
        <f t="shared" si="10"/>
        <v>COTAÇÃOCOT-021</v>
      </c>
      <c r="D186" s="325" t="s">
        <v>5347</v>
      </c>
      <c r="E186" s="321" t="s">
        <v>81</v>
      </c>
      <c r="F186" s="324">
        <v>126</v>
      </c>
      <c r="G186" s="321" t="s">
        <v>4707</v>
      </c>
    </row>
    <row r="187" spans="1:7" ht="30" x14ac:dyDescent="0.25">
      <c r="A187" s="321" t="s">
        <v>4717</v>
      </c>
      <c r="B187" s="322" t="s">
        <v>4874</v>
      </c>
      <c r="C187" s="321" t="str">
        <f t="shared" si="10"/>
        <v>COTAÇÃOCOT-022</v>
      </c>
      <c r="D187" s="325" t="s">
        <v>5348</v>
      </c>
      <c r="E187" s="321" t="s">
        <v>81</v>
      </c>
      <c r="F187" s="324">
        <v>190.5</v>
      </c>
      <c r="G187" s="321" t="s">
        <v>4707</v>
      </c>
    </row>
    <row r="188" spans="1:7" ht="75" x14ac:dyDescent="0.25">
      <c r="A188" s="321" t="s">
        <v>4717</v>
      </c>
      <c r="B188" s="322" t="s">
        <v>4875</v>
      </c>
      <c r="C188" s="321" t="str">
        <f t="shared" si="10"/>
        <v>COTAÇÃOCOT-023</v>
      </c>
      <c r="D188" s="325" t="s">
        <v>5020</v>
      </c>
      <c r="E188" s="321" t="s">
        <v>58</v>
      </c>
      <c r="F188" s="324">
        <f>VLOOKUP(B188,COTAÇÕES!A:J,10,0)</f>
        <v>5691.0151599999999</v>
      </c>
      <c r="G188" s="321" t="s">
        <v>4707</v>
      </c>
    </row>
    <row r="189" spans="1:7" ht="60" x14ac:dyDescent="0.25">
      <c r="A189" s="321" t="s">
        <v>4717</v>
      </c>
      <c r="B189" s="322" t="s">
        <v>4876</v>
      </c>
      <c r="C189" s="321" t="str">
        <f t="shared" si="10"/>
        <v>COTAÇÃOCOT-024</v>
      </c>
      <c r="D189" s="325" t="s">
        <v>5021</v>
      </c>
      <c r="E189" s="321" t="s">
        <v>58</v>
      </c>
      <c r="F189" s="324">
        <f>VLOOKUP(B189,COTAÇÕES!A:J,10,0)</f>
        <v>11419.275680000001</v>
      </c>
      <c r="G189" s="321" t="s">
        <v>4707</v>
      </c>
    </row>
    <row r="190" spans="1:7" ht="60" x14ac:dyDescent="0.25">
      <c r="A190" s="321" t="s">
        <v>4717</v>
      </c>
      <c r="B190" s="322" t="s">
        <v>4877</v>
      </c>
      <c r="C190" s="321" t="str">
        <f t="shared" si="10"/>
        <v>COTAÇÃOCOT-025</v>
      </c>
      <c r="D190" s="325" t="s">
        <v>5022</v>
      </c>
      <c r="E190" s="321" t="s">
        <v>58</v>
      </c>
      <c r="F190" s="324">
        <f>VLOOKUP(B190,COTAÇÕES!A:J,10,0)</f>
        <v>2441.4473200000002</v>
      </c>
      <c r="G190" s="321" t="s">
        <v>4707</v>
      </c>
    </row>
    <row r="191" spans="1:7" ht="75" x14ac:dyDescent="0.25">
      <c r="A191" s="321" t="s">
        <v>4717</v>
      </c>
      <c r="B191" s="322" t="s">
        <v>4878</v>
      </c>
      <c r="C191" s="321" t="str">
        <f t="shared" si="10"/>
        <v>COTAÇÃOCOT-026</v>
      </c>
      <c r="D191" s="325" t="s">
        <v>5023</v>
      </c>
      <c r="E191" s="321" t="s">
        <v>58</v>
      </c>
      <c r="F191" s="324">
        <f>VLOOKUP(B191,COTAÇÕES!A:J,10,0)</f>
        <v>2478.9621399999996</v>
      </c>
      <c r="G191" s="321" t="s">
        <v>4707</v>
      </c>
    </row>
    <row r="192" spans="1:7" ht="75" x14ac:dyDescent="0.25">
      <c r="A192" s="321" t="s">
        <v>4717</v>
      </c>
      <c r="B192" s="322" t="s">
        <v>4879</v>
      </c>
      <c r="C192" s="321" t="str">
        <f t="shared" si="10"/>
        <v>COTAÇÃOCOT-027</v>
      </c>
      <c r="D192" s="325" t="s">
        <v>5024</v>
      </c>
      <c r="E192" s="321" t="s">
        <v>58</v>
      </c>
      <c r="F192" s="324">
        <f>VLOOKUP(B192,COTAÇÕES!A:J,10,0)</f>
        <v>1724.7036800000001</v>
      </c>
      <c r="G192" s="321" t="s">
        <v>4707</v>
      </c>
    </row>
    <row r="193" spans="1:7" ht="60" x14ac:dyDescent="0.25">
      <c r="A193" s="321" t="s">
        <v>4717</v>
      </c>
      <c r="B193" s="322" t="s">
        <v>4880</v>
      </c>
      <c r="C193" s="321" t="str">
        <f t="shared" si="10"/>
        <v>COTAÇÃOCOT-028</v>
      </c>
      <c r="D193" s="325" t="s">
        <v>5025</v>
      </c>
      <c r="E193" s="321" t="s">
        <v>58</v>
      </c>
      <c r="F193" s="324">
        <f>VLOOKUP(B193,COTAÇÕES!A:J,10,0)</f>
        <v>2478.9621399999996</v>
      </c>
      <c r="G193" s="321" t="s">
        <v>4707</v>
      </c>
    </row>
    <row r="194" spans="1:7" ht="30" x14ac:dyDescent="0.25">
      <c r="A194" s="321" t="s">
        <v>4717</v>
      </c>
      <c r="B194" s="322" t="s">
        <v>4881</v>
      </c>
      <c r="C194" s="321" t="str">
        <f t="shared" si="10"/>
        <v>COTAÇÃOCOT-030</v>
      </c>
      <c r="D194" s="325" t="s">
        <v>5028</v>
      </c>
      <c r="E194" s="321" t="s">
        <v>58</v>
      </c>
      <c r="F194" s="324">
        <f>VLOOKUP(B194,COTAÇÕES!A:J,10,0)</f>
        <v>104.79</v>
      </c>
      <c r="G194" s="321" t="s">
        <v>4707</v>
      </c>
    </row>
    <row r="195" spans="1:7" ht="30" x14ac:dyDescent="0.25">
      <c r="A195" s="321" t="s">
        <v>4717</v>
      </c>
      <c r="B195" s="322" t="s">
        <v>4943</v>
      </c>
      <c r="C195" s="321" t="str">
        <f t="shared" si="10"/>
        <v>COTAÇÃOCOT-031</v>
      </c>
      <c r="D195" s="325" t="s">
        <v>5029</v>
      </c>
      <c r="E195" s="321" t="s">
        <v>58</v>
      </c>
      <c r="F195" s="324">
        <f>VLOOKUP(B195,COTAÇÕES!A:J,10,0)</f>
        <v>91.816000000000003</v>
      </c>
      <c r="G195" s="321" t="s">
        <v>4707</v>
      </c>
    </row>
    <row r="196" spans="1:7" ht="30" x14ac:dyDescent="0.25">
      <c r="A196" s="321" t="s">
        <v>4717</v>
      </c>
      <c r="B196" s="322" t="s">
        <v>4944</v>
      </c>
      <c r="C196" s="321" t="str">
        <f t="shared" si="10"/>
        <v>COTAÇÃOCOT-032</v>
      </c>
      <c r="D196" s="325" t="s">
        <v>5030</v>
      </c>
      <c r="E196" s="321" t="s">
        <v>58</v>
      </c>
      <c r="F196" s="324">
        <f>VLOOKUP(B196,COTAÇÕES!A:J,10,0)</f>
        <v>142.714</v>
      </c>
      <c r="G196" s="321" t="s">
        <v>4707</v>
      </c>
    </row>
    <row r="197" spans="1:7" ht="30" x14ac:dyDescent="0.25">
      <c r="A197" s="321" t="s">
        <v>4717</v>
      </c>
      <c r="B197" s="322" t="s">
        <v>4945</v>
      </c>
      <c r="C197" s="321" t="str">
        <f t="shared" si="10"/>
        <v>COTAÇÃOCOT-033</v>
      </c>
      <c r="D197" s="325" t="s">
        <v>5031</v>
      </c>
      <c r="E197" s="321" t="s">
        <v>58</v>
      </c>
      <c r="F197" s="324">
        <f>VLOOKUP(B197,COTAÇÕES!A:J,10,0)</f>
        <v>144.71</v>
      </c>
      <c r="G197" s="321" t="s">
        <v>4707</v>
      </c>
    </row>
    <row r="198" spans="1:7" ht="30" x14ac:dyDescent="0.25">
      <c r="A198" s="321" t="s">
        <v>4717</v>
      </c>
      <c r="B198" s="322" t="s">
        <v>4946</v>
      </c>
      <c r="C198" s="321" t="str">
        <f t="shared" ref="C198:C214" si="11">A198&amp;B198</f>
        <v>COTAÇÃOCOT-034</v>
      </c>
      <c r="D198" s="325" t="s">
        <v>5032</v>
      </c>
      <c r="E198" s="321" t="s">
        <v>58</v>
      </c>
      <c r="F198" s="324">
        <f>VLOOKUP(B198,COTAÇÕES!A:J,10,0)</f>
        <v>81.835999999999999</v>
      </c>
      <c r="G198" s="321" t="s">
        <v>4707</v>
      </c>
    </row>
    <row r="199" spans="1:7" ht="30" x14ac:dyDescent="0.25">
      <c r="A199" s="321" t="s">
        <v>4717</v>
      </c>
      <c r="B199" s="322" t="s">
        <v>4947</v>
      </c>
      <c r="C199" s="321" t="str">
        <f t="shared" si="11"/>
        <v>COTAÇÃOCOT-035</v>
      </c>
      <c r="D199" s="325" t="s">
        <v>5033</v>
      </c>
      <c r="E199" s="321" t="s">
        <v>58</v>
      </c>
      <c r="F199" s="324">
        <f>VLOOKUP(B199,COTAÇÕES!A:J,10,0)</f>
        <v>80.837999999999994</v>
      </c>
      <c r="G199" s="321" t="s">
        <v>4707</v>
      </c>
    </row>
    <row r="200" spans="1:7" ht="30" x14ac:dyDescent="0.25">
      <c r="A200" s="321" t="s">
        <v>4717</v>
      </c>
      <c r="B200" s="322" t="s">
        <v>4948</v>
      </c>
      <c r="C200" s="321" t="str">
        <f t="shared" si="11"/>
        <v>COTAÇÃOCOT-036</v>
      </c>
      <c r="D200" s="325" t="s">
        <v>5034</v>
      </c>
      <c r="E200" s="321" t="s">
        <v>58</v>
      </c>
      <c r="F200" s="324">
        <f>VLOOKUP(B200,COTAÇÕES!A:J,10,0)</f>
        <v>82.834000000000003</v>
      </c>
      <c r="G200" s="321" t="s">
        <v>4707</v>
      </c>
    </row>
    <row r="201" spans="1:7" ht="30" x14ac:dyDescent="0.25">
      <c r="A201" s="321" t="s">
        <v>4717</v>
      </c>
      <c r="B201" s="322" t="s">
        <v>4949</v>
      </c>
      <c r="C201" s="321" t="str">
        <f t="shared" si="11"/>
        <v>COTAÇÃOCOT-037</v>
      </c>
      <c r="D201" s="325" t="s">
        <v>5027</v>
      </c>
      <c r="E201" s="321" t="s">
        <v>58</v>
      </c>
      <c r="F201" s="324">
        <f>VLOOKUP(B201,COTAÇÕES!A:J,10,0)</f>
        <v>20.957999999999998</v>
      </c>
      <c r="G201" s="321" t="s">
        <v>4707</v>
      </c>
    </row>
    <row r="202" spans="1:7" ht="30" x14ac:dyDescent="0.25">
      <c r="A202" s="321" t="s">
        <v>4717</v>
      </c>
      <c r="B202" s="322" t="s">
        <v>4950</v>
      </c>
      <c r="C202" s="321" t="str">
        <f t="shared" si="11"/>
        <v>COTAÇÃOCOT-038</v>
      </c>
      <c r="D202" s="325" t="s">
        <v>5026</v>
      </c>
      <c r="E202" s="321" t="s">
        <v>58</v>
      </c>
      <c r="F202" s="324">
        <f>VLOOKUP(B202,COTAÇÕES!A:J,10,0)</f>
        <v>59.88</v>
      </c>
      <c r="G202" s="321" t="s">
        <v>4707</v>
      </c>
    </row>
    <row r="203" spans="1:7" x14ac:dyDescent="0.25">
      <c r="A203" s="321" t="s">
        <v>4717</v>
      </c>
      <c r="B203" s="322" t="s">
        <v>4951</v>
      </c>
      <c r="C203" s="321" t="str">
        <f t="shared" si="11"/>
        <v>COTAÇÃOCOT-039</v>
      </c>
      <c r="D203" s="325" t="s">
        <v>5035</v>
      </c>
      <c r="E203" s="321" t="s">
        <v>58</v>
      </c>
      <c r="F203" s="324">
        <f>VLOOKUP(B203,COTAÇÕES!A:J,10,0)</f>
        <v>164.67</v>
      </c>
      <c r="G203" s="321" t="s">
        <v>4707</v>
      </c>
    </row>
    <row r="204" spans="1:7" ht="30" x14ac:dyDescent="0.25">
      <c r="A204" s="321" t="s">
        <v>4717</v>
      </c>
      <c r="B204" s="322" t="s">
        <v>4952</v>
      </c>
      <c r="C204" s="321" t="str">
        <f t="shared" si="11"/>
        <v>COTAÇÃOCOT-040</v>
      </c>
      <c r="D204" s="325" t="s">
        <v>5036</v>
      </c>
      <c r="E204" s="321" t="s">
        <v>58</v>
      </c>
      <c r="F204" s="324">
        <f>VLOOKUP(B204,COTAÇÕES!A:J,10,0)</f>
        <v>123.752</v>
      </c>
      <c r="G204" s="321" t="s">
        <v>4707</v>
      </c>
    </row>
    <row r="205" spans="1:7" ht="30" x14ac:dyDescent="0.25">
      <c r="A205" s="321" t="s">
        <v>4717</v>
      </c>
      <c r="B205" s="322" t="s">
        <v>4953</v>
      </c>
      <c r="C205" s="321" t="str">
        <f t="shared" si="11"/>
        <v>COTAÇÃOCOT-041</v>
      </c>
      <c r="D205" s="325" t="s">
        <v>5037</v>
      </c>
      <c r="E205" s="321" t="s">
        <v>58</v>
      </c>
      <c r="F205" s="324">
        <f>VLOOKUP(B205,COTAÇÕES!A:J,10,0)</f>
        <v>54.89</v>
      </c>
      <c r="G205" s="321" t="s">
        <v>4707</v>
      </c>
    </row>
    <row r="206" spans="1:7" ht="30" x14ac:dyDescent="0.25">
      <c r="A206" s="321" t="s">
        <v>4717</v>
      </c>
      <c r="B206" s="322" t="s">
        <v>4954</v>
      </c>
      <c r="C206" s="321" t="str">
        <f t="shared" si="11"/>
        <v>COTAÇÃOCOT-042</v>
      </c>
      <c r="D206" s="325" t="s">
        <v>5038</v>
      </c>
      <c r="E206" s="321" t="s">
        <v>81</v>
      </c>
      <c r="F206" s="324">
        <f>VLOOKUP(B206,COTAÇÕES!A:J,10,0)</f>
        <v>20.957999999999998</v>
      </c>
      <c r="G206" s="321" t="s">
        <v>4707</v>
      </c>
    </row>
    <row r="207" spans="1:7" ht="30" x14ac:dyDescent="0.25">
      <c r="A207" s="321" t="s">
        <v>4717</v>
      </c>
      <c r="B207" s="322" t="s">
        <v>4955</v>
      </c>
      <c r="C207" s="321" t="str">
        <f t="shared" si="11"/>
        <v>COTAÇÃOCOT-043</v>
      </c>
      <c r="D207" s="325" t="s">
        <v>5039</v>
      </c>
      <c r="E207" s="321" t="s">
        <v>81</v>
      </c>
      <c r="F207" s="324">
        <f>VLOOKUP(B207,COTAÇÕES!A:J,10,0)</f>
        <v>41.915999999999997</v>
      </c>
      <c r="G207" s="321" t="s">
        <v>4707</v>
      </c>
    </row>
    <row r="208" spans="1:7" ht="30" x14ac:dyDescent="0.25">
      <c r="A208" s="321" t="s">
        <v>4717</v>
      </c>
      <c r="B208" s="322" t="s">
        <v>4956</v>
      </c>
      <c r="C208" s="321" t="str">
        <f t="shared" si="11"/>
        <v>COTAÇÃOCOT-044</v>
      </c>
      <c r="D208" s="325" t="s">
        <v>5040</v>
      </c>
      <c r="E208" s="321" t="s">
        <v>81</v>
      </c>
      <c r="F208" s="324">
        <f>VLOOKUP(B208,COTAÇÕES!A:J,10,0)</f>
        <v>41.915999999999997</v>
      </c>
      <c r="G208" s="321" t="s">
        <v>4707</v>
      </c>
    </row>
    <row r="209" spans="1:7" ht="30" x14ac:dyDescent="0.25">
      <c r="A209" s="321" t="s">
        <v>4717</v>
      </c>
      <c r="B209" s="322" t="s">
        <v>4957</v>
      </c>
      <c r="C209" s="321" t="str">
        <f t="shared" si="11"/>
        <v>COTAÇÃOCOT-045</v>
      </c>
      <c r="D209" s="325" t="s">
        <v>5046</v>
      </c>
      <c r="E209" s="321" t="s">
        <v>58</v>
      </c>
      <c r="F209" s="324">
        <f>VLOOKUP(B209,COTAÇÕES!A:J,10,0)</f>
        <v>184.63</v>
      </c>
      <c r="G209" s="321" t="s">
        <v>4707</v>
      </c>
    </row>
    <row r="210" spans="1:7" ht="30" x14ac:dyDescent="0.25">
      <c r="A210" s="321" t="s">
        <v>4717</v>
      </c>
      <c r="B210" s="322" t="s">
        <v>4958</v>
      </c>
      <c r="C210" s="321" t="str">
        <f t="shared" si="11"/>
        <v>COTAÇÃOCOT-046</v>
      </c>
      <c r="D210" s="325" t="s">
        <v>5047</v>
      </c>
      <c r="E210" s="321" t="s">
        <v>58</v>
      </c>
      <c r="F210" s="324">
        <f>VLOOKUP(B210,COTAÇÕES!A:J,10,0)</f>
        <v>15.968</v>
      </c>
      <c r="G210" s="321" t="s">
        <v>4707</v>
      </c>
    </row>
    <row r="211" spans="1:7" ht="30" x14ac:dyDescent="0.25">
      <c r="A211" s="321" t="s">
        <v>4717</v>
      </c>
      <c r="B211" s="322" t="s">
        <v>4959</v>
      </c>
      <c r="C211" s="321" t="str">
        <f t="shared" si="11"/>
        <v>COTAÇÃOCOT-047</v>
      </c>
      <c r="D211" s="325" t="s">
        <v>5048</v>
      </c>
      <c r="E211" s="321" t="s">
        <v>58</v>
      </c>
      <c r="F211" s="324">
        <f>VLOOKUP(B211,COTAÇÕES!A:J,10,0)</f>
        <v>32.933999999999997</v>
      </c>
      <c r="G211" s="321" t="s">
        <v>4707</v>
      </c>
    </row>
    <row r="212" spans="1:7" ht="30" x14ac:dyDescent="0.25">
      <c r="A212" s="321" t="s">
        <v>4717</v>
      </c>
      <c r="B212" s="322" t="s">
        <v>4960</v>
      </c>
      <c r="C212" s="321" t="str">
        <f t="shared" si="11"/>
        <v>COTAÇÃOCOT-048</v>
      </c>
      <c r="D212" s="325" t="s">
        <v>5049</v>
      </c>
      <c r="E212" s="321" t="s">
        <v>58</v>
      </c>
      <c r="F212" s="324">
        <f>VLOOKUP(B212,COTAÇÕES!A:J,10,0)</f>
        <v>31.936</v>
      </c>
      <c r="G212" s="321" t="s">
        <v>4707</v>
      </c>
    </row>
    <row r="213" spans="1:7" ht="30" x14ac:dyDescent="0.25">
      <c r="A213" s="321" t="s">
        <v>4717</v>
      </c>
      <c r="B213" s="322" t="s">
        <v>4961</v>
      </c>
      <c r="C213" s="321" t="str">
        <f t="shared" si="11"/>
        <v>COTAÇÃOCOT-049</v>
      </c>
      <c r="D213" s="325" t="s">
        <v>5050</v>
      </c>
      <c r="E213" s="321" t="s">
        <v>58</v>
      </c>
      <c r="F213" s="324">
        <f>VLOOKUP(B213,COTAÇÕES!A:J,10,0)</f>
        <v>123.752</v>
      </c>
      <c r="G213" s="321" t="s">
        <v>4707</v>
      </c>
    </row>
    <row r="214" spans="1:7" ht="30" x14ac:dyDescent="0.25">
      <c r="A214" s="321" t="s">
        <v>4717</v>
      </c>
      <c r="B214" s="322" t="s">
        <v>4962</v>
      </c>
      <c r="C214" s="321" t="str">
        <f t="shared" si="11"/>
        <v>COTAÇÃOCOT-050</v>
      </c>
      <c r="D214" s="325" t="s">
        <v>5051</v>
      </c>
      <c r="E214" s="321" t="s">
        <v>58</v>
      </c>
      <c r="F214" s="324">
        <f>VLOOKUP(B214,COTAÇÕES!A:J,10,0)</f>
        <v>32.933999999999997</v>
      </c>
      <c r="G214" s="321" t="s">
        <v>4707</v>
      </c>
    </row>
    <row r="215" spans="1:7" ht="30" x14ac:dyDescent="0.25">
      <c r="A215" s="321" t="s">
        <v>4717</v>
      </c>
      <c r="B215" s="322" t="s">
        <v>4963</v>
      </c>
      <c r="C215" s="321" t="str">
        <f t="shared" ref="C215" si="12">A215&amp;B215</f>
        <v>COTAÇÃOCOT-051</v>
      </c>
      <c r="D215" s="325" t="s">
        <v>5052</v>
      </c>
      <c r="E215" s="321" t="s">
        <v>58</v>
      </c>
      <c r="F215" s="324">
        <f>VLOOKUP(B215,COTAÇÕES!A:J,10,0)</f>
        <v>44.91</v>
      </c>
      <c r="G215" s="321" t="s">
        <v>4707</v>
      </c>
    </row>
    <row r="216" spans="1:7" ht="30" x14ac:dyDescent="0.25">
      <c r="A216" s="321" t="s">
        <v>4717</v>
      </c>
      <c r="B216" s="322" t="s">
        <v>4964</v>
      </c>
      <c r="C216" s="321" t="str">
        <f t="shared" ref="C216:C234" si="13">A216&amp;B216</f>
        <v>COTAÇÃOCOT-052</v>
      </c>
      <c r="D216" s="325" t="s">
        <v>5053</v>
      </c>
      <c r="E216" s="321" t="s">
        <v>58</v>
      </c>
      <c r="F216" s="324">
        <f>VLOOKUP(B216,COTAÇÕES!A:J,10,0)</f>
        <v>40.917999999999999</v>
      </c>
      <c r="G216" s="321" t="s">
        <v>4707</v>
      </c>
    </row>
    <row r="217" spans="1:7" ht="30" x14ac:dyDescent="0.25">
      <c r="A217" s="321" t="s">
        <v>4717</v>
      </c>
      <c r="B217" s="322" t="s">
        <v>4965</v>
      </c>
      <c r="C217" s="321" t="str">
        <f t="shared" si="13"/>
        <v>COTAÇÃOCOT-053</v>
      </c>
      <c r="D217" s="325" t="s">
        <v>5054</v>
      </c>
      <c r="E217" s="321" t="s">
        <v>58</v>
      </c>
      <c r="F217" s="324">
        <f>VLOOKUP(B217,COTAÇÕES!A:J,10,0)</f>
        <v>40.917999999999999</v>
      </c>
      <c r="G217" s="321" t="s">
        <v>4707</v>
      </c>
    </row>
    <row r="218" spans="1:7" ht="30" x14ac:dyDescent="0.25">
      <c r="A218" s="321" t="s">
        <v>4717</v>
      </c>
      <c r="B218" s="322" t="s">
        <v>4966</v>
      </c>
      <c r="C218" s="321" t="str">
        <f t="shared" si="13"/>
        <v>COTAÇÃOCOT-054</v>
      </c>
      <c r="D218" s="325" t="s">
        <v>5055</v>
      </c>
      <c r="E218" s="321" t="s">
        <v>58</v>
      </c>
      <c r="F218" s="324">
        <f>VLOOKUP(B218,COTAÇÕES!A:J,10,0)</f>
        <v>15.968</v>
      </c>
      <c r="G218" s="321" t="s">
        <v>4707</v>
      </c>
    </row>
    <row r="219" spans="1:7" ht="30" x14ac:dyDescent="0.25">
      <c r="A219" s="321" t="s">
        <v>4717</v>
      </c>
      <c r="B219" s="322" t="s">
        <v>4967</v>
      </c>
      <c r="C219" s="321" t="str">
        <f t="shared" si="13"/>
        <v>COTAÇÃOCOT-055</v>
      </c>
      <c r="D219" s="325" t="s">
        <v>5056</v>
      </c>
      <c r="E219" s="321" t="s">
        <v>58</v>
      </c>
      <c r="F219" s="324">
        <f>VLOOKUP(B219,COTAÇÕES!A:J,10,0)</f>
        <v>22.954000000000001</v>
      </c>
      <c r="G219" s="321" t="s">
        <v>4707</v>
      </c>
    </row>
    <row r="220" spans="1:7" ht="90" x14ac:dyDescent="0.25">
      <c r="A220" s="321" t="s">
        <v>4717</v>
      </c>
      <c r="B220" s="322" t="s">
        <v>4968</v>
      </c>
      <c r="C220" s="321" t="str">
        <f t="shared" si="13"/>
        <v>COTAÇÃOCOT-056</v>
      </c>
      <c r="D220" s="325" t="s">
        <v>5064</v>
      </c>
      <c r="E220" s="321" t="s">
        <v>58</v>
      </c>
      <c r="F220" s="324">
        <f>VLOOKUP(B220,COTAÇÕES!A:J,10,0)</f>
        <v>19435.052</v>
      </c>
      <c r="G220" s="321" t="s">
        <v>4707</v>
      </c>
    </row>
    <row r="221" spans="1:7" ht="105" x14ac:dyDescent="0.25">
      <c r="A221" s="321" t="s">
        <v>4717</v>
      </c>
      <c r="B221" s="322" t="s">
        <v>4969</v>
      </c>
      <c r="C221" s="321" t="str">
        <f t="shared" si="13"/>
        <v>COTAÇÃOCOT-057</v>
      </c>
      <c r="D221" s="325" t="s">
        <v>5468</v>
      </c>
      <c r="E221" s="321" t="s">
        <v>58</v>
      </c>
      <c r="F221" s="324">
        <f>VLOOKUP(B221,COTAÇÕES!A:J,10,0)</f>
        <v>6621.7998600000001</v>
      </c>
      <c r="G221" s="321" t="s">
        <v>4707</v>
      </c>
    </row>
    <row r="222" spans="1:7" ht="30" x14ac:dyDescent="0.25">
      <c r="A222" s="321" t="s">
        <v>4717</v>
      </c>
      <c r="B222" s="322" t="s">
        <v>4970</v>
      </c>
      <c r="C222" s="321" t="str">
        <f t="shared" si="13"/>
        <v>COTAÇÃOCOT-058</v>
      </c>
      <c r="D222" s="325" t="s">
        <v>5266</v>
      </c>
      <c r="E222" s="321" t="s">
        <v>58</v>
      </c>
      <c r="F222" s="324">
        <f>VLOOKUP(B222,COTAÇÕES!A:J,10,0)</f>
        <v>6857.1581999999999</v>
      </c>
      <c r="G222" s="321" t="s">
        <v>4707</v>
      </c>
    </row>
    <row r="223" spans="1:7" ht="30" x14ac:dyDescent="0.25">
      <c r="A223" s="321" t="s">
        <v>4717</v>
      </c>
      <c r="B223" s="322" t="s">
        <v>4971</v>
      </c>
      <c r="C223" s="321" t="str">
        <f t="shared" si="13"/>
        <v>COTAÇÃOCOT-059</v>
      </c>
      <c r="D223" s="325" t="s">
        <v>5267</v>
      </c>
      <c r="E223" s="321" t="s">
        <v>58</v>
      </c>
      <c r="F223" s="324">
        <f>VLOOKUP(B223,COTAÇÕES!A:J,10,0)</f>
        <v>199.50020000000001</v>
      </c>
      <c r="G223" s="321" t="s">
        <v>4707</v>
      </c>
    </row>
    <row r="224" spans="1:7" ht="30" x14ac:dyDescent="0.25">
      <c r="A224" s="321" t="s">
        <v>4717</v>
      </c>
      <c r="B224" s="322" t="s">
        <v>4972</v>
      </c>
      <c r="C224" s="321" t="str">
        <f t="shared" si="13"/>
        <v>COTAÇÃOCOT-060</v>
      </c>
      <c r="D224" s="325" t="s">
        <v>5299</v>
      </c>
      <c r="E224" s="321" t="s">
        <v>58</v>
      </c>
      <c r="F224" s="324">
        <f>VLOOKUP(B224,COTAÇÕES!A:J,10,0)</f>
        <v>199.50020000000001</v>
      </c>
      <c r="G224" s="321" t="s">
        <v>4707</v>
      </c>
    </row>
    <row r="225" spans="1:7" ht="30" x14ac:dyDescent="0.25">
      <c r="A225" s="321" t="s">
        <v>4717</v>
      </c>
      <c r="B225" s="322" t="s">
        <v>4973</v>
      </c>
      <c r="C225" s="321" t="str">
        <f t="shared" si="13"/>
        <v>COTAÇÃOCOT-061</v>
      </c>
      <c r="D225" s="325" t="s">
        <v>5301</v>
      </c>
      <c r="E225" s="321" t="s">
        <v>58</v>
      </c>
      <c r="F225" s="324">
        <f>VLOOKUP(B225,COTAÇÕES!A:J,10,0)</f>
        <v>154.59020000000001</v>
      </c>
      <c r="G225" s="321" t="s">
        <v>4707</v>
      </c>
    </row>
    <row r="226" spans="1:7" ht="45" x14ac:dyDescent="0.25">
      <c r="A226" s="321" t="s">
        <v>4717</v>
      </c>
      <c r="B226" s="322" t="s">
        <v>4974</v>
      </c>
      <c r="C226" s="321" t="str">
        <f t="shared" si="13"/>
        <v>COTAÇÃOCOT-062</v>
      </c>
      <c r="D226" s="325" t="s">
        <v>5302</v>
      </c>
      <c r="E226" s="321" t="s">
        <v>58</v>
      </c>
      <c r="F226" s="324">
        <f>VLOOKUP(B226,COTAÇÕES!A:J,10,0)</f>
        <v>4668.0452000000005</v>
      </c>
      <c r="G226" s="321" t="s">
        <v>4707</v>
      </c>
    </row>
    <row r="227" spans="1:7" ht="45" x14ac:dyDescent="0.25">
      <c r="A227" s="321" t="s">
        <v>4717</v>
      </c>
      <c r="B227" s="322" t="s">
        <v>4975</v>
      </c>
      <c r="C227" s="321" t="str">
        <f t="shared" si="13"/>
        <v>COTAÇÃOCOT-063</v>
      </c>
      <c r="D227" s="325" t="s">
        <v>5334</v>
      </c>
      <c r="E227" s="321" t="s">
        <v>110</v>
      </c>
      <c r="F227" s="324">
        <f>VLOOKUP(B227,COTAÇÕES!A:J,10,0)</f>
        <v>243.3623</v>
      </c>
      <c r="G227" s="321" t="s">
        <v>4707</v>
      </c>
    </row>
    <row r="228" spans="1:7" ht="45" x14ac:dyDescent="0.25">
      <c r="A228" s="321" t="s">
        <v>4717</v>
      </c>
      <c r="B228" s="322" t="s">
        <v>4976</v>
      </c>
      <c r="C228" s="321" t="str">
        <f t="shared" si="13"/>
        <v>COTAÇÃOCOT-064</v>
      </c>
      <c r="D228" s="325" t="s">
        <v>5335</v>
      </c>
      <c r="E228" s="321" t="s">
        <v>110</v>
      </c>
      <c r="F228" s="324">
        <f>VLOOKUP(B228,COTAÇÕES!A:J,10,0)</f>
        <v>243.3623</v>
      </c>
      <c r="G228" s="321" t="s">
        <v>4707</v>
      </c>
    </row>
    <row r="229" spans="1:7" ht="30" x14ac:dyDescent="0.25">
      <c r="A229" s="321" t="s">
        <v>4717</v>
      </c>
      <c r="B229" s="322" t="s">
        <v>4977</v>
      </c>
      <c r="C229" s="321" t="str">
        <f t="shared" si="13"/>
        <v>COTAÇÃOCOT-065</v>
      </c>
      <c r="D229" s="325" t="s">
        <v>5336</v>
      </c>
      <c r="E229" s="321" t="s">
        <v>110</v>
      </c>
      <c r="F229" s="324">
        <f>VLOOKUP(B229,COTAÇÕES!A:J,10,0)</f>
        <v>642.68295218295214</v>
      </c>
      <c r="G229" s="321" t="s">
        <v>4707</v>
      </c>
    </row>
    <row r="230" spans="1:7" ht="45" x14ac:dyDescent="0.25">
      <c r="A230" s="321" t="s">
        <v>4717</v>
      </c>
      <c r="B230" s="322" t="s">
        <v>4978</v>
      </c>
      <c r="C230" s="321" t="str">
        <f t="shared" si="13"/>
        <v>COTAÇÃOCOT-066</v>
      </c>
      <c r="D230" s="95" t="s">
        <v>5337</v>
      </c>
      <c r="E230" s="321" t="s">
        <v>81</v>
      </c>
      <c r="F230" s="324">
        <f>VLOOKUP(B230,COTAÇÕES!A:J,10,0)</f>
        <v>146.6318475268817</v>
      </c>
      <c r="G230" s="321" t="s">
        <v>4707</v>
      </c>
    </row>
    <row r="231" spans="1:7" ht="30" x14ac:dyDescent="0.25">
      <c r="A231" s="321" t="s">
        <v>4717</v>
      </c>
      <c r="B231" s="322" t="s">
        <v>4979</v>
      </c>
      <c r="C231" s="321" t="str">
        <f t="shared" si="13"/>
        <v>COTAÇÃOCOT-067</v>
      </c>
      <c r="D231" s="325" t="s">
        <v>5349</v>
      </c>
      <c r="E231" s="321" t="s">
        <v>81</v>
      </c>
      <c r="F231" s="324">
        <f>VLOOKUP(B231,COTAÇÕES!A:J,10,0)</f>
        <v>313.75124</v>
      </c>
      <c r="G231" s="321" t="s">
        <v>4707</v>
      </c>
    </row>
    <row r="232" spans="1:7" ht="30" x14ac:dyDescent="0.25">
      <c r="A232" s="321" t="s">
        <v>4717</v>
      </c>
      <c r="B232" s="322" t="s">
        <v>4980</v>
      </c>
      <c r="C232" s="321" t="str">
        <f t="shared" si="13"/>
        <v>COTAÇÃOCOT-068</v>
      </c>
      <c r="D232" s="325" t="s">
        <v>5351</v>
      </c>
      <c r="E232" s="321" t="s">
        <v>81</v>
      </c>
      <c r="F232" s="324">
        <f>VLOOKUP(B232,COTAÇÕES!A:J,10,0)</f>
        <v>196.15690000000001</v>
      </c>
      <c r="G232" s="321" t="s">
        <v>4707</v>
      </c>
    </row>
    <row r="233" spans="1:7" ht="60" x14ac:dyDescent="0.25">
      <c r="A233" s="321" t="s">
        <v>4717</v>
      </c>
      <c r="B233" s="322" t="s">
        <v>4981</v>
      </c>
      <c r="C233" s="321" t="str">
        <f t="shared" si="13"/>
        <v>COTAÇÃOCOT-069</v>
      </c>
      <c r="D233" s="325" t="s">
        <v>5367</v>
      </c>
      <c r="E233" s="321" t="s">
        <v>58</v>
      </c>
      <c r="F233" s="324">
        <f>VLOOKUP(B233,COTAÇÕES!A:J,10,0)</f>
        <v>653.69000000000005</v>
      </c>
      <c r="G233" s="321" t="s">
        <v>4707</v>
      </c>
    </row>
    <row r="234" spans="1:7" ht="60" x14ac:dyDescent="0.25">
      <c r="A234" s="321" t="s">
        <v>4717</v>
      </c>
      <c r="B234" s="322" t="s">
        <v>4982</v>
      </c>
      <c r="C234" s="321" t="str">
        <f t="shared" si="13"/>
        <v>COTAÇÃOCOT-070</v>
      </c>
      <c r="D234" s="325" t="s">
        <v>5362</v>
      </c>
      <c r="E234" s="321" t="s">
        <v>58</v>
      </c>
      <c r="F234" s="324">
        <f>VLOOKUP(B234,COTAÇÕES!A:J,10,0)</f>
        <v>594.80799999999999</v>
      </c>
      <c r="G234" s="321" t="s">
        <v>4707</v>
      </c>
    </row>
    <row r="235" spans="1:7" ht="75" x14ac:dyDescent="0.25">
      <c r="A235" s="321" t="s">
        <v>4717</v>
      </c>
      <c r="B235" s="322" t="s">
        <v>4983</v>
      </c>
      <c r="C235" s="321" t="str">
        <f t="shared" ref="C235:C254" si="14">A235&amp;B235</f>
        <v>COTAÇÃOCOT-071</v>
      </c>
      <c r="D235" s="325" t="s">
        <v>5363</v>
      </c>
      <c r="E235" s="321" t="s">
        <v>58</v>
      </c>
      <c r="F235" s="324">
        <f>VLOOKUP(B235,COTAÇÕES!A:J,10,0)</f>
        <v>338.92080000000004</v>
      </c>
      <c r="G235" s="321" t="s">
        <v>4707</v>
      </c>
    </row>
    <row r="236" spans="1:7" ht="60" x14ac:dyDescent="0.25">
      <c r="A236" s="321" t="s">
        <v>4717</v>
      </c>
      <c r="B236" s="322" t="s">
        <v>4984</v>
      </c>
      <c r="C236" s="321" t="str">
        <f t="shared" si="14"/>
        <v>COTAÇÃOCOT-072</v>
      </c>
      <c r="D236" s="325" t="s">
        <v>5364</v>
      </c>
      <c r="E236" s="321" t="s">
        <v>58</v>
      </c>
      <c r="F236" s="324">
        <f>VLOOKUP(B236,COTAÇÕES!A:J,10,0)</f>
        <v>316.31734750000004</v>
      </c>
      <c r="G236" s="321" t="s">
        <v>4707</v>
      </c>
    </row>
    <row r="237" spans="1:7" ht="75" x14ac:dyDescent="0.25">
      <c r="A237" s="321" t="s">
        <v>4717</v>
      </c>
      <c r="B237" s="322" t="s">
        <v>4985</v>
      </c>
      <c r="C237" s="321" t="str">
        <f t="shared" si="14"/>
        <v>COTAÇÃOCOT-073</v>
      </c>
      <c r="D237" s="325" t="s">
        <v>5365</v>
      </c>
      <c r="E237" s="321" t="s">
        <v>58</v>
      </c>
      <c r="F237" s="324">
        <f>VLOOKUP(B237,COTAÇÕES!A:J,10,0)</f>
        <v>646.10519999999997</v>
      </c>
      <c r="G237" s="321" t="s">
        <v>4707</v>
      </c>
    </row>
    <row r="238" spans="1:7" ht="60" x14ac:dyDescent="0.25">
      <c r="A238" s="321" t="s">
        <v>4717</v>
      </c>
      <c r="B238" s="322" t="s">
        <v>4986</v>
      </c>
      <c r="C238" s="321" t="str">
        <f t="shared" si="14"/>
        <v>COTAÇÃOCOT-074</v>
      </c>
      <c r="D238" s="325" t="s">
        <v>5366</v>
      </c>
      <c r="E238" s="321" t="s">
        <v>58</v>
      </c>
      <c r="F238" s="324">
        <f>VLOOKUP(B238,COTAÇÕES!A:J,10,0)</f>
        <v>442.65291999999999</v>
      </c>
      <c r="G238" s="321" t="s">
        <v>4707</v>
      </c>
    </row>
    <row r="239" spans="1:7" ht="30" x14ac:dyDescent="0.25">
      <c r="A239" s="321" t="s">
        <v>4717</v>
      </c>
      <c r="B239" s="322" t="s">
        <v>4987</v>
      </c>
      <c r="C239" s="321" t="str">
        <f t="shared" si="14"/>
        <v>COTAÇÃOCOT-075</v>
      </c>
      <c r="D239" s="325" t="s">
        <v>5370</v>
      </c>
      <c r="E239" s="321" t="s">
        <v>58</v>
      </c>
      <c r="F239" s="324">
        <f>VLOOKUP(B239,COTAÇÕES!A:J,10,0)</f>
        <v>359.28</v>
      </c>
      <c r="G239" s="321" t="s">
        <v>4707</v>
      </c>
    </row>
    <row r="240" spans="1:7" ht="30" x14ac:dyDescent="0.25">
      <c r="A240" s="321" t="s">
        <v>4717</v>
      </c>
      <c r="B240" s="322" t="s">
        <v>4988</v>
      </c>
      <c r="C240" s="321" t="str">
        <f t="shared" si="14"/>
        <v>COTAÇÃOCOT-076</v>
      </c>
      <c r="D240" s="325" t="s">
        <v>5371</v>
      </c>
      <c r="E240" s="321" t="s">
        <v>110</v>
      </c>
      <c r="F240" s="324">
        <f>VLOOKUP(B240,COTAÇÕES!A:J,10,0)</f>
        <v>15.968</v>
      </c>
      <c r="G240" s="321" t="s">
        <v>4707</v>
      </c>
    </row>
    <row r="241" spans="1:7" ht="30" x14ac:dyDescent="0.25">
      <c r="A241" s="321" t="s">
        <v>4717</v>
      </c>
      <c r="B241" s="322" t="s">
        <v>4989</v>
      </c>
      <c r="C241" s="321" t="str">
        <f t="shared" si="14"/>
        <v>COTAÇÃOCOT-077</v>
      </c>
      <c r="D241" s="325" t="s">
        <v>5376</v>
      </c>
      <c r="E241" s="321" t="s">
        <v>58</v>
      </c>
      <c r="F241" s="324">
        <f>VLOOKUP(B241,COTAÇÕES!A:J,10,0)</f>
        <v>2104.0035599999997</v>
      </c>
      <c r="G241" s="321" t="s">
        <v>4707</v>
      </c>
    </row>
    <row r="242" spans="1:7" ht="45" x14ac:dyDescent="0.25">
      <c r="A242" s="321" t="s">
        <v>4717</v>
      </c>
      <c r="B242" s="322" t="s">
        <v>4990</v>
      </c>
      <c r="C242" s="321" t="str">
        <f t="shared" si="14"/>
        <v>COTAÇÃOCOT-078</v>
      </c>
      <c r="D242" s="325" t="s">
        <v>5391</v>
      </c>
      <c r="E242" s="321" t="s">
        <v>58</v>
      </c>
      <c r="F242" s="324">
        <f>VLOOKUP(B242,COTAÇÕES!A:J,10,0)</f>
        <v>4282.2283800000005</v>
      </c>
      <c r="G242" s="321" t="s">
        <v>4707</v>
      </c>
    </row>
    <row r="243" spans="1:7" ht="45" x14ac:dyDescent="0.25">
      <c r="A243" s="321" t="s">
        <v>4717</v>
      </c>
      <c r="B243" s="322" t="s">
        <v>4991</v>
      </c>
      <c r="C243" s="321" t="str">
        <f t="shared" si="14"/>
        <v>COTAÇÃOCOT-079</v>
      </c>
      <c r="D243" s="325" t="s">
        <v>5392</v>
      </c>
      <c r="E243" s="321" t="s">
        <v>58</v>
      </c>
      <c r="F243" s="324">
        <f>VLOOKUP(B243,COTAÇÕES!A:J,10,0)</f>
        <v>4282.2283800000005</v>
      </c>
      <c r="G243" s="321" t="s">
        <v>4707</v>
      </c>
    </row>
    <row r="244" spans="1:7" ht="45" x14ac:dyDescent="0.25">
      <c r="A244" s="321" t="s">
        <v>4717</v>
      </c>
      <c r="B244" s="322" t="s">
        <v>4992</v>
      </c>
      <c r="C244" s="321" t="str">
        <f t="shared" si="14"/>
        <v>COTAÇÃOCOT-080</v>
      </c>
      <c r="D244" s="325" t="s">
        <v>5393</v>
      </c>
      <c r="E244" s="321" t="s">
        <v>58</v>
      </c>
      <c r="F244" s="324">
        <f>VLOOKUP(B244,COTAÇÕES!A:J,10,0)</f>
        <v>2854.8189200000002</v>
      </c>
      <c r="G244" s="321" t="s">
        <v>4707</v>
      </c>
    </row>
    <row r="245" spans="1:7" ht="45" x14ac:dyDescent="0.25">
      <c r="A245" s="321" t="s">
        <v>4717</v>
      </c>
      <c r="B245" s="322" t="s">
        <v>4993</v>
      </c>
      <c r="C245" s="321" t="str">
        <f t="shared" si="14"/>
        <v>COTAÇÃOCOT-081</v>
      </c>
      <c r="D245" s="325" t="s">
        <v>5402</v>
      </c>
      <c r="E245" s="321" t="s">
        <v>58</v>
      </c>
      <c r="F245" s="324">
        <f>VLOOKUP(B245,COTAÇÕES!A:J,10,0)</f>
        <v>2854.8189200000002</v>
      </c>
      <c r="G245" s="321" t="s">
        <v>4707</v>
      </c>
    </row>
    <row r="246" spans="1:7" ht="45" x14ac:dyDescent="0.25">
      <c r="A246" s="321" t="s">
        <v>4717</v>
      </c>
      <c r="B246" s="322" t="s">
        <v>4994</v>
      </c>
      <c r="C246" s="321" t="str">
        <f t="shared" si="14"/>
        <v>COTAÇÃOCOT-082</v>
      </c>
      <c r="D246" s="325" t="s">
        <v>5394</v>
      </c>
      <c r="E246" s="321" t="s">
        <v>58</v>
      </c>
      <c r="F246" s="324">
        <f>VLOOKUP(B246,COTAÇÕES!A:J,10,0)</f>
        <v>2854.8189200000002</v>
      </c>
      <c r="G246" s="321" t="s">
        <v>4707</v>
      </c>
    </row>
    <row r="247" spans="1:7" ht="45" x14ac:dyDescent="0.25">
      <c r="A247" s="321" t="s">
        <v>4717</v>
      </c>
      <c r="B247" s="322" t="s">
        <v>4995</v>
      </c>
      <c r="C247" s="321" t="str">
        <f t="shared" si="14"/>
        <v>COTAÇÃOCOT-083</v>
      </c>
      <c r="D247" s="325" t="s">
        <v>5395</v>
      </c>
      <c r="E247" s="321" t="s">
        <v>58</v>
      </c>
      <c r="F247" s="324">
        <f>VLOOKUP(B247,COTAÇÕES!A:J,10,0)</f>
        <v>3409.9264800000001</v>
      </c>
      <c r="G247" s="321" t="s">
        <v>4707</v>
      </c>
    </row>
    <row r="248" spans="1:7" ht="45" x14ac:dyDescent="0.25">
      <c r="A248" s="321" t="s">
        <v>4717</v>
      </c>
      <c r="B248" s="322" t="s">
        <v>4996</v>
      </c>
      <c r="C248" s="321" t="str">
        <f t="shared" si="14"/>
        <v>COTAÇÃOCOT-084</v>
      </c>
      <c r="D248" s="325" t="s">
        <v>5396</v>
      </c>
      <c r="E248" s="321" t="s">
        <v>58</v>
      </c>
      <c r="F248" s="324">
        <f>VLOOKUP(B248,COTAÇÕES!A:J,10,0)</f>
        <v>2379.01244</v>
      </c>
      <c r="G248" s="321" t="s">
        <v>4707</v>
      </c>
    </row>
    <row r="249" spans="1:7" ht="60" x14ac:dyDescent="0.25">
      <c r="A249" s="321" t="s">
        <v>4717</v>
      </c>
      <c r="B249" s="322" t="s">
        <v>4997</v>
      </c>
      <c r="C249" s="321" t="str">
        <f t="shared" si="14"/>
        <v>COTAÇÃOCOT-085</v>
      </c>
      <c r="D249" s="325" t="s">
        <v>5453</v>
      </c>
      <c r="E249" s="321" t="s">
        <v>117</v>
      </c>
      <c r="F249" s="324">
        <f>VLOOKUP(B249,COTAÇÕES!A:J,10,0)</f>
        <v>789035.76599999995</v>
      </c>
      <c r="G249" s="321" t="s">
        <v>4707</v>
      </c>
    </row>
    <row r="250" spans="1:7" ht="60" x14ac:dyDescent="0.25">
      <c r="A250" s="321" t="s">
        <v>4717</v>
      </c>
      <c r="B250" s="322" t="s">
        <v>4998</v>
      </c>
      <c r="C250" s="321" t="str">
        <f t="shared" si="14"/>
        <v>COTAÇÃOCOT-086</v>
      </c>
      <c r="D250" s="325" t="s">
        <v>5452</v>
      </c>
      <c r="E250" s="321" t="s">
        <v>117</v>
      </c>
      <c r="F250" s="324">
        <f>VLOOKUP(B250,COTAÇÕES!A:J,10,0)</f>
        <v>489718.6</v>
      </c>
      <c r="G250" s="321" t="s">
        <v>4707</v>
      </c>
    </row>
    <row r="251" spans="1:7" ht="60" x14ac:dyDescent="0.25">
      <c r="A251" s="321" t="s">
        <v>4717</v>
      </c>
      <c r="B251" s="322" t="s">
        <v>4999</v>
      </c>
      <c r="C251" s="321" t="str">
        <f t="shared" si="14"/>
        <v>COTAÇÃOCOT-087</v>
      </c>
      <c r="D251" s="325" t="s">
        <v>5454</v>
      </c>
      <c r="E251" s="321" t="s">
        <v>117</v>
      </c>
      <c r="F251" s="324">
        <f>VLOOKUP(B251,COTAÇÕES!A:J,10,0)</f>
        <v>489718.6</v>
      </c>
      <c r="G251" s="321" t="s">
        <v>4707</v>
      </c>
    </row>
    <row r="252" spans="1:7" ht="60" x14ac:dyDescent="0.25">
      <c r="A252" s="321" t="s">
        <v>4717</v>
      </c>
      <c r="B252" s="322" t="s">
        <v>5000</v>
      </c>
      <c r="C252" s="321" t="str">
        <f t="shared" si="14"/>
        <v>COTAÇÃOCOT-088</v>
      </c>
      <c r="D252" s="325" t="s">
        <v>5455</v>
      </c>
      <c r="E252" s="321" t="s">
        <v>117</v>
      </c>
      <c r="F252" s="324">
        <f>VLOOKUP(B252,COTAÇÕES!A:J,10,0)</f>
        <v>489718.6</v>
      </c>
      <c r="G252" s="321" t="s">
        <v>4707</v>
      </c>
    </row>
    <row r="253" spans="1:7" ht="105" x14ac:dyDescent="0.25">
      <c r="A253" s="321" t="s">
        <v>4717</v>
      </c>
      <c r="B253" s="322" t="s">
        <v>5001</v>
      </c>
      <c r="C253" s="321" t="str">
        <f t="shared" si="14"/>
        <v>COTAÇÃOCOT-089</v>
      </c>
      <c r="D253" s="325" t="s">
        <v>5469</v>
      </c>
      <c r="E253" s="321" t="s">
        <v>58</v>
      </c>
      <c r="F253" s="324">
        <f>VLOOKUP(B253,COTAÇÕES!A:J,10,0)</f>
        <v>5444.00018</v>
      </c>
      <c r="G253" s="321" t="s">
        <v>4707</v>
      </c>
    </row>
    <row r="254" spans="1:7" ht="30" x14ac:dyDescent="0.25">
      <c r="A254" s="321" t="s">
        <v>4717</v>
      </c>
      <c r="B254" s="322" t="s">
        <v>5002</v>
      </c>
      <c r="C254" s="321" t="str">
        <f t="shared" si="14"/>
        <v>COTAÇÃOCOT-090</v>
      </c>
      <c r="D254" s="325" t="s">
        <v>5508</v>
      </c>
      <c r="E254" s="321" t="s">
        <v>117</v>
      </c>
      <c r="F254" s="324">
        <f>VLOOKUP(B254,COTAÇÕES!A:J,10,0)</f>
        <v>29994.391</v>
      </c>
      <c r="G254" s="321" t="s">
        <v>4707</v>
      </c>
    </row>
    <row r="255" spans="1:7" ht="30" x14ac:dyDescent="0.25">
      <c r="A255" s="321" t="s">
        <v>4717</v>
      </c>
      <c r="B255" s="322" t="s">
        <v>5003</v>
      </c>
      <c r="C255" s="321" t="str">
        <f t="shared" ref="C255" si="15">A255&amp;B255</f>
        <v>COTAÇÃOCOT-091</v>
      </c>
      <c r="D255" s="325" t="s">
        <v>5509</v>
      </c>
      <c r="E255" s="321" t="s">
        <v>117</v>
      </c>
      <c r="F255" s="324">
        <f>VLOOKUP(B255,COTAÇÕES!A:J,10,0)</f>
        <v>48792.22</v>
      </c>
      <c r="G255" s="321" t="s">
        <v>4707</v>
      </c>
    </row>
    <row r="256" spans="1:7" ht="30" x14ac:dyDescent="0.25">
      <c r="A256" s="321" t="s">
        <v>5412</v>
      </c>
      <c r="B256" s="322" t="s">
        <v>5411</v>
      </c>
      <c r="C256" s="321" t="str">
        <f t="shared" ref="C256" si="16">A256&amp;B256</f>
        <v>PROJETOPRJ-001</v>
      </c>
      <c r="D256" s="325" t="s">
        <v>5410</v>
      </c>
      <c r="E256" s="321" t="s">
        <v>4798</v>
      </c>
      <c r="F256" s="324">
        <v>5000</v>
      </c>
      <c r="G256" s="321" t="s">
        <v>4707</v>
      </c>
    </row>
    <row r="257" spans="1:7" x14ac:dyDescent="0.25">
      <c r="A257" s="321" t="s">
        <v>4715</v>
      </c>
      <c r="B257" s="322" t="s">
        <v>5409</v>
      </c>
      <c r="C257" s="321" t="s">
        <v>5414</v>
      </c>
      <c r="D257" s="325" t="s">
        <v>5413</v>
      </c>
      <c r="E257" s="321" t="s">
        <v>58</v>
      </c>
      <c r="F257" s="324">
        <v>3666.2</v>
      </c>
      <c r="G257" s="321" t="s">
        <v>4707</v>
      </c>
    </row>
    <row r="258" spans="1:7" x14ac:dyDescent="0.25">
      <c r="A258" s="327" t="s">
        <v>4814</v>
      </c>
      <c r="B258" s="327"/>
      <c r="C258" s="328"/>
      <c r="D258" s="329"/>
      <c r="E258" s="330"/>
      <c r="F258" s="331"/>
      <c r="G258" s="332"/>
    </row>
    <row r="259" spans="1:7" ht="30" x14ac:dyDescent="0.25">
      <c r="A259" s="321" t="s">
        <v>4810</v>
      </c>
      <c r="B259" s="322">
        <v>90778</v>
      </c>
      <c r="C259" s="321" t="str">
        <f t="shared" ref="C259:C274" si="17">A259&amp;B259</f>
        <v>SINAPI90778</v>
      </c>
      <c r="D259" s="325" t="s">
        <v>4815</v>
      </c>
      <c r="E259" s="321" t="s">
        <v>129</v>
      </c>
      <c r="F259" s="324">
        <v>76.7</v>
      </c>
      <c r="G259" s="321" t="s">
        <v>4395</v>
      </c>
    </row>
    <row r="260" spans="1:7" x14ac:dyDescent="0.25">
      <c r="A260" s="321" t="s">
        <v>4810</v>
      </c>
      <c r="B260" s="322">
        <v>90776</v>
      </c>
      <c r="C260" s="321" t="str">
        <f t="shared" si="17"/>
        <v>SINAPI90776</v>
      </c>
      <c r="D260" s="325" t="s">
        <v>4816</v>
      </c>
      <c r="E260" s="321" t="s">
        <v>129</v>
      </c>
      <c r="F260" s="324">
        <v>29.23</v>
      </c>
      <c r="G260" s="321" t="s">
        <v>4395</v>
      </c>
    </row>
    <row r="261" spans="1:7" x14ac:dyDescent="0.25">
      <c r="A261" s="321" t="s">
        <v>4810</v>
      </c>
      <c r="B261" s="322">
        <v>90766</v>
      </c>
      <c r="C261" s="321" t="str">
        <f t="shared" si="17"/>
        <v>SINAPI90766</v>
      </c>
      <c r="D261" s="325" t="s">
        <v>4817</v>
      </c>
      <c r="E261" s="321" t="s">
        <v>129</v>
      </c>
      <c r="F261" s="324">
        <v>21.53</v>
      </c>
      <c r="G261" s="321" t="s">
        <v>4395</v>
      </c>
    </row>
    <row r="262" spans="1:7" ht="30" x14ac:dyDescent="0.25">
      <c r="A262" s="321" t="s">
        <v>4810</v>
      </c>
      <c r="B262" s="322">
        <v>88252</v>
      </c>
      <c r="C262" s="321" t="str">
        <f t="shared" si="17"/>
        <v>SINAPI88252</v>
      </c>
      <c r="D262" s="325" t="s">
        <v>4818</v>
      </c>
      <c r="E262" s="321" t="s">
        <v>129</v>
      </c>
      <c r="F262" s="324">
        <v>13.3</v>
      </c>
      <c r="G262" s="321" t="s">
        <v>4395</v>
      </c>
    </row>
    <row r="263" spans="1:7" x14ac:dyDescent="0.25">
      <c r="A263" s="321" t="s">
        <v>4810</v>
      </c>
      <c r="B263" s="322">
        <v>88326</v>
      </c>
      <c r="C263" s="321" t="str">
        <f t="shared" si="17"/>
        <v>SINAPI88326</v>
      </c>
      <c r="D263" s="325" t="s">
        <v>4819</v>
      </c>
      <c r="E263" s="321" t="s">
        <v>129</v>
      </c>
      <c r="F263" s="324">
        <v>17.86</v>
      </c>
      <c r="G263" s="321" t="s">
        <v>4395</v>
      </c>
    </row>
    <row r="264" spans="1:7" ht="30" x14ac:dyDescent="0.25">
      <c r="A264" s="321" t="s">
        <v>4810</v>
      </c>
      <c r="B264" s="322">
        <v>90767</v>
      </c>
      <c r="C264" s="321" t="str">
        <f t="shared" si="17"/>
        <v>SINAPI90767</v>
      </c>
      <c r="D264" s="325" t="s">
        <v>4820</v>
      </c>
      <c r="E264" s="321" t="s">
        <v>129</v>
      </c>
      <c r="F264" s="324">
        <v>14.56</v>
      </c>
      <c r="G264" s="321" t="s">
        <v>4395</v>
      </c>
    </row>
    <row r="265" spans="1:7" ht="30" x14ac:dyDescent="0.25">
      <c r="A265" s="321" t="s">
        <v>4810</v>
      </c>
      <c r="B265" s="322">
        <v>90779</v>
      </c>
      <c r="C265" s="321" t="str">
        <f t="shared" si="17"/>
        <v>SINAPI90779</v>
      </c>
      <c r="D265" s="325" t="s">
        <v>4821</v>
      </c>
      <c r="E265" s="321" t="s">
        <v>129</v>
      </c>
      <c r="F265" s="324">
        <v>100.68</v>
      </c>
      <c r="G265" s="321" t="s">
        <v>4395</v>
      </c>
    </row>
    <row r="266" spans="1:7" ht="30" x14ac:dyDescent="0.25">
      <c r="A266" s="321" t="s">
        <v>4810</v>
      </c>
      <c r="B266" s="322">
        <v>88255</v>
      </c>
      <c r="C266" s="321" t="str">
        <f t="shared" si="17"/>
        <v>SINAPI88255</v>
      </c>
      <c r="D266" s="325" t="s">
        <v>4822</v>
      </c>
      <c r="E266" s="321" t="s">
        <v>129</v>
      </c>
      <c r="F266" s="324">
        <v>23.15</v>
      </c>
      <c r="G266" s="321" t="s">
        <v>4395</v>
      </c>
    </row>
    <row r="267" spans="1:7" ht="45" x14ac:dyDescent="0.25">
      <c r="A267" s="321" t="s">
        <v>4810</v>
      </c>
      <c r="B267" s="322">
        <v>14250</v>
      </c>
      <c r="C267" s="321" t="str">
        <f t="shared" si="17"/>
        <v>SINAPI14250</v>
      </c>
      <c r="D267" s="325" t="s">
        <v>4837</v>
      </c>
      <c r="E267" s="321" t="s">
        <v>4829</v>
      </c>
      <c r="F267" s="324">
        <v>0.48</v>
      </c>
      <c r="G267" s="321" t="s">
        <v>4707</v>
      </c>
    </row>
    <row r="268" spans="1:7" x14ac:dyDescent="0.25">
      <c r="A268" s="321" t="s">
        <v>4810</v>
      </c>
      <c r="B268" s="322">
        <v>14583</v>
      </c>
      <c r="C268" s="321" t="str">
        <f t="shared" si="17"/>
        <v>SINAPI14583</v>
      </c>
      <c r="D268" s="325" t="s">
        <v>4836</v>
      </c>
      <c r="E268" s="321" t="s">
        <v>119</v>
      </c>
      <c r="F268" s="324">
        <v>9.08</v>
      </c>
      <c r="G268" s="321" t="s">
        <v>4707</v>
      </c>
    </row>
    <row r="269" spans="1:7" ht="75" x14ac:dyDescent="0.25">
      <c r="A269" s="321" t="s">
        <v>4810</v>
      </c>
      <c r="B269" s="322" t="s">
        <v>4838</v>
      </c>
      <c r="C269" s="321" t="str">
        <f t="shared" si="17"/>
        <v>SINAPI73784/002</v>
      </c>
      <c r="D269" s="325" t="s">
        <v>4844</v>
      </c>
      <c r="E269" s="321" t="s">
        <v>58</v>
      </c>
      <c r="F269" s="324">
        <v>1236.5</v>
      </c>
      <c r="G269" s="321" t="s">
        <v>4707</v>
      </c>
    </row>
    <row r="270" spans="1:7" ht="45" x14ac:dyDescent="0.25">
      <c r="A270" s="321" t="s">
        <v>4810</v>
      </c>
      <c r="B270" s="322" t="s">
        <v>4839</v>
      </c>
      <c r="C270" s="321" t="str">
        <f t="shared" si="17"/>
        <v>SINAPI73960/001</v>
      </c>
      <c r="D270" s="325" t="s">
        <v>4845</v>
      </c>
      <c r="E270" s="321" t="s">
        <v>58</v>
      </c>
      <c r="F270" s="324">
        <v>1395.83</v>
      </c>
      <c r="G270" s="321" t="s">
        <v>4707</v>
      </c>
    </row>
    <row r="271" spans="1:7" ht="45" x14ac:dyDescent="0.25">
      <c r="A271" s="321" t="s">
        <v>4810</v>
      </c>
      <c r="B271" s="322">
        <v>9540</v>
      </c>
      <c r="C271" s="321" t="str">
        <f t="shared" si="17"/>
        <v>SINAPI9540</v>
      </c>
      <c r="D271" s="325" t="s">
        <v>4846</v>
      </c>
      <c r="E271" s="321" t="s">
        <v>58</v>
      </c>
      <c r="F271" s="324">
        <v>851.47</v>
      </c>
      <c r="G271" s="321" t="s">
        <v>4707</v>
      </c>
    </row>
    <row r="272" spans="1:7" x14ac:dyDescent="0.25">
      <c r="A272" s="321" t="s">
        <v>4810</v>
      </c>
      <c r="B272" s="322">
        <v>348</v>
      </c>
      <c r="C272" s="321" t="str">
        <f t="shared" si="17"/>
        <v>SINAPI348</v>
      </c>
      <c r="D272" s="325" t="s">
        <v>5168</v>
      </c>
      <c r="E272" s="321" t="s">
        <v>58</v>
      </c>
      <c r="F272" s="324">
        <v>23.5</v>
      </c>
      <c r="G272" s="321" t="s">
        <v>4707</v>
      </c>
    </row>
    <row r="273" spans="1:7" ht="45" x14ac:dyDescent="0.25">
      <c r="A273" s="321" t="s">
        <v>4810</v>
      </c>
      <c r="B273" s="322">
        <v>358</v>
      </c>
      <c r="C273" s="321" t="str">
        <f t="shared" si="17"/>
        <v>SINAPI358</v>
      </c>
      <c r="D273" s="325" t="s">
        <v>5170</v>
      </c>
      <c r="E273" s="321" t="s">
        <v>58</v>
      </c>
      <c r="F273" s="324">
        <v>19.98</v>
      </c>
      <c r="G273" s="321" t="s">
        <v>4707</v>
      </c>
    </row>
    <row r="274" spans="1:7" ht="45" x14ac:dyDescent="0.25">
      <c r="A274" s="321" t="s">
        <v>4810</v>
      </c>
      <c r="B274" s="322">
        <v>359</v>
      </c>
      <c r="C274" s="321" t="str">
        <f t="shared" si="17"/>
        <v>SINAPI359</v>
      </c>
      <c r="D274" s="325" t="s">
        <v>5169</v>
      </c>
      <c r="E274" s="321" t="s">
        <v>58</v>
      </c>
      <c r="F274" s="324">
        <v>41.05</v>
      </c>
      <c r="G274" s="321" t="s">
        <v>4707</v>
      </c>
    </row>
    <row r="275" spans="1:7" x14ac:dyDescent="0.25">
      <c r="A275" s="321" t="s">
        <v>4810</v>
      </c>
      <c r="B275" s="322">
        <v>38641</v>
      </c>
      <c r="C275" s="321" t="str">
        <f t="shared" ref="C275" si="18">A275&amp;B275</f>
        <v>SINAPI38641</v>
      </c>
      <c r="D275" s="325" t="s">
        <v>5171</v>
      </c>
      <c r="E275" s="321" t="s">
        <v>58</v>
      </c>
      <c r="F275" s="324">
        <v>40.51</v>
      </c>
      <c r="G275" s="321" t="s">
        <v>4707</v>
      </c>
    </row>
    <row r="276" spans="1:7" ht="45" x14ac:dyDescent="0.25">
      <c r="A276" s="321" t="s">
        <v>4810</v>
      </c>
      <c r="B276" s="322">
        <v>360</v>
      </c>
      <c r="C276" s="321" t="str">
        <f t="shared" ref="C276" si="19">A276&amp;B276</f>
        <v>SINAPI360</v>
      </c>
      <c r="D276" s="325" t="s">
        <v>5172</v>
      </c>
      <c r="E276" s="321" t="s">
        <v>58</v>
      </c>
      <c r="F276" s="324">
        <v>0.94</v>
      </c>
      <c r="G276" s="321" t="s">
        <v>4707</v>
      </c>
    </row>
    <row r="277" spans="1:7" ht="30" x14ac:dyDescent="0.25">
      <c r="A277" s="321" t="s">
        <v>4810</v>
      </c>
      <c r="B277" s="322">
        <v>38639</v>
      </c>
      <c r="C277" s="321" t="str">
        <f t="shared" ref="C277:C338" si="20">A277&amp;B277</f>
        <v>SINAPI38639</v>
      </c>
      <c r="D277" s="325" t="s">
        <v>5173</v>
      </c>
      <c r="E277" s="321" t="s">
        <v>58</v>
      </c>
      <c r="F277" s="324">
        <v>16.739999999999998</v>
      </c>
      <c r="G277" s="321" t="s">
        <v>4707</v>
      </c>
    </row>
    <row r="278" spans="1:7" ht="30" x14ac:dyDescent="0.25">
      <c r="A278" s="321" t="s">
        <v>4810</v>
      </c>
      <c r="B278" s="322">
        <v>7139</v>
      </c>
      <c r="C278" s="321" t="str">
        <f t="shared" si="20"/>
        <v>SINAPI7139</v>
      </c>
      <c r="D278" s="325" t="s">
        <v>5182</v>
      </c>
      <c r="E278" s="321" t="s">
        <v>58</v>
      </c>
      <c r="F278" s="324">
        <v>0.93</v>
      </c>
      <c r="G278" s="321" t="s">
        <v>4707</v>
      </c>
    </row>
    <row r="279" spans="1:7" ht="30" x14ac:dyDescent="0.25">
      <c r="A279" s="321" t="s">
        <v>4810</v>
      </c>
      <c r="B279" s="322">
        <v>7140</v>
      </c>
      <c r="C279" s="321" t="str">
        <f t="shared" si="20"/>
        <v>SINAPI7140</v>
      </c>
      <c r="D279" s="325" t="s">
        <v>5181</v>
      </c>
      <c r="E279" s="321" t="s">
        <v>58</v>
      </c>
      <c r="F279" s="324">
        <v>2.3199999999999998</v>
      </c>
      <c r="G279" s="321" t="s">
        <v>4707</v>
      </c>
    </row>
    <row r="280" spans="1:7" ht="30" x14ac:dyDescent="0.25">
      <c r="A280" s="321" t="s">
        <v>4810</v>
      </c>
      <c r="B280" s="322">
        <v>7142</v>
      </c>
      <c r="C280" s="321" t="str">
        <f t="shared" si="20"/>
        <v>SINAPI7142</v>
      </c>
      <c r="D280" s="325" t="s">
        <v>5184</v>
      </c>
      <c r="E280" s="321" t="s">
        <v>58</v>
      </c>
      <c r="F280" s="324">
        <v>6.78</v>
      </c>
      <c r="G280" s="321" t="s">
        <v>4707</v>
      </c>
    </row>
    <row r="281" spans="1:7" ht="30" x14ac:dyDescent="0.25">
      <c r="A281" s="321" t="s">
        <v>4810</v>
      </c>
      <c r="B281" s="322">
        <v>7143</v>
      </c>
      <c r="C281" s="321" t="str">
        <f t="shared" si="20"/>
        <v>SINAPI7143</v>
      </c>
      <c r="D281" s="325" t="s">
        <v>5183</v>
      </c>
      <c r="E281" s="321" t="s">
        <v>58</v>
      </c>
      <c r="F281" s="324">
        <v>19.440000000000001</v>
      </c>
      <c r="G281" s="321" t="s">
        <v>4707</v>
      </c>
    </row>
    <row r="282" spans="1:7" ht="30" x14ac:dyDescent="0.25">
      <c r="A282" s="321" t="s">
        <v>4810</v>
      </c>
      <c r="B282" s="322">
        <v>1927</v>
      </c>
      <c r="C282" s="321" t="str">
        <f t="shared" si="20"/>
        <v>SINAPI1927</v>
      </c>
      <c r="D282" s="325" t="s">
        <v>5201</v>
      </c>
      <c r="E282" s="321" t="s">
        <v>58</v>
      </c>
      <c r="F282" s="324">
        <v>1.5</v>
      </c>
      <c r="G282" s="321" t="s">
        <v>4707</v>
      </c>
    </row>
    <row r="283" spans="1:7" ht="30" x14ac:dyDescent="0.25">
      <c r="A283" s="321" t="s">
        <v>4810</v>
      </c>
      <c r="B283" s="322">
        <v>1923</v>
      </c>
      <c r="C283" s="321" t="str">
        <f t="shared" si="20"/>
        <v>SINAPI1923</v>
      </c>
      <c r="D283" s="325" t="s">
        <v>5202</v>
      </c>
      <c r="E283" s="321" t="s">
        <v>58</v>
      </c>
      <c r="F283" s="324">
        <v>2.44</v>
      </c>
      <c r="G283" s="321" t="s">
        <v>4707</v>
      </c>
    </row>
    <row r="284" spans="1:7" ht="30" x14ac:dyDescent="0.25">
      <c r="A284" s="321" t="s">
        <v>4810</v>
      </c>
      <c r="B284" s="322">
        <v>1930</v>
      </c>
      <c r="C284" s="321" t="str">
        <f t="shared" si="20"/>
        <v>SINAPI1930</v>
      </c>
      <c r="D284" s="325" t="s">
        <v>5203</v>
      </c>
      <c r="E284" s="321" t="s">
        <v>58</v>
      </c>
      <c r="F284" s="324">
        <v>6.42</v>
      </c>
      <c r="G284" s="321" t="s">
        <v>4707</v>
      </c>
    </row>
    <row r="285" spans="1:7" ht="30" x14ac:dyDescent="0.25">
      <c r="A285" s="321" t="s">
        <v>4810</v>
      </c>
      <c r="B285" s="322">
        <v>1924</v>
      </c>
      <c r="C285" s="321" t="str">
        <f t="shared" si="20"/>
        <v>SINAPI1924</v>
      </c>
      <c r="D285" s="325" t="s">
        <v>5204</v>
      </c>
      <c r="E285" s="321" t="s">
        <v>58</v>
      </c>
      <c r="F285" s="324">
        <v>10.89</v>
      </c>
      <c r="G285" s="321" t="s">
        <v>4707</v>
      </c>
    </row>
    <row r="286" spans="1:7" x14ac:dyDescent="0.25">
      <c r="A286" s="321" t="s">
        <v>4810</v>
      </c>
      <c r="B286" s="322">
        <v>3524</v>
      </c>
      <c r="C286" s="321" t="str">
        <f t="shared" si="20"/>
        <v>SINAPI3524</v>
      </c>
      <c r="D286" s="325" t="s">
        <v>5208</v>
      </c>
      <c r="E286" s="321" t="s">
        <v>58</v>
      </c>
      <c r="F286" s="324">
        <v>5.6</v>
      </c>
      <c r="G286" s="321" t="s">
        <v>4707</v>
      </c>
    </row>
    <row r="287" spans="1:7" x14ac:dyDescent="0.25">
      <c r="A287" s="321" t="s">
        <v>4810</v>
      </c>
      <c r="B287" s="322">
        <v>9906</v>
      </c>
      <c r="C287" s="321" t="str">
        <f t="shared" si="20"/>
        <v>SINAPI9906</v>
      </c>
      <c r="D287" s="325" t="s">
        <v>5211</v>
      </c>
      <c r="E287" s="321" t="s">
        <v>58</v>
      </c>
      <c r="F287" s="324">
        <v>6.11</v>
      </c>
      <c r="G287" s="321" t="s">
        <v>4707</v>
      </c>
    </row>
    <row r="288" spans="1:7" ht="30" x14ac:dyDescent="0.25">
      <c r="A288" s="321" t="s">
        <v>4810</v>
      </c>
      <c r="B288" s="322">
        <v>3868</v>
      </c>
      <c r="C288" s="321" t="str">
        <f t="shared" si="20"/>
        <v>SINAPI3868</v>
      </c>
      <c r="D288" s="325" t="s">
        <v>5213</v>
      </c>
      <c r="E288" s="321" t="s">
        <v>58</v>
      </c>
      <c r="F288" s="324">
        <v>0.63</v>
      </c>
      <c r="G288" s="321" t="s">
        <v>4707</v>
      </c>
    </row>
    <row r="289" spans="1:7" x14ac:dyDescent="0.25">
      <c r="A289" s="321" t="s">
        <v>4810</v>
      </c>
      <c r="B289" s="322">
        <v>3904</v>
      </c>
      <c r="C289" s="321" t="str">
        <f t="shared" si="20"/>
        <v>SINAPI3904</v>
      </c>
      <c r="D289" s="325" t="s">
        <v>5233</v>
      </c>
      <c r="E289" s="321" t="s">
        <v>58</v>
      </c>
      <c r="F289" s="324">
        <v>0.4</v>
      </c>
      <c r="G289" s="321" t="s">
        <v>4707</v>
      </c>
    </row>
    <row r="290" spans="1:7" x14ac:dyDescent="0.25">
      <c r="A290" s="321" t="s">
        <v>4810</v>
      </c>
      <c r="B290" s="322">
        <v>3903</v>
      </c>
      <c r="C290" s="321" t="str">
        <f t="shared" si="20"/>
        <v>SINAPI3903</v>
      </c>
      <c r="D290" s="325" t="s">
        <v>5234</v>
      </c>
      <c r="E290" s="321" t="s">
        <v>58</v>
      </c>
      <c r="F290" s="324">
        <v>0.85</v>
      </c>
      <c r="G290" s="321" t="s">
        <v>4707</v>
      </c>
    </row>
    <row r="291" spans="1:7" x14ac:dyDescent="0.25">
      <c r="A291" s="321" t="s">
        <v>4810</v>
      </c>
      <c r="B291" s="322">
        <v>3863</v>
      </c>
      <c r="C291" s="321" t="str">
        <f t="shared" si="20"/>
        <v>SINAPI3863</v>
      </c>
      <c r="D291" s="325" t="s">
        <v>5235</v>
      </c>
      <c r="E291" s="321" t="s">
        <v>58</v>
      </c>
      <c r="F291" s="324">
        <v>2.21</v>
      </c>
      <c r="G291" s="321" t="s">
        <v>4707</v>
      </c>
    </row>
    <row r="292" spans="1:7" x14ac:dyDescent="0.25">
      <c r="A292" s="321" t="s">
        <v>4810</v>
      </c>
      <c r="B292" s="322">
        <v>3864</v>
      </c>
      <c r="C292" s="321" t="str">
        <f t="shared" si="20"/>
        <v>SINAPI3864</v>
      </c>
      <c r="D292" s="325" t="s">
        <v>5236</v>
      </c>
      <c r="E292" s="321" t="s">
        <v>58</v>
      </c>
      <c r="F292" s="324">
        <v>6.05</v>
      </c>
      <c r="G292" s="321" t="s">
        <v>4707</v>
      </c>
    </row>
    <row r="293" spans="1:7" ht="30" x14ac:dyDescent="0.25">
      <c r="A293" s="321" t="s">
        <v>4810</v>
      </c>
      <c r="B293" s="322">
        <v>112</v>
      </c>
      <c r="C293" s="321" t="str">
        <f t="shared" si="20"/>
        <v>SINAPI112</v>
      </c>
      <c r="D293" s="325" t="s">
        <v>5238</v>
      </c>
      <c r="E293" s="321" t="s">
        <v>58</v>
      </c>
      <c r="F293" s="324">
        <v>2.98</v>
      </c>
      <c r="G293" s="321" t="s">
        <v>4707</v>
      </c>
    </row>
    <row r="294" spans="1:7" ht="30" x14ac:dyDescent="0.25">
      <c r="A294" s="321" t="s">
        <v>4810</v>
      </c>
      <c r="B294" s="322">
        <v>66</v>
      </c>
      <c r="C294" s="321" t="str">
        <f t="shared" si="20"/>
        <v>SINAPI66</v>
      </c>
      <c r="D294" s="325" t="s">
        <v>5241</v>
      </c>
      <c r="E294" s="321" t="s">
        <v>58</v>
      </c>
      <c r="F294" s="324">
        <v>20.82</v>
      </c>
      <c r="G294" s="321" t="s">
        <v>4707</v>
      </c>
    </row>
    <row r="295" spans="1:7" ht="30" x14ac:dyDescent="0.25">
      <c r="A295" s="321" t="s">
        <v>4810</v>
      </c>
      <c r="B295" s="322">
        <v>69</v>
      </c>
      <c r="C295" s="321" t="str">
        <f t="shared" si="20"/>
        <v>SINAPI69</v>
      </c>
      <c r="D295" s="325" t="s">
        <v>5242</v>
      </c>
      <c r="E295" s="321" t="s">
        <v>58</v>
      </c>
      <c r="F295" s="324">
        <v>30.87</v>
      </c>
      <c r="G295" s="321" t="s">
        <v>4707</v>
      </c>
    </row>
    <row r="296" spans="1:7" x14ac:dyDescent="0.25">
      <c r="A296" s="321" t="s">
        <v>4810</v>
      </c>
      <c r="B296" s="322">
        <v>12715</v>
      </c>
      <c r="C296" s="321" t="str">
        <f t="shared" si="20"/>
        <v>SINAPI12715</v>
      </c>
      <c r="D296" s="95" t="s">
        <v>5256</v>
      </c>
      <c r="E296" s="321" t="s">
        <v>58</v>
      </c>
      <c r="F296" s="64">
        <v>8.1199999999999992</v>
      </c>
      <c r="G296" s="321" t="s">
        <v>4707</v>
      </c>
    </row>
    <row r="297" spans="1:7" x14ac:dyDescent="0.25">
      <c r="A297" s="321" t="s">
        <v>4810</v>
      </c>
      <c r="B297" s="322">
        <v>12717</v>
      </c>
      <c r="C297" s="321" t="str">
        <f t="shared" si="20"/>
        <v>SINAPI12717</v>
      </c>
      <c r="D297" s="95" t="s">
        <v>5257</v>
      </c>
      <c r="E297" s="321" t="s">
        <v>58</v>
      </c>
      <c r="F297" s="64">
        <v>11.15</v>
      </c>
      <c r="G297" s="321" t="s">
        <v>4707</v>
      </c>
    </row>
    <row r="298" spans="1:7" x14ac:dyDescent="0.25">
      <c r="A298" s="321" t="s">
        <v>4810</v>
      </c>
      <c r="B298" s="322">
        <v>12735</v>
      </c>
      <c r="C298" s="321" t="str">
        <f t="shared" si="20"/>
        <v>SINAPI12735</v>
      </c>
      <c r="D298" s="95" t="s">
        <v>5258</v>
      </c>
      <c r="E298" s="321" t="s">
        <v>58</v>
      </c>
      <c r="F298" s="64">
        <v>15.24</v>
      </c>
      <c r="G298" s="321" t="s">
        <v>4707</v>
      </c>
    </row>
    <row r="299" spans="1:7" x14ac:dyDescent="0.25">
      <c r="A299" s="321" t="s">
        <v>4810</v>
      </c>
      <c r="B299" s="322">
        <v>12732</v>
      </c>
      <c r="C299" s="321" t="str">
        <f t="shared" si="20"/>
        <v>SINAPI12732</v>
      </c>
      <c r="D299" s="325" t="s">
        <v>5259</v>
      </c>
      <c r="E299" s="321" t="s">
        <v>58</v>
      </c>
      <c r="F299" s="324">
        <v>54.15</v>
      </c>
      <c r="G299" s="321" t="s">
        <v>4707</v>
      </c>
    </row>
    <row r="300" spans="1:7" ht="30" x14ac:dyDescent="0.25">
      <c r="A300" s="321" t="s">
        <v>4810</v>
      </c>
      <c r="B300" s="322">
        <v>20157</v>
      </c>
      <c r="C300" s="321" t="str">
        <f t="shared" si="20"/>
        <v>SINAPI20157</v>
      </c>
      <c r="D300" s="325" t="s">
        <v>5303</v>
      </c>
      <c r="E300" s="321" t="s">
        <v>58</v>
      </c>
      <c r="F300" s="324">
        <v>23.43</v>
      </c>
      <c r="G300" s="321" t="s">
        <v>4707</v>
      </c>
    </row>
    <row r="301" spans="1:7" ht="30" x14ac:dyDescent="0.25">
      <c r="A301" s="321" t="s">
        <v>4810</v>
      </c>
      <c r="B301" s="322">
        <v>301</v>
      </c>
      <c r="C301" s="321" t="str">
        <f t="shared" ref="C301:C302" si="21">A301&amp;B301</f>
        <v>SINAPI301</v>
      </c>
      <c r="D301" s="325" t="s">
        <v>5304</v>
      </c>
      <c r="E301" s="321" t="s">
        <v>58</v>
      </c>
      <c r="F301" s="324">
        <v>1.48</v>
      </c>
      <c r="G301" s="321" t="s">
        <v>4707</v>
      </c>
    </row>
    <row r="302" spans="1:7" x14ac:dyDescent="0.25">
      <c r="A302" s="321" t="s">
        <v>4810</v>
      </c>
      <c r="B302" s="322">
        <v>20155</v>
      </c>
      <c r="C302" s="321" t="str">
        <f t="shared" si="21"/>
        <v>SINAPI20155</v>
      </c>
      <c r="D302" s="325" t="s">
        <v>5306</v>
      </c>
      <c r="E302" s="321" t="s">
        <v>58</v>
      </c>
      <c r="F302" s="324">
        <v>6.59</v>
      </c>
      <c r="G302" s="321" t="s">
        <v>4707</v>
      </c>
    </row>
    <row r="303" spans="1:7" ht="30" x14ac:dyDescent="0.25">
      <c r="A303" s="321" t="s">
        <v>4810</v>
      </c>
      <c r="B303" s="322">
        <v>296</v>
      </c>
      <c r="C303" s="321" t="str">
        <f t="shared" si="20"/>
        <v>SINAPI296</v>
      </c>
      <c r="D303" s="325" t="s">
        <v>5307</v>
      </c>
      <c r="E303" s="321" t="s">
        <v>58</v>
      </c>
      <c r="F303" s="324">
        <v>0.83</v>
      </c>
      <c r="G303" s="321" t="s">
        <v>4707</v>
      </c>
    </row>
    <row r="304" spans="1:7" x14ac:dyDescent="0.25">
      <c r="A304" s="321" t="s">
        <v>4810</v>
      </c>
      <c r="B304" s="322">
        <v>20154</v>
      </c>
      <c r="C304" s="321" t="str">
        <f t="shared" si="20"/>
        <v>SINAPI20154</v>
      </c>
      <c r="D304" s="325" t="s">
        <v>5310</v>
      </c>
      <c r="E304" s="321" t="s">
        <v>58</v>
      </c>
      <c r="F304" s="324">
        <v>4.18</v>
      </c>
      <c r="G304" s="321" t="s">
        <v>4707</v>
      </c>
    </row>
    <row r="305" spans="1:7" ht="30" x14ac:dyDescent="0.25">
      <c r="A305" s="321" t="s">
        <v>4810</v>
      </c>
      <c r="B305" s="322">
        <v>20151</v>
      </c>
      <c r="C305" s="321" t="str">
        <f t="shared" ref="C305:C306" si="22">A305&amp;B305</f>
        <v>SINAPI20151</v>
      </c>
      <c r="D305" s="325" t="s">
        <v>5311</v>
      </c>
      <c r="E305" s="321" t="s">
        <v>58</v>
      </c>
      <c r="F305" s="324">
        <v>19.190000000000001</v>
      </c>
      <c r="G305" s="321" t="s">
        <v>4707</v>
      </c>
    </row>
    <row r="306" spans="1:7" x14ac:dyDescent="0.25">
      <c r="A306" s="321" t="s">
        <v>4810</v>
      </c>
      <c r="B306" s="322">
        <v>20149</v>
      </c>
      <c r="C306" s="321" t="str">
        <f t="shared" si="22"/>
        <v>SINAPI20149</v>
      </c>
      <c r="D306" s="325" t="s">
        <v>5313</v>
      </c>
      <c r="E306" s="321" t="s">
        <v>58</v>
      </c>
      <c r="F306" s="324">
        <v>5.77</v>
      </c>
      <c r="G306" s="321" t="s">
        <v>4707</v>
      </c>
    </row>
    <row r="307" spans="1:7" x14ac:dyDescent="0.25">
      <c r="A307" s="321" t="s">
        <v>4810</v>
      </c>
      <c r="B307" s="322">
        <v>20148</v>
      </c>
      <c r="C307" s="321" t="str">
        <f t="shared" si="20"/>
        <v>SINAPI20148</v>
      </c>
      <c r="D307" s="325" t="s">
        <v>5314</v>
      </c>
      <c r="E307" s="321" t="s">
        <v>58</v>
      </c>
      <c r="F307" s="324">
        <v>3.79</v>
      </c>
      <c r="G307" s="321" t="s">
        <v>4707</v>
      </c>
    </row>
    <row r="308" spans="1:7" ht="30" x14ac:dyDescent="0.25">
      <c r="A308" s="321" t="s">
        <v>4810</v>
      </c>
      <c r="B308" s="322">
        <v>3670</v>
      </c>
      <c r="C308" s="321" t="str">
        <f t="shared" si="20"/>
        <v>SINAPI3670</v>
      </c>
      <c r="D308" s="325" t="s">
        <v>5316</v>
      </c>
      <c r="E308" s="321" t="s">
        <v>58</v>
      </c>
      <c r="F308" s="324">
        <v>15.61</v>
      </c>
      <c r="G308" s="321" t="s">
        <v>4707</v>
      </c>
    </row>
    <row r="309" spans="1:7" x14ac:dyDescent="0.25">
      <c r="A309" s="321" t="s">
        <v>4810</v>
      </c>
      <c r="B309" s="322">
        <v>3662</v>
      </c>
      <c r="C309" s="321" t="str">
        <f t="shared" ref="C309:C310" si="23">A309&amp;B309</f>
        <v>SINAPI3662</v>
      </c>
      <c r="D309" s="325" t="s">
        <v>5318</v>
      </c>
      <c r="E309" s="321" t="s">
        <v>58</v>
      </c>
      <c r="F309" s="324">
        <v>5.94</v>
      </c>
      <c r="G309" s="321" t="s">
        <v>4707</v>
      </c>
    </row>
    <row r="310" spans="1:7" ht="30" x14ac:dyDescent="0.25">
      <c r="A310" s="321" t="s">
        <v>4810</v>
      </c>
      <c r="B310" s="322">
        <v>3669</v>
      </c>
      <c r="C310" s="321" t="str">
        <f t="shared" si="23"/>
        <v>SINAPI3669</v>
      </c>
      <c r="D310" s="325" t="s">
        <v>5320</v>
      </c>
      <c r="E310" s="321" t="s">
        <v>58</v>
      </c>
      <c r="F310" s="324">
        <v>7.59</v>
      </c>
      <c r="G310" s="321" t="s">
        <v>4707</v>
      </c>
    </row>
    <row r="311" spans="1:7" ht="30" x14ac:dyDescent="0.25">
      <c r="A311" s="321" t="s">
        <v>4810</v>
      </c>
      <c r="B311" s="322">
        <v>297</v>
      </c>
      <c r="C311" s="321" t="str">
        <f t="shared" si="20"/>
        <v>SINAPI297</v>
      </c>
      <c r="D311" s="325" t="s">
        <v>5322</v>
      </c>
      <c r="E311" s="321" t="s">
        <v>58</v>
      </c>
      <c r="F311" s="324">
        <v>0.83</v>
      </c>
      <c r="G311" s="321" t="s">
        <v>4707</v>
      </c>
    </row>
    <row r="312" spans="1:7" x14ac:dyDescent="0.25">
      <c r="A312" s="321" t="s">
        <v>4810</v>
      </c>
      <c r="B312" s="322">
        <v>20177</v>
      </c>
      <c r="C312" s="321" t="str">
        <f t="shared" ref="C312" si="24">A312&amp;B312</f>
        <v>SINAPI20177</v>
      </c>
      <c r="D312" s="325" t="s">
        <v>5323</v>
      </c>
      <c r="E312" s="321" t="s">
        <v>58</v>
      </c>
      <c r="F312" s="324">
        <v>21.49</v>
      </c>
      <c r="G312" s="321" t="s">
        <v>4707</v>
      </c>
    </row>
    <row r="313" spans="1:7" ht="30" x14ac:dyDescent="0.25">
      <c r="A313" s="321" t="s">
        <v>4810</v>
      </c>
      <c r="B313" s="322">
        <v>20078</v>
      </c>
      <c r="C313" s="321" t="str">
        <f t="shared" si="20"/>
        <v>SINAPI20078</v>
      </c>
      <c r="D313" s="325" t="s">
        <v>5305</v>
      </c>
      <c r="E313" s="321" t="s">
        <v>58</v>
      </c>
      <c r="F313" s="324">
        <v>13.33</v>
      </c>
      <c r="G313" s="321" t="s">
        <v>4707</v>
      </c>
    </row>
    <row r="314" spans="1:7" ht="30" x14ac:dyDescent="0.25">
      <c r="A314" s="321" t="s">
        <v>4810</v>
      </c>
      <c r="B314" s="322">
        <v>20043</v>
      </c>
      <c r="C314" s="321" t="str">
        <f t="shared" si="20"/>
        <v>SINAPI20043</v>
      </c>
      <c r="D314" s="325" t="s">
        <v>5325</v>
      </c>
      <c r="E314" s="321" t="s">
        <v>58</v>
      </c>
      <c r="F314" s="324">
        <v>1.66</v>
      </c>
      <c r="G314" s="321" t="s">
        <v>4707</v>
      </c>
    </row>
    <row r="315" spans="1:7" ht="30" x14ac:dyDescent="0.25">
      <c r="A315" s="321" t="s">
        <v>4810</v>
      </c>
      <c r="B315" s="322">
        <v>20042</v>
      </c>
      <c r="C315" s="321" t="str">
        <f t="shared" si="20"/>
        <v>SINAPI20042</v>
      </c>
      <c r="D315" s="325" t="s">
        <v>5326</v>
      </c>
      <c r="E315" s="321" t="s">
        <v>58</v>
      </c>
      <c r="F315" s="324">
        <v>1.52</v>
      </c>
      <c r="G315" s="321" t="s">
        <v>4707</v>
      </c>
    </row>
    <row r="316" spans="1:7" x14ac:dyDescent="0.25">
      <c r="A316" s="321" t="s">
        <v>4810</v>
      </c>
      <c r="B316" s="322">
        <v>20170</v>
      </c>
      <c r="C316" s="321" t="str">
        <f t="shared" si="20"/>
        <v>SINAPI20170</v>
      </c>
      <c r="D316" s="325" t="s">
        <v>5327</v>
      </c>
      <c r="E316" s="321" t="s">
        <v>58</v>
      </c>
      <c r="F316" s="324">
        <v>8.67</v>
      </c>
      <c r="G316" s="321" t="s">
        <v>4707</v>
      </c>
    </row>
    <row r="317" spans="1:7" x14ac:dyDescent="0.25">
      <c r="A317" s="321" t="s">
        <v>4810</v>
      </c>
      <c r="B317" s="322">
        <v>20168</v>
      </c>
      <c r="C317" s="321" t="str">
        <f t="shared" si="20"/>
        <v>SINAPI20168</v>
      </c>
      <c r="D317" s="325" t="s">
        <v>5329</v>
      </c>
      <c r="E317" s="321" t="s">
        <v>58</v>
      </c>
      <c r="F317" s="324">
        <v>4.7</v>
      </c>
      <c r="G317" s="321" t="s">
        <v>4707</v>
      </c>
    </row>
    <row r="318" spans="1:7" x14ac:dyDescent="0.25">
      <c r="A318" s="321" t="s">
        <v>4810</v>
      </c>
      <c r="B318" s="322">
        <v>20167</v>
      </c>
      <c r="C318" s="321" t="str">
        <f t="shared" si="20"/>
        <v>SINAPI20167</v>
      </c>
      <c r="D318" s="325" t="s">
        <v>5331</v>
      </c>
      <c r="E318" s="321" t="s">
        <v>58</v>
      </c>
      <c r="F318" s="324">
        <v>3.55</v>
      </c>
      <c r="G318" s="321" t="s">
        <v>4707</v>
      </c>
    </row>
    <row r="319" spans="1:7" ht="30" x14ac:dyDescent="0.25">
      <c r="A319" s="321" t="s">
        <v>4810</v>
      </c>
      <c r="B319" s="322">
        <v>297</v>
      </c>
      <c r="C319" s="321" t="str">
        <f t="shared" si="20"/>
        <v>SINAPI297</v>
      </c>
      <c r="D319" s="325" t="s">
        <v>5332</v>
      </c>
      <c r="E319" s="321" t="s">
        <v>58</v>
      </c>
      <c r="F319" s="324">
        <v>1.18</v>
      </c>
      <c r="G319" s="321" t="s">
        <v>4707</v>
      </c>
    </row>
    <row r="320" spans="1:7" x14ac:dyDescent="0.25">
      <c r="A320" s="321" t="s">
        <v>4810</v>
      </c>
      <c r="B320" s="322">
        <v>392</v>
      </c>
      <c r="C320" s="321" t="str">
        <f t="shared" si="20"/>
        <v>SINAPI392</v>
      </c>
      <c r="D320" s="325" t="s">
        <v>5425</v>
      </c>
      <c r="E320" s="321" t="s">
        <v>58</v>
      </c>
      <c r="F320" s="324">
        <v>0.42</v>
      </c>
      <c r="G320" s="321" t="s">
        <v>4707</v>
      </c>
    </row>
    <row r="321" spans="1:7" ht="30" x14ac:dyDescent="0.25">
      <c r="A321" s="321" t="s">
        <v>4810</v>
      </c>
      <c r="B321" s="322">
        <v>979</v>
      </c>
      <c r="C321" s="321" t="str">
        <f t="shared" si="20"/>
        <v>SINAPI979</v>
      </c>
      <c r="D321" s="325" t="s">
        <v>5426</v>
      </c>
      <c r="E321" s="321" t="s">
        <v>110</v>
      </c>
      <c r="F321" s="324">
        <v>6.7</v>
      </c>
      <c r="G321" s="321" t="s">
        <v>4707</v>
      </c>
    </row>
    <row r="322" spans="1:7" x14ac:dyDescent="0.25">
      <c r="A322" s="321" t="s">
        <v>4810</v>
      </c>
      <c r="B322" s="322">
        <v>1875</v>
      </c>
      <c r="C322" s="321" t="str">
        <f t="shared" si="20"/>
        <v>SINAPI1875</v>
      </c>
      <c r="D322" s="325" t="s">
        <v>5427</v>
      </c>
      <c r="E322" s="321" t="s">
        <v>58</v>
      </c>
      <c r="F322" s="324">
        <v>5.99</v>
      </c>
      <c r="G322" s="321" t="s">
        <v>4707</v>
      </c>
    </row>
    <row r="323" spans="1:7" x14ac:dyDescent="0.25">
      <c r="A323" s="321" t="s">
        <v>4810</v>
      </c>
      <c r="B323" s="322">
        <v>2673</v>
      </c>
      <c r="C323" s="321" t="str">
        <f t="shared" si="20"/>
        <v>SINAPI2673</v>
      </c>
      <c r="D323" s="325" t="s">
        <v>5433</v>
      </c>
      <c r="E323" s="321" t="s">
        <v>110</v>
      </c>
      <c r="F323" s="324">
        <v>1.82</v>
      </c>
      <c r="G323" s="321" t="s">
        <v>4707</v>
      </c>
    </row>
    <row r="324" spans="1:7" ht="30" x14ac:dyDescent="0.25">
      <c r="A324" s="321" t="s">
        <v>4810</v>
      </c>
      <c r="B324" s="322">
        <v>3406</v>
      </c>
      <c r="C324" s="321" t="str">
        <f t="shared" si="20"/>
        <v>SINAPI3406</v>
      </c>
      <c r="D324" s="325" t="s">
        <v>5428</v>
      </c>
      <c r="E324" s="321" t="s">
        <v>58</v>
      </c>
      <c r="F324" s="324">
        <v>18.149999999999999</v>
      </c>
      <c r="G324" s="321" t="s">
        <v>4707</v>
      </c>
    </row>
    <row r="325" spans="1:7" ht="30" x14ac:dyDescent="0.25">
      <c r="A325" s="321" t="s">
        <v>4810</v>
      </c>
      <c r="B325" s="322">
        <v>4481</v>
      </c>
      <c r="C325" s="321" t="str">
        <f t="shared" si="20"/>
        <v>SINAPI4481</v>
      </c>
      <c r="D325" s="325" t="s">
        <v>5429</v>
      </c>
      <c r="E325" s="321" t="s">
        <v>110</v>
      </c>
      <c r="F325" s="324">
        <v>25.72</v>
      </c>
      <c r="G325" s="321" t="s">
        <v>4707</v>
      </c>
    </row>
    <row r="326" spans="1:7" ht="30" x14ac:dyDescent="0.25">
      <c r="A326" s="321" t="s">
        <v>4810</v>
      </c>
      <c r="B326" s="322">
        <v>7701</v>
      </c>
      <c r="C326" s="321" t="str">
        <f t="shared" ref="C326:C331" si="25">A326&amp;B326</f>
        <v>SINAPI7701</v>
      </c>
      <c r="D326" s="325" t="s">
        <v>5430</v>
      </c>
      <c r="E326" s="321" t="s">
        <v>110</v>
      </c>
      <c r="F326" s="324">
        <v>46.52</v>
      </c>
      <c r="G326" s="321" t="s">
        <v>4707</v>
      </c>
    </row>
    <row r="327" spans="1:7" ht="30" x14ac:dyDescent="0.25">
      <c r="A327" s="321" t="s">
        <v>4810</v>
      </c>
      <c r="B327" s="322">
        <v>12056</v>
      </c>
      <c r="C327" s="321" t="str">
        <f t="shared" si="25"/>
        <v>SINAPI12056</v>
      </c>
      <c r="D327" s="325" t="s">
        <v>5431</v>
      </c>
      <c r="E327" s="321" t="s">
        <v>110</v>
      </c>
      <c r="F327" s="324">
        <v>14.21</v>
      </c>
      <c r="G327" s="321" t="s">
        <v>4707</v>
      </c>
    </row>
    <row r="328" spans="1:7" ht="30" x14ac:dyDescent="0.25">
      <c r="A328" s="321" t="s">
        <v>4810</v>
      </c>
      <c r="B328" s="322" t="s">
        <v>5421</v>
      </c>
      <c r="C328" s="321" t="str">
        <f t="shared" si="25"/>
        <v>SINAPI12092</v>
      </c>
      <c r="D328" s="325" t="s">
        <v>5432</v>
      </c>
      <c r="E328" s="321" t="s">
        <v>58</v>
      </c>
      <c r="F328" s="324">
        <v>64.12</v>
      </c>
      <c r="G328" s="321" t="s">
        <v>4707</v>
      </c>
    </row>
    <row r="329" spans="1:7" x14ac:dyDescent="0.25">
      <c r="A329" s="321" t="s">
        <v>4810</v>
      </c>
      <c r="B329" s="322" t="s">
        <v>5422</v>
      </c>
      <c r="C329" s="321" t="str">
        <f t="shared" si="25"/>
        <v>SINAPI12346</v>
      </c>
      <c r="D329" s="325" t="s">
        <v>5436</v>
      </c>
      <c r="E329" s="321" t="s">
        <v>58</v>
      </c>
      <c r="F329" s="324">
        <v>6.57</v>
      </c>
      <c r="G329" s="321" t="s">
        <v>4707</v>
      </c>
    </row>
    <row r="330" spans="1:7" x14ac:dyDescent="0.25">
      <c r="A330" s="321" t="s">
        <v>4810</v>
      </c>
      <c r="B330" s="322" t="s">
        <v>5423</v>
      </c>
      <c r="C330" s="321" t="str">
        <f t="shared" si="25"/>
        <v>SINAPI12353</v>
      </c>
      <c r="D330" s="325" t="s">
        <v>5434</v>
      </c>
      <c r="E330" s="321" t="s">
        <v>58</v>
      </c>
      <c r="F330" s="324">
        <v>1.56</v>
      </c>
      <c r="G330" s="321" t="s">
        <v>4707</v>
      </c>
    </row>
    <row r="331" spans="1:7" ht="30" x14ac:dyDescent="0.25">
      <c r="A331" s="321" t="s">
        <v>4810</v>
      </c>
      <c r="B331" s="322" t="s">
        <v>5424</v>
      </c>
      <c r="C331" s="321" t="str">
        <f t="shared" si="25"/>
        <v>SINAPI12365</v>
      </c>
      <c r="D331" s="325" t="s">
        <v>5435</v>
      </c>
      <c r="E331" s="321" t="s">
        <v>58</v>
      </c>
      <c r="F331" s="324">
        <v>5.82</v>
      </c>
      <c r="G331" s="321" t="s">
        <v>4707</v>
      </c>
    </row>
    <row r="332" spans="1:7" x14ac:dyDescent="0.25">
      <c r="A332" s="321" t="s">
        <v>4810</v>
      </c>
      <c r="B332" s="322">
        <v>34675</v>
      </c>
      <c r="C332" s="321" t="str">
        <f t="shared" si="20"/>
        <v>SINAPI34675</v>
      </c>
      <c r="D332" s="325" t="s">
        <v>5460</v>
      </c>
      <c r="E332" s="321" t="s">
        <v>81</v>
      </c>
      <c r="F332" s="324">
        <v>29.01</v>
      </c>
      <c r="G332" s="321" t="s">
        <v>4707</v>
      </c>
    </row>
    <row r="333" spans="1:7" ht="30" x14ac:dyDescent="0.25">
      <c r="A333" s="321" t="s">
        <v>4810</v>
      </c>
      <c r="B333" s="322">
        <v>1339</v>
      </c>
      <c r="C333" s="321" t="str">
        <f t="shared" si="20"/>
        <v>SINAPI1339</v>
      </c>
      <c r="D333" s="325" t="s">
        <v>5461</v>
      </c>
      <c r="E333" s="321" t="s">
        <v>329</v>
      </c>
      <c r="F333" s="324">
        <v>24.34</v>
      </c>
      <c r="G333" s="321" t="s">
        <v>4707</v>
      </c>
    </row>
    <row r="334" spans="1:7" ht="30" x14ac:dyDescent="0.25">
      <c r="A334" s="321" t="s">
        <v>4810</v>
      </c>
      <c r="B334" s="322">
        <v>1338</v>
      </c>
      <c r="C334" s="321" t="str">
        <f t="shared" si="20"/>
        <v>SINAPI1338</v>
      </c>
      <c r="D334" s="325" t="s">
        <v>5462</v>
      </c>
      <c r="E334" s="321" t="s">
        <v>81</v>
      </c>
      <c r="F334" s="324">
        <v>28.07</v>
      </c>
      <c r="G334" s="321" t="s">
        <v>4707</v>
      </c>
    </row>
    <row r="335" spans="1:7" x14ac:dyDescent="0.25">
      <c r="A335" s="321" t="s">
        <v>4810</v>
      </c>
      <c r="B335" s="322">
        <v>159</v>
      </c>
      <c r="C335" s="321" t="str">
        <f t="shared" si="20"/>
        <v>SINAPI159</v>
      </c>
      <c r="D335" s="325" t="s">
        <v>5504</v>
      </c>
      <c r="E335" s="321" t="s">
        <v>119</v>
      </c>
      <c r="F335" s="324">
        <v>212.08</v>
      </c>
      <c r="G335" s="321" t="s">
        <v>4707</v>
      </c>
    </row>
    <row r="336" spans="1:7" x14ac:dyDescent="0.25">
      <c r="A336" s="321" t="s">
        <v>4810</v>
      </c>
      <c r="B336" s="322">
        <v>25951</v>
      </c>
      <c r="C336" s="321" t="str">
        <f t="shared" si="20"/>
        <v>SINAPI25951</v>
      </c>
      <c r="D336" s="325" t="s">
        <v>5505</v>
      </c>
      <c r="E336" s="321" t="s">
        <v>329</v>
      </c>
      <c r="F336" s="324">
        <v>1.78</v>
      </c>
      <c r="G336" s="321" t="s">
        <v>4707</v>
      </c>
    </row>
    <row r="337" spans="1:7" ht="30" x14ac:dyDescent="0.25">
      <c r="A337" s="321" t="s">
        <v>4810</v>
      </c>
      <c r="B337" s="322">
        <v>25963</v>
      </c>
      <c r="C337" s="321" t="str">
        <f t="shared" si="20"/>
        <v>SINAPI25963</v>
      </c>
      <c r="D337" s="325" t="s">
        <v>5506</v>
      </c>
      <c r="E337" s="321" t="s">
        <v>329</v>
      </c>
      <c r="F337" s="324">
        <v>7.0000000000000007E-2</v>
      </c>
      <c r="G337" s="321" t="s">
        <v>4707</v>
      </c>
    </row>
    <row r="338" spans="1:7" x14ac:dyDescent="0.25">
      <c r="A338" s="321" t="s">
        <v>4810</v>
      </c>
      <c r="C338" s="321" t="str">
        <f t="shared" si="20"/>
        <v>SINAPI</v>
      </c>
    </row>
    <row r="339" spans="1:7" x14ac:dyDescent="0.25">
      <c r="A339" s="327" t="s">
        <v>4823</v>
      </c>
      <c r="B339" s="327"/>
      <c r="C339" s="328"/>
      <c r="D339" s="329"/>
      <c r="E339" s="330"/>
      <c r="F339" s="331"/>
      <c r="G339" s="332"/>
    </row>
    <row r="340" spans="1:7" x14ac:dyDescent="0.25">
      <c r="A340" s="321" t="s">
        <v>4826</v>
      </c>
      <c r="B340" s="322" t="s">
        <v>4824</v>
      </c>
      <c r="C340" s="321" t="str">
        <f>A340&amp;B340</f>
        <v>DNIT-CONSULTORIAA0</v>
      </c>
      <c r="D340" s="325" t="s">
        <v>4827</v>
      </c>
      <c r="E340" s="321" t="s">
        <v>129</v>
      </c>
      <c r="F340" s="324">
        <f>4415.21/176</f>
        <v>25.086420454545454</v>
      </c>
      <c r="G340" s="321" t="s">
        <v>4395</v>
      </c>
    </row>
    <row r="341" spans="1:7" x14ac:dyDescent="0.25">
      <c r="A341" s="321" t="s">
        <v>4826</v>
      </c>
      <c r="B341" s="322" t="s">
        <v>4825</v>
      </c>
      <c r="C341" s="321" t="str">
        <f>A341&amp;B341</f>
        <v>DNIT-CONSULTORIAA2</v>
      </c>
      <c r="D341" s="325" t="s">
        <v>4828</v>
      </c>
      <c r="E341" s="321" t="s">
        <v>129</v>
      </c>
      <c r="F341" s="324">
        <f>1713.02/176</f>
        <v>9.7330681818181812</v>
      </c>
      <c r="G341" s="321" t="s">
        <v>4395</v>
      </c>
    </row>
    <row r="342" spans="1:7" x14ac:dyDescent="0.25">
      <c r="A342" s="321" t="s">
        <v>4826</v>
      </c>
      <c r="B342" s="334" t="s">
        <v>4841</v>
      </c>
      <c r="C342" s="321" t="str">
        <f>A342&amp;B342</f>
        <v>DNIT-CONSULTORIA02A</v>
      </c>
      <c r="D342" s="325" t="s">
        <v>4840</v>
      </c>
      <c r="E342" s="321" t="s">
        <v>4740</v>
      </c>
      <c r="F342" s="324">
        <v>681.05</v>
      </c>
      <c r="G342" s="321" t="s">
        <v>4707</v>
      </c>
    </row>
    <row r="343" spans="1:7" x14ac:dyDescent="0.25">
      <c r="A343" s="321" t="s">
        <v>4826</v>
      </c>
      <c r="B343" s="334" t="s">
        <v>4842</v>
      </c>
      <c r="C343" s="321" t="str">
        <f>A343&amp;B343</f>
        <v>DNIT-CONSULTORIA02B</v>
      </c>
      <c r="D343" s="325" t="s">
        <v>4843</v>
      </c>
      <c r="E343" s="321" t="s">
        <v>4740</v>
      </c>
      <c r="F343" s="324">
        <v>567.55999999999995</v>
      </c>
      <c r="G343" s="321" t="s">
        <v>4707</v>
      </c>
    </row>
    <row r="344" spans="1:7" x14ac:dyDescent="0.25">
      <c r="A344" s="327" t="s">
        <v>4830</v>
      </c>
      <c r="B344" s="327"/>
      <c r="C344" s="328"/>
      <c r="D344" s="329"/>
      <c r="E344" s="330"/>
      <c r="F344" s="331"/>
      <c r="G344" s="332"/>
    </row>
    <row r="345" spans="1:7" x14ac:dyDescent="0.25">
      <c r="A345" s="321" t="s">
        <v>4717</v>
      </c>
      <c r="B345" s="322" t="s">
        <v>4831</v>
      </c>
      <c r="C345" s="321" t="str">
        <f>A345&amp;B345</f>
        <v>COTAÇÃOADM-001</v>
      </c>
      <c r="D345" s="325" t="s">
        <v>4833</v>
      </c>
      <c r="E345" s="321" t="s">
        <v>117</v>
      </c>
      <c r="F345" s="324" t="e">
        <f>#REF!</f>
        <v>#REF!</v>
      </c>
      <c r="G345" s="321" t="s">
        <v>4707</v>
      </c>
    </row>
    <row r="346" spans="1:7" x14ac:dyDescent="0.25">
      <c r="A346" s="321" t="s">
        <v>4717</v>
      </c>
      <c r="B346" s="322" t="s">
        <v>4832</v>
      </c>
      <c r="C346" s="321" t="str">
        <f>A346&amp;B346</f>
        <v>COTAÇÃOADM-002</v>
      </c>
      <c r="D346" s="325" t="s">
        <v>4834</v>
      </c>
      <c r="E346" s="321" t="s">
        <v>117</v>
      </c>
      <c r="F346" s="324" t="e">
        <f>#REF!</f>
        <v>#REF!</v>
      </c>
      <c r="G346" s="321" t="s">
        <v>4707</v>
      </c>
    </row>
    <row r="347" spans="1:7" x14ac:dyDescent="0.25">
      <c r="A347" s="327" t="s">
        <v>5341</v>
      </c>
      <c r="B347" s="327"/>
      <c r="C347" s="328"/>
      <c r="D347" s="329"/>
      <c r="E347" s="330"/>
      <c r="F347" s="331"/>
      <c r="G347" s="332"/>
    </row>
    <row r="348" spans="1:7" x14ac:dyDescent="0.25">
      <c r="A348" s="321" t="s">
        <v>5339</v>
      </c>
      <c r="B348" s="322">
        <v>35072</v>
      </c>
      <c r="C348" s="321" t="str">
        <f t="shared" ref="C348:C349" si="26">A348&amp;B348</f>
        <v>EDIF35072</v>
      </c>
      <c r="D348" s="325" t="s">
        <v>5342</v>
      </c>
      <c r="E348" s="321" t="s">
        <v>81</v>
      </c>
      <c r="F348" s="324">
        <v>150.53</v>
      </c>
      <c r="G348" s="321" t="s">
        <v>4707</v>
      </c>
    </row>
    <row r="349" spans="1:7" x14ac:dyDescent="0.25">
      <c r="A349" s="321" t="s">
        <v>5339</v>
      </c>
      <c r="B349" s="322">
        <v>39005</v>
      </c>
      <c r="C349" s="321" t="str">
        <f t="shared" si="26"/>
        <v>EDIF39005</v>
      </c>
      <c r="D349" s="325" t="s">
        <v>5343</v>
      </c>
      <c r="E349" s="321" t="s">
        <v>110</v>
      </c>
      <c r="F349" s="324">
        <v>10.130000000000001</v>
      </c>
      <c r="G349" s="321" t="s">
        <v>4707</v>
      </c>
    </row>
  </sheetData>
  <pageMargins left="0.511811024" right="0.511811024" top="0.78740157499999996" bottom="0.78740157499999996" header="0.31496062000000002" footer="0.31496062000000002"/>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43" workbookViewId="0">
      <selection activeCell="B4502" sqref="A4502:B4502"/>
    </sheetView>
  </sheetViews>
  <sheetFormatPr defaultRowHeight="15" x14ac:dyDescent="0.25"/>
  <sheetData>
    <row r="1" spans="1:7" x14ac:dyDescent="0.25">
      <c r="A1" s="97" t="s">
        <v>4729</v>
      </c>
      <c r="B1" s="97"/>
      <c r="C1" s="97"/>
      <c r="D1" s="97"/>
      <c r="E1" s="97"/>
      <c r="F1" s="97"/>
      <c r="G1" s="97"/>
    </row>
    <row r="2" spans="1:7" x14ac:dyDescent="0.25">
      <c r="A2" s="97" t="s">
        <v>4730</v>
      </c>
      <c r="B2" s="97"/>
      <c r="C2" s="97"/>
      <c r="D2" s="97" t="s">
        <v>4731</v>
      </c>
      <c r="E2" s="97"/>
      <c r="F2" s="97"/>
      <c r="G2" s="97" t="s">
        <v>44</v>
      </c>
    </row>
    <row r="3" spans="1:7" x14ac:dyDescent="0.25">
      <c r="A3" s="256">
        <v>41122</v>
      </c>
      <c r="B3" s="257">
        <v>517.65700000000004</v>
      </c>
      <c r="C3" s="97"/>
      <c r="D3" s="256">
        <v>42309</v>
      </c>
      <c r="E3">
        <f>B42</f>
        <v>648.54200000000003</v>
      </c>
      <c r="F3" s="97"/>
      <c r="G3" s="258">
        <f t="shared" ref="G3:G48" si="0">TRUNC($E$3/B3,3)</f>
        <v>1.252</v>
      </c>
    </row>
    <row r="4" spans="1:7" x14ac:dyDescent="0.25">
      <c r="A4" s="256">
        <v>41153</v>
      </c>
      <c r="B4" s="257">
        <v>518.81600000000003</v>
      </c>
      <c r="C4" s="97"/>
      <c r="D4" s="97"/>
      <c r="E4" s="97"/>
      <c r="F4" s="97"/>
      <c r="G4" s="258">
        <f t="shared" si="0"/>
        <v>1.25</v>
      </c>
    </row>
    <row r="5" spans="1:7" x14ac:dyDescent="0.25">
      <c r="A5" s="256">
        <v>41183</v>
      </c>
      <c r="B5" s="257">
        <v>519.90700000000004</v>
      </c>
      <c r="C5" s="97"/>
      <c r="D5" s="97"/>
      <c r="E5" s="97"/>
      <c r="F5" s="97"/>
      <c r="G5" s="258">
        <f t="shared" si="0"/>
        <v>1.2470000000000001</v>
      </c>
    </row>
    <row r="6" spans="1:7" x14ac:dyDescent="0.25">
      <c r="A6" s="256">
        <v>41214</v>
      </c>
      <c r="B6" s="257">
        <v>521.63800000000003</v>
      </c>
      <c r="C6" s="97"/>
      <c r="D6" s="97"/>
      <c r="E6" s="97"/>
      <c r="F6" s="97"/>
      <c r="G6" s="258">
        <f t="shared" si="0"/>
        <v>1.2430000000000001</v>
      </c>
    </row>
    <row r="7" spans="1:7" x14ac:dyDescent="0.25">
      <c r="A7" s="256">
        <v>41244</v>
      </c>
      <c r="B7" s="257">
        <v>522.47400000000005</v>
      </c>
      <c r="C7" s="97"/>
      <c r="D7" s="97"/>
      <c r="E7" s="97"/>
      <c r="F7" s="97"/>
      <c r="G7" s="258">
        <f t="shared" si="0"/>
        <v>1.2410000000000001</v>
      </c>
    </row>
    <row r="8" spans="1:7" x14ac:dyDescent="0.25">
      <c r="A8" s="256">
        <v>41275</v>
      </c>
      <c r="B8" s="257">
        <v>525.85</v>
      </c>
      <c r="C8" s="97"/>
      <c r="D8" s="97"/>
      <c r="E8" s="97"/>
      <c r="F8" s="97"/>
      <c r="G8" s="258">
        <f t="shared" si="0"/>
        <v>1.2330000000000001</v>
      </c>
    </row>
    <row r="9" spans="1:7" x14ac:dyDescent="0.25">
      <c r="A9" s="256">
        <v>41306</v>
      </c>
      <c r="B9" s="257">
        <v>529.029</v>
      </c>
      <c r="C9" s="97"/>
      <c r="D9" s="97"/>
      <c r="E9" s="97"/>
      <c r="F9" s="97"/>
      <c r="G9" s="258">
        <f t="shared" si="0"/>
        <v>1.2250000000000001</v>
      </c>
    </row>
    <row r="10" spans="1:7" x14ac:dyDescent="0.25">
      <c r="A10" s="256">
        <v>41334</v>
      </c>
      <c r="B10" s="257">
        <v>531.69100000000003</v>
      </c>
      <c r="C10" s="97"/>
      <c r="D10" s="97"/>
      <c r="E10" s="97"/>
      <c r="F10" s="97"/>
      <c r="G10" s="258">
        <f t="shared" si="0"/>
        <v>1.2190000000000001</v>
      </c>
    </row>
    <row r="11" spans="1:7" x14ac:dyDescent="0.25">
      <c r="A11" s="256">
        <v>41365</v>
      </c>
      <c r="B11" s="257">
        <v>535.601</v>
      </c>
      <c r="C11" s="97"/>
      <c r="D11" s="97"/>
      <c r="E11" s="97"/>
      <c r="F11" s="97"/>
      <c r="G11" s="258">
        <f t="shared" si="0"/>
        <v>1.21</v>
      </c>
    </row>
    <row r="12" spans="1:7" x14ac:dyDescent="0.25">
      <c r="A12" s="256">
        <v>41395</v>
      </c>
      <c r="B12" s="257">
        <v>547.65499999999997</v>
      </c>
      <c r="C12" s="97"/>
      <c r="D12" s="97"/>
      <c r="E12" s="97"/>
      <c r="F12" s="97"/>
      <c r="G12" s="258">
        <f t="shared" si="0"/>
        <v>1.1839999999999999</v>
      </c>
    </row>
    <row r="13" spans="1:7" x14ac:dyDescent="0.25">
      <c r="A13" s="256">
        <v>41426</v>
      </c>
      <c r="B13" s="257">
        <v>553.94799999999998</v>
      </c>
      <c r="C13" s="97"/>
      <c r="F13" s="97"/>
      <c r="G13" s="258">
        <f t="shared" si="0"/>
        <v>1.17</v>
      </c>
    </row>
    <row r="14" spans="1:7" x14ac:dyDescent="0.25">
      <c r="A14" s="256">
        <v>41456</v>
      </c>
      <c r="B14" s="257">
        <v>556.6</v>
      </c>
      <c r="C14" s="97"/>
      <c r="D14" s="97"/>
      <c r="E14" s="97"/>
      <c r="F14" s="97"/>
      <c r="G14" s="258">
        <f t="shared" si="0"/>
        <v>1.165</v>
      </c>
    </row>
    <row r="15" spans="1:7" x14ac:dyDescent="0.25">
      <c r="A15" s="256">
        <v>41487</v>
      </c>
      <c r="B15" s="257">
        <v>558.34</v>
      </c>
      <c r="C15" s="97"/>
      <c r="D15" s="97"/>
      <c r="E15" s="97"/>
      <c r="F15" s="97"/>
      <c r="G15" s="258">
        <f t="shared" si="0"/>
        <v>1.161</v>
      </c>
    </row>
    <row r="16" spans="1:7" x14ac:dyDescent="0.25">
      <c r="A16" s="256">
        <v>41518</v>
      </c>
      <c r="B16" s="257">
        <v>560.76700000000005</v>
      </c>
      <c r="C16" s="97"/>
      <c r="D16" s="97"/>
      <c r="E16" s="97"/>
      <c r="F16" s="97"/>
      <c r="G16" s="258">
        <f t="shared" si="0"/>
        <v>1.1559999999999999</v>
      </c>
    </row>
    <row r="17" spans="1:7" x14ac:dyDescent="0.25">
      <c r="A17" s="256">
        <v>41548</v>
      </c>
      <c r="B17" s="257">
        <v>562.24099999999999</v>
      </c>
      <c r="C17" s="97"/>
      <c r="D17" s="97"/>
      <c r="E17" s="97"/>
      <c r="F17" s="97"/>
      <c r="G17" s="258">
        <f t="shared" si="0"/>
        <v>1.153</v>
      </c>
    </row>
    <row r="18" spans="1:7" x14ac:dyDescent="0.25">
      <c r="A18" s="256">
        <v>41579</v>
      </c>
      <c r="B18" s="257">
        <v>564.20100000000002</v>
      </c>
      <c r="C18" s="97"/>
      <c r="D18" s="97"/>
      <c r="E18" s="97"/>
      <c r="F18" s="97"/>
      <c r="G18" s="258">
        <f t="shared" si="0"/>
        <v>1.149</v>
      </c>
    </row>
    <row r="19" spans="1:7" x14ac:dyDescent="0.25">
      <c r="A19" s="256">
        <v>41609</v>
      </c>
      <c r="B19" s="257">
        <v>564.76499999999999</v>
      </c>
      <c r="C19" s="97"/>
      <c r="D19" s="97"/>
      <c r="E19" s="97"/>
      <c r="F19" s="97"/>
      <c r="G19" s="258">
        <f t="shared" si="0"/>
        <v>1.1479999999999999</v>
      </c>
    </row>
    <row r="20" spans="1:7" x14ac:dyDescent="0.25">
      <c r="A20" s="256">
        <v>41640</v>
      </c>
      <c r="B20" s="257">
        <v>569.72</v>
      </c>
      <c r="C20" s="97"/>
      <c r="D20" s="97"/>
      <c r="E20" s="97"/>
      <c r="F20" s="97"/>
      <c r="G20" s="258">
        <f t="shared" si="0"/>
        <v>1.1379999999999999</v>
      </c>
    </row>
    <row r="21" spans="1:7" x14ac:dyDescent="0.25">
      <c r="A21" s="256">
        <v>41671</v>
      </c>
      <c r="B21" s="257">
        <v>571.577</v>
      </c>
      <c r="C21" s="97"/>
      <c r="D21" s="97"/>
      <c r="E21" s="97"/>
      <c r="F21" s="97"/>
      <c r="G21" s="258">
        <f t="shared" si="0"/>
        <v>1.1339999999999999</v>
      </c>
    </row>
    <row r="22" spans="1:7" x14ac:dyDescent="0.25">
      <c r="A22" s="256">
        <v>41699</v>
      </c>
      <c r="B22" s="257">
        <v>573.15599999999995</v>
      </c>
      <c r="C22" s="97"/>
      <c r="D22" s="97"/>
      <c r="E22" s="97"/>
      <c r="F22" s="97"/>
      <c r="G22" s="258">
        <f t="shared" si="0"/>
        <v>1.131</v>
      </c>
    </row>
    <row r="23" spans="1:7" x14ac:dyDescent="0.25">
      <c r="A23" s="256">
        <v>41730</v>
      </c>
      <c r="B23" s="257">
        <v>578.22400000000005</v>
      </c>
      <c r="C23" s="97"/>
      <c r="D23" s="97"/>
      <c r="E23" s="97"/>
      <c r="F23" s="97"/>
      <c r="G23" s="258">
        <f t="shared" si="0"/>
        <v>1.121</v>
      </c>
    </row>
    <row r="24" spans="1:7" x14ac:dyDescent="0.25">
      <c r="A24" s="256">
        <v>41760</v>
      </c>
      <c r="B24" s="257">
        <v>590.09900000000005</v>
      </c>
      <c r="C24" s="97"/>
      <c r="D24" s="97"/>
      <c r="E24" s="97"/>
      <c r="F24" s="97"/>
      <c r="G24" s="258">
        <f t="shared" si="0"/>
        <v>1.099</v>
      </c>
    </row>
    <row r="25" spans="1:7" x14ac:dyDescent="0.25">
      <c r="A25" s="256">
        <v>41791</v>
      </c>
      <c r="B25" s="257">
        <v>594.01300000000003</v>
      </c>
      <c r="C25" s="97"/>
      <c r="D25" s="97"/>
      <c r="E25" s="97"/>
      <c r="F25" s="97"/>
      <c r="G25" s="258">
        <f t="shared" si="0"/>
        <v>1.091</v>
      </c>
    </row>
    <row r="26" spans="1:7" x14ac:dyDescent="0.25">
      <c r="A26" s="256">
        <v>41821</v>
      </c>
      <c r="B26" s="257">
        <v>598.44100000000003</v>
      </c>
      <c r="C26" s="97"/>
      <c r="D26" s="97"/>
      <c r="E26" s="97"/>
      <c r="F26" s="97"/>
      <c r="G26" s="258">
        <f t="shared" si="0"/>
        <v>1.083</v>
      </c>
    </row>
    <row r="27" spans="1:7" x14ac:dyDescent="0.25">
      <c r="A27" s="256">
        <v>41852</v>
      </c>
      <c r="B27" s="257">
        <v>598.89800000000002</v>
      </c>
      <c r="C27" s="97"/>
      <c r="D27" s="97"/>
      <c r="E27" s="97"/>
      <c r="F27" s="97"/>
      <c r="G27" s="258">
        <f t="shared" si="0"/>
        <v>1.0820000000000001</v>
      </c>
    </row>
    <row r="28" spans="1:7" x14ac:dyDescent="0.25">
      <c r="A28" s="256">
        <v>41883</v>
      </c>
      <c r="B28" s="257">
        <v>599.82299999999998</v>
      </c>
      <c r="C28" s="97"/>
      <c r="D28" s="97"/>
      <c r="E28" s="97"/>
      <c r="F28" s="97"/>
      <c r="G28" s="258">
        <f t="shared" si="0"/>
        <v>1.081</v>
      </c>
    </row>
    <row r="29" spans="1:7" x14ac:dyDescent="0.25">
      <c r="A29" s="256">
        <v>41913</v>
      </c>
      <c r="B29" s="257">
        <v>600.86500000000001</v>
      </c>
      <c r="C29" s="97"/>
      <c r="D29" s="97"/>
      <c r="E29" s="97"/>
      <c r="F29" s="97"/>
      <c r="G29" s="258">
        <f t="shared" si="0"/>
        <v>1.079</v>
      </c>
    </row>
    <row r="30" spans="1:7" x14ac:dyDescent="0.25">
      <c r="A30" s="256">
        <v>41944</v>
      </c>
      <c r="B30" s="257">
        <v>603.524</v>
      </c>
      <c r="C30" s="97"/>
      <c r="D30" s="97"/>
      <c r="E30" s="97"/>
      <c r="F30" s="97"/>
      <c r="G30" s="258">
        <f t="shared" si="0"/>
        <v>1.0740000000000001</v>
      </c>
    </row>
    <row r="31" spans="1:7" x14ac:dyDescent="0.25">
      <c r="A31" s="256">
        <v>41974</v>
      </c>
      <c r="B31">
        <v>604.02599999999995</v>
      </c>
      <c r="G31" s="258">
        <f t="shared" si="0"/>
        <v>1.073</v>
      </c>
    </row>
    <row r="32" spans="1:7" x14ac:dyDescent="0.25">
      <c r="A32" s="256">
        <v>42005</v>
      </c>
      <c r="B32">
        <v>609.56799999999998</v>
      </c>
      <c r="G32" s="258">
        <f t="shared" si="0"/>
        <v>1.0629999999999999</v>
      </c>
    </row>
    <row r="33" spans="1:7" x14ac:dyDescent="0.25">
      <c r="A33" s="256">
        <v>42036</v>
      </c>
      <c r="B33">
        <v>611.447</v>
      </c>
      <c r="G33" s="258">
        <f t="shared" si="0"/>
        <v>1.06</v>
      </c>
    </row>
    <row r="34" spans="1:7" x14ac:dyDescent="0.25">
      <c r="A34" s="256">
        <v>42064</v>
      </c>
      <c r="B34">
        <v>615.24800000000005</v>
      </c>
      <c r="G34" s="258">
        <f t="shared" si="0"/>
        <v>1.054</v>
      </c>
    </row>
    <row r="35" spans="1:7" x14ac:dyDescent="0.25">
      <c r="A35" s="256">
        <v>42095</v>
      </c>
      <c r="B35">
        <v>618.05999999999995</v>
      </c>
      <c r="G35" s="258">
        <f t="shared" si="0"/>
        <v>1.0489999999999999</v>
      </c>
    </row>
    <row r="36" spans="1:7" x14ac:dyDescent="0.25">
      <c r="A36" s="256">
        <v>42125</v>
      </c>
      <c r="B36">
        <v>623.95100000000002</v>
      </c>
      <c r="G36" s="258">
        <f t="shared" si="0"/>
        <v>1.0389999999999999</v>
      </c>
    </row>
    <row r="37" spans="1:7" x14ac:dyDescent="0.25">
      <c r="A37" s="256">
        <v>42156</v>
      </c>
      <c r="B37">
        <v>635.40300000000002</v>
      </c>
      <c r="G37" s="258">
        <f t="shared" si="0"/>
        <v>1.02</v>
      </c>
    </row>
    <row r="38" spans="1:7" x14ac:dyDescent="0.25">
      <c r="A38" s="256">
        <v>42186</v>
      </c>
      <c r="B38">
        <v>638.88</v>
      </c>
      <c r="G38" s="258">
        <f t="shared" si="0"/>
        <v>1.0149999999999999</v>
      </c>
    </row>
    <row r="39" spans="1:7" x14ac:dyDescent="0.25">
      <c r="A39" s="256">
        <v>42217</v>
      </c>
      <c r="B39">
        <v>642.64400000000001</v>
      </c>
      <c r="G39" s="258">
        <f t="shared" si="0"/>
        <v>1.0089999999999999</v>
      </c>
    </row>
    <row r="40" spans="1:7" x14ac:dyDescent="0.25">
      <c r="A40" s="256">
        <v>42248</v>
      </c>
      <c r="B40">
        <v>644.04600000000005</v>
      </c>
      <c r="G40" s="258">
        <f t="shared" si="0"/>
        <v>1.006</v>
      </c>
    </row>
    <row r="41" spans="1:7" x14ac:dyDescent="0.25">
      <c r="A41" s="256">
        <v>42278</v>
      </c>
      <c r="B41">
        <v>646.35500000000002</v>
      </c>
      <c r="G41" s="258">
        <f t="shared" si="0"/>
        <v>1.0029999999999999</v>
      </c>
    </row>
    <row r="42" spans="1:7" x14ac:dyDescent="0.25">
      <c r="A42" s="256">
        <v>42309</v>
      </c>
      <c r="B42">
        <v>648.54200000000003</v>
      </c>
      <c r="G42" s="258">
        <f t="shared" si="0"/>
        <v>1</v>
      </c>
    </row>
    <row r="43" spans="1:7" x14ac:dyDescent="0.25">
      <c r="A43" s="256">
        <v>42339</v>
      </c>
      <c r="B43">
        <v>649.21600000000001</v>
      </c>
      <c r="G43" s="258">
        <f t="shared" si="0"/>
        <v>0.998</v>
      </c>
    </row>
    <row r="44" spans="1:7" x14ac:dyDescent="0.25">
      <c r="A44" s="256">
        <v>42370</v>
      </c>
      <c r="B44">
        <v>649.21600000000001</v>
      </c>
      <c r="G44" s="258">
        <f t="shared" si="0"/>
        <v>0.998</v>
      </c>
    </row>
    <row r="45" spans="1:7" x14ac:dyDescent="0.25">
      <c r="A45" s="256">
        <v>42401</v>
      </c>
      <c r="B45">
        <v>649.21600000000001</v>
      </c>
      <c r="G45" s="258">
        <f t="shared" si="0"/>
        <v>0.998</v>
      </c>
    </row>
    <row r="46" spans="1:7" x14ac:dyDescent="0.25">
      <c r="A46" s="256">
        <v>42430</v>
      </c>
      <c r="B46">
        <v>649.21600000000001</v>
      </c>
      <c r="G46" s="258">
        <f t="shared" si="0"/>
        <v>0.998</v>
      </c>
    </row>
    <row r="47" spans="1:7" x14ac:dyDescent="0.25">
      <c r="A47" s="256">
        <v>42461</v>
      </c>
      <c r="B47">
        <v>649.21600000000001</v>
      </c>
      <c r="G47" s="258">
        <f t="shared" si="0"/>
        <v>0.998</v>
      </c>
    </row>
    <row r="48" spans="1:7" x14ac:dyDescent="0.25">
      <c r="A48" s="256">
        <v>42491</v>
      </c>
      <c r="B48">
        <v>649.21600000000001</v>
      </c>
      <c r="G48" s="258">
        <f t="shared" si="0"/>
        <v>0.998</v>
      </c>
    </row>
    <row r="49" spans="1:7" x14ac:dyDescent="0.25">
      <c r="A49" s="256">
        <v>42522</v>
      </c>
      <c r="B49">
        <v>649.21600000000001</v>
      </c>
      <c r="G49" s="258">
        <f t="shared" ref="G49" si="1">TRUNC($E$3/B49,3)</f>
        <v>0.998</v>
      </c>
    </row>
  </sheetData>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view="pageBreakPreview" zoomScale="80" zoomScaleNormal="70" zoomScaleSheetLayoutView="80" workbookViewId="0">
      <selection activeCell="F11" sqref="F11"/>
    </sheetView>
  </sheetViews>
  <sheetFormatPr defaultRowHeight="15" x14ac:dyDescent="0.25"/>
  <cols>
    <col min="1" max="1" width="7.7109375" style="176" customWidth="1"/>
    <col min="2" max="3" width="15.7109375" style="62" customWidth="1"/>
    <col min="4" max="4" width="65.5703125" style="62" customWidth="1"/>
    <col min="5" max="5" width="15.7109375" style="63" customWidth="1"/>
    <col min="6" max="6" width="15.7109375" style="62" customWidth="1"/>
    <col min="7" max="7" width="16.5703125" style="62" customWidth="1"/>
    <col min="8" max="8" width="20.7109375" style="62" customWidth="1"/>
  </cols>
  <sheetData>
    <row r="1" spans="1:8" x14ac:dyDescent="0.25">
      <c r="A1" s="44"/>
      <c r="B1" s="45"/>
      <c r="C1" s="45"/>
      <c r="D1" s="45"/>
      <c r="E1" s="47"/>
      <c r="F1" s="45"/>
      <c r="G1" s="45"/>
      <c r="H1" s="65"/>
    </row>
    <row r="2" spans="1:8" ht="37.5" x14ac:dyDescent="0.25">
      <c r="A2" s="66"/>
      <c r="B2" s="67"/>
      <c r="C2" s="67"/>
      <c r="D2" s="77" t="s">
        <v>35</v>
      </c>
      <c r="E2" s="69"/>
      <c r="F2" s="83" t="s">
        <v>0</v>
      </c>
      <c r="G2" s="84">
        <f>'PO-SEDE'!G2</f>
        <v>0</v>
      </c>
      <c r="H2" s="85"/>
    </row>
    <row r="3" spans="1:8" ht="18.75" x14ac:dyDescent="0.25">
      <c r="A3" s="66"/>
      <c r="B3" s="67"/>
      <c r="C3" s="67"/>
      <c r="D3" s="68" t="s">
        <v>36</v>
      </c>
      <c r="E3" s="69"/>
      <c r="F3" s="83" t="s">
        <v>1</v>
      </c>
      <c r="G3" s="86" t="str">
        <f>'PO-SEDE'!G3</f>
        <v>Carlos Wieck</v>
      </c>
      <c r="H3" s="85" t="str">
        <f>'PO-SEDE'!H3</f>
        <v>Rev. 01</v>
      </c>
    </row>
    <row r="4" spans="1:8" ht="18.75" x14ac:dyDescent="0.25">
      <c r="A4" s="66"/>
      <c r="B4" s="67"/>
      <c r="C4" s="67"/>
      <c r="D4" s="68" t="s">
        <v>4</v>
      </c>
      <c r="E4" s="69"/>
      <c r="F4" s="83" t="s">
        <v>5</v>
      </c>
      <c r="G4" s="87" t="str">
        <f>'PO-SEDE'!G5</f>
        <v>A 116.079-6</v>
      </c>
      <c r="H4" s="88" t="s">
        <v>7</v>
      </c>
    </row>
    <row r="5" spans="1:8" ht="18.75" x14ac:dyDescent="0.25">
      <c r="A5" s="66"/>
      <c r="B5" s="67"/>
      <c r="C5" s="67"/>
      <c r="D5" s="68" t="s">
        <v>4686</v>
      </c>
      <c r="E5" s="69"/>
      <c r="F5" s="83" t="s">
        <v>8</v>
      </c>
      <c r="G5" s="89">
        <f>'PO-SEDE'!G6</f>
        <v>4774233</v>
      </c>
      <c r="H5" s="90">
        <f>'PO-SEDE'!H6</f>
        <v>43040</v>
      </c>
    </row>
    <row r="6" spans="1:8" x14ac:dyDescent="0.25">
      <c r="A6" s="50"/>
      <c r="B6" s="51"/>
      <c r="C6" s="51"/>
      <c r="D6" s="51"/>
      <c r="E6" s="70"/>
      <c r="F6" s="51"/>
      <c r="G6" s="71"/>
      <c r="H6" s="72" t="s">
        <v>4401</v>
      </c>
    </row>
    <row r="7" spans="1:8" ht="5.0999999999999996" customHeight="1" x14ac:dyDescent="0.25">
      <c r="A7" s="73"/>
      <c r="B7" s="2"/>
      <c r="C7" s="2"/>
      <c r="D7" s="2"/>
      <c r="E7" s="2"/>
      <c r="F7" s="2"/>
      <c r="G7" s="2"/>
      <c r="H7" s="74"/>
    </row>
    <row r="8" spans="1:8" x14ac:dyDescent="0.25">
      <c r="A8" s="3"/>
      <c r="B8" s="4" t="s">
        <v>4687</v>
      </c>
      <c r="C8" s="5"/>
      <c r="D8" s="5"/>
      <c r="E8" s="6"/>
      <c r="F8" s="7"/>
      <c r="G8" s="7"/>
      <c r="H8" s="8"/>
    </row>
    <row r="9" spans="1:8" x14ac:dyDescent="0.25">
      <c r="A9" s="73"/>
      <c r="B9" s="2"/>
      <c r="C9" s="2"/>
      <c r="D9" s="2"/>
      <c r="E9" s="2"/>
      <c r="F9" s="2"/>
      <c r="G9" s="2"/>
      <c r="H9" s="74"/>
    </row>
    <row r="10" spans="1:8" x14ac:dyDescent="0.25">
      <c r="A10" s="209"/>
      <c r="B10" s="217" t="s">
        <v>4688</v>
      </c>
      <c r="C10" s="218"/>
      <c r="D10" s="217" t="s">
        <v>104</v>
      </c>
      <c r="E10" s="219"/>
      <c r="F10" s="210"/>
      <c r="G10" s="210"/>
      <c r="H10" s="211"/>
    </row>
    <row r="11" spans="1:8" x14ac:dyDescent="0.25">
      <c r="A11" s="73"/>
      <c r="B11" s="215" t="s">
        <v>4689</v>
      </c>
      <c r="C11" s="215"/>
      <c r="D11" s="215"/>
      <c r="E11" s="216"/>
      <c r="F11" s="2"/>
      <c r="G11" s="2"/>
      <c r="H11" s="74"/>
    </row>
    <row r="12" spans="1:8" x14ac:dyDescent="0.25">
      <c r="A12" s="73"/>
      <c r="B12" s="215" t="s">
        <v>4690</v>
      </c>
      <c r="C12" s="215"/>
      <c r="D12" s="215"/>
      <c r="E12" s="216"/>
      <c r="F12" s="2"/>
      <c r="G12" s="2"/>
      <c r="H12" s="74"/>
    </row>
    <row r="13" spans="1:8" x14ac:dyDescent="0.25">
      <c r="A13" s="73"/>
      <c r="B13" s="2"/>
      <c r="C13" s="2"/>
      <c r="D13" s="2"/>
      <c r="E13" s="2"/>
      <c r="F13" s="2"/>
      <c r="G13" s="2"/>
      <c r="H13" s="74"/>
    </row>
    <row r="14" spans="1:8" x14ac:dyDescent="0.25">
      <c r="A14" s="73"/>
      <c r="B14" s="2"/>
      <c r="C14" s="2"/>
      <c r="D14" s="2"/>
      <c r="E14" s="2"/>
      <c r="F14" s="2"/>
      <c r="G14" s="2"/>
      <c r="H14" s="74"/>
    </row>
    <row r="15" spans="1:8" x14ac:dyDescent="0.25">
      <c r="A15" s="73"/>
      <c r="B15" s="2"/>
      <c r="C15" s="2"/>
      <c r="D15" s="2"/>
      <c r="E15" s="2"/>
      <c r="F15" s="2"/>
      <c r="G15" s="2"/>
      <c r="H15" s="74"/>
    </row>
    <row r="16" spans="1:8" x14ac:dyDescent="0.25">
      <c r="A16" s="73"/>
      <c r="B16" s="2"/>
      <c r="C16" s="2"/>
      <c r="D16" s="2"/>
      <c r="E16" s="2"/>
      <c r="F16" s="2"/>
      <c r="G16" s="2"/>
      <c r="H16" s="74"/>
    </row>
    <row r="17" spans="1:8" x14ac:dyDescent="0.25">
      <c r="A17" s="73"/>
      <c r="B17" s="2"/>
      <c r="C17" s="2"/>
      <c r="D17" s="2"/>
      <c r="E17" s="2"/>
      <c r="F17" s="2"/>
      <c r="G17" s="2"/>
      <c r="H17" s="74"/>
    </row>
    <row r="18" spans="1:8" x14ac:dyDescent="0.25">
      <c r="A18" s="73"/>
      <c r="B18" s="2"/>
      <c r="C18" s="2"/>
      <c r="D18" s="2"/>
      <c r="E18" s="2"/>
      <c r="F18" s="2"/>
      <c r="G18" s="2"/>
      <c r="H18" s="74"/>
    </row>
    <row r="19" spans="1:8" x14ac:dyDescent="0.25">
      <c r="A19" s="73"/>
      <c r="B19" s="2"/>
      <c r="C19" s="2"/>
      <c r="D19" s="2"/>
      <c r="E19" s="2"/>
      <c r="F19" s="2"/>
      <c r="G19" s="2"/>
      <c r="H19" s="74"/>
    </row>
    <row r="20" spans="1:8" x14ac:dyDescent="0.25">
      <c r="A20" s="73"/>
      <c r="B20" s="2"/>
      <c r="C20" s="2"/>
      <c r="D20" s="2"/>
      <c r="E20" s="2"/>
      <c r="F20" s="2"/>
      <c r="G20" s="2"/>
      <c r="H20" s="74"/>
    </row>
    <row r="21" spans="1:8" x14ac:dyDescent="0.25">
      <c r="A21" s="73"/>
      <c r="B21" s="2"/>
      <c r="C21" s="2"/>
      <c r="D21" s="2"/>
      <c r="E21" s="2"/>
      <c r="F21" s="2"/>
      <c r="G21" s="2"/>
      <c r="H21" s="74"/>
    </row>
    <row r="22" spans="1:8" x14ac:dyDescent="0.25">
      <c r="A22" s="73"/>
      <c r="B22" s="2"/>
      <c r="C22" s="2"/>
      <c r="D22" s="2"/>
      <c r="E22" s="2"/>
      <c r="F22" s="2"/>
      <c r="G22" s="2"/>
      <c r="H22" s="74"/>
    </row>
    <row r="23" spans="1:8" x14ac:dyDescent="0.25">
      <c r="A23" s="73"/>
      <c r="B23" s="2"/>
      <c r="C23" s="2"/>
      <c r="D23" s="2"/>
      <c r="E23" s="2"/>
      <c r="F23" s="2"/>
      <c r="G23" s="2"/>
      <c r="H23" s="74"/>
    </row>
    <row r="24" spans="1:8" x14ac:dyDescent="0.25">
      <c r="A24" s="73"/>
      <c r="B24" s="2"/>
      <c r="C24" s="2"/>
      <c r="D24" s="2"/>
      <c r="E24" s="2"/>
      <c r="F24" s="2"/>
      <c r="G24" s="2"/>
      <c r="H24" s="74"/>
    </row>
    <row r="25" spans="1:8" x14ac:dyDescent="0.25">
      <c r="A25" s="73"/>
      <c r="B25" s="2"/>
      <c r="C25" s="2"/>
      <c r="D25" s="2"/>
      <c r="E25" s="2"/>
      <c r="F25" s="2"/>
      <c r="G25" s="2"/>
      <c r="H25" s="74"/>
    </row>
    <row r="26" spans="1:8" x14ac:dyDescent="0.25">
      <c r="A26" s="73"/>
      <c r="B26" s="2"/>
      <c r="C26" s="2"/>
      <c r="D26" s="2"/>
      <c r="E26" s="2"/>
      <c r="F26" s="2"/>
      <c r="G26" s="2"/>
      <c r="H26" s="74"/>
    </row>
    <row r="27" spans="1:8" x14ac:dyDescent="0.25">
      <c r="A27" s="73"/>
      <c r="B27" s="2"/>
      <c r="C27" s="2"/>
      <c r="D27" s="2"/>
      <c r="E27" s="2"/>
      <c r="F27" s="2"/>
      <c r="G27" s="2"/>
      <c r="H27" s="74"/>
    </row>
    <row r="28" spans="1:8" x14ac:dyDescent="0.25">
      <c r="A28" s="73"/>
      <c r="B28" s="2"/>
      <c r="C28" s="2"/>
      <c r="D28" s="2"/>
      <c r="E28" s="2"/>
      <c r="F28" s="2"/>
      <c r="G28" s="2"/>
      <c r="H28" s="74"/>
    </row>
    <row r="29" spans="1:8" x14ac:dyDescent="0.25">
      <c r="A29" s="73"/>
      <c r="B29" s="2"/>
      <c r="C29" s="2"/>
      <c r="D29" s="2"/>
      <c r="E29" s="2"/>
      <c r="F29" s="2"/>
      <c r="G29" s="2"/>
      <c r="H29" s="74"/>
    </row>
    <row r="30" spans="1:8" x14ac:dyDescent="0.25">
      <c r="A30" s="209"/>
      <c r="B30" s="217" t="s">
        <v>4688</v>
      </c>
      <c r="C30" s="218"/>
      <c r="D30" s="217" t="s">
        <v>104</v>
      </c>
      <c r="E30" s="219"/>
      <c r="F30" s="210"/>
      <c r="G30" s="210"/>
      <c r="H30" s="211"/>
    </row>
    <row r="31" spans="1:8" x14ac:dyDescent="0.25">
      <c r="A31" s="73"/>
      <c r="B31" s="215" t="s">
        <v>4689</v>
      </c>
      <c r="C31" s="215"/>
      <c r="D31" s="215"/>
      <c r="E31" s="216"/>
      <c r="F31" s="2"/>
      <c r="G31" s="2"/>
      <c r="H31" s="74"/>
    </row>
    <row r="32" spans="1:8" x14ac:dyDescent="0.25">
      <c r="A32" s="73"/>
      <c r="B32" s="215" t="s">
        <v>4690</v>
      </c>
      <c r="C32" s="215"/>
      <c r="D32" s="215"/>
      <c r="E32" s="216"/>
      <c r="F32" s="2"/>
      <c r="G32" s="2"/>
      <c r="H32" s="74"/>
    </row>
    <row r="33" spans="1:8" x14ac:dyDescent="0.25">
      <c r="A33" s="73"/>
      <c r="B33" s="2"/>
      <c r="C33" s="2"/>
      <c r="D33" s="2"/>
      <c r="E33" s="2"/>
      <c r="F33" s="2"/>
      <c r="G33" s="2"/>
      <c r="H33" s="74"/>
    </row>
    <row r="34" spans="1:8" x14ac:dyDescent="0.25">
      <c r="A34" s="73"/>
      <c r="B34" s="2"/>
      <c r="C34" s="2"/>
      <c r="D34" s="2"/>
      <c r="E34" s="2"/>
      <c r="F34" s="2"/>
      <c r="G34" s="2"/>
      <c r="H34" s="74"/>
    </row>
    <row r="35" spans="1:8" x14ac:dyDescent="0.25">
      <c r="A35" s="73"/>
      <c r="B35" s="2"/>
      <c r="C35" s="2"/>
      <c r="D35" s="2"/>
      <c r="E35" s="2"/>
      <c r="F35" s="2"/>
      <c r="G35" s="2"/>
      <c r="H35" s="74"/>
    </row>
    <row r="36" spans="1:8" x14ac:dyDescent="0.25">
      <c r="A36" s="73"/>
      <c r="B36" s="2"/>
      <c r="C36" s="2"/>
      <c r="D36" s="2"/>
      <c r="E36" s="2"/>
      <c r="F36" s="2"/>
      <c r="G36" s="2"/>
      <c r="H36" s="74"/>
    </row>
    <row r="37" spans="1:8" x14ac:dyDescent="0.25">
      <c r="A37" s="73"/>
      <c r="B37" s="2"/>
      <c r="C37" s="2"/>
      <c r="D37" s="2"/>
      <c r="E37" s="2"/>
      <c r="F37" s="2"/>
      <c r="G37" s="2"/>
      <c r="H37" s="74"/>
    </row>
    <row r="38" spans="1:8" x14ac:dyDescent="0.25">
      <c r="A38" s="73"/>
      <c r="B38" s="2"/>
      <c r="C38" s="2"/>
      <c r="D38" s="2"/>
      <c r="E38" s="2"/>
      <c r="F38" s="2"/>
      <c r="G38" s="2"/>
      <c r="H38" s="74"/>
    </row>
    <row r="39" spans="1:8" x14ac:dyDescent="0.25">
      <c r="A39" s="73"/>
      <c r="B39" s="2"/>
      <c r="C39" s="2"/>
      <c r="D39" s="2"/>
      <c r="E39" s="2"/>
      <c r="F39" s="2"/>
      <c r="G39" s="2"/>
      <c r="H39" s="74"/>
    </row>
    <row r="40" spans="1:8" x14ac:dyDescent="0.25">
      <c r="A40" s="73"/>
      <c r="B40" s="2"/>
      <c r="C40" s="2"/>
      <c r="D40" s="2"/>
      <c r="E40" s="2"/>
      <c r="F40" s="2"/>
      <c r="G40" s="2"/>
      <c r="H40" s="74"/>
    </row>
    <row r="41" spans="1:8" x14ac:dyDescent="0.25">
      <c r="A41" s="73"/>
      <c r="B41" s="2"/>
      <c r="C41" s="2"/>
      <c r="D41" s="2"/>
      <c r="E41" s="2"/>
      <c r="F41" s="2"/>
      <c r="G41" s="2"/>
      <c r="H41" s="74"/>
    </row>
    <row r="42" spans="1:8" x14ac:dyDescent="0.25">
      <c r="A42" s="73"/>
      <c r="B42" s="2"/>
      <c r="C42" s="2"/>
      <c r="D42" s="2"/>
      <c r="E42" s="2"/>
      <c r="F42" s="2"/>
      <c r="G42" s="2"/>
      <c r="H42" s="74"/>
    </row>
    <row r="43" spans="1:8" x14ac:dyDescent="0.25">
      <c r="A43" s="73"/>
      <c r="B43" s="2"/>
      <c r="C43" s="2"/>
      <c r="D43" s="2"/>
      <c r="E43" s="2"/>
      <c r="F43" s="2"/>
      <c r="G43" s="2"/>
      <c r="H43" s="74"/>
    </row>
    <row r="44" spans="1:8" x14ac:dyDescent="0.25">
      <c r="A44" s="73"/>
      <c r="B44" s="2"/>
      <c r="C44" s="2"/>
      <c r="D44" s="2"/>
      <c r="E44" s="2"/>
      <c r="F44" s="2"/>
      <c r="G44" s="2"/>
      <c r="H44" s="74"/>
    </row>
    <row r="45" spans="1:8" x14ac:dyDescent="0.25">
      <c r="A45" s="73"/>
      <c r="B45" s="2"/>
      <c r="C45" s="2"/>
      <c r="D45" s="2"/>
      <c r="E45" s="2"/>
      <c r="F45" s="2"/>
      <c r="G45" s="2"/>
      <c r="H45" s="74"/>
    </row>
    <row r="46" spans="1:8" x14ac:dyDescent="0.25">
      <c r="A46" s="73"/>
      <c r="B46" s="2"/>
      <c r="C46" s="2"/>
      <c r="D46" s="2"/>
      <c r="E46" s="2"/>
      <c r="F46" s="2"/>
      <c r="G46" s="2"/>
      <c r="H46" s="74"/>
    </row>
    <row r="47" spans="1:8" x14ac:dyDescent="0.25">
      <c r="A47" s="73"/>
      <c r="B47" s="2"/>
      <c r="C47" s="2"/>
      <c r="D47" s="2"/>
      <c r="E47" s="2"/>
      <c r="F47" s="2"/>
      <c r="G47" s="2"/>
      <c r="H47" s="74"/>
    </row>
    <row r="48" spans="1:8" x14ac:dyDescent="0.25">
      <c r="A48" s="73"/>
      <c r="B48" s="2"/>
      <c r="C48" s="2"/>
      <c r="D48" s="2"/>
      <c r="E48" s="2"/>
      <c r="F48" s="2"/>
      <c r="G48" s="2"/>
      <c r="H48" s="74"/>
    </row>
    <row r="49" spans="1:8" x14ac:dyDescent="0.25">
      <c r="A49" s="220"/>
      <c r="B49" s="212" t="s">
        <v>4687</v>
      </c>
      <c r="C49" s="213"/>
      <c r="D49" s="212"/>
      <c r="E49" s="214"/>
      <c r="F49" s="221"/>
      <c r="G49" s="222"/>
      <c r="H49" s="223"/>
    </row>
    <row r="50" spans="1:8" x14ac:dyDescent="0.25">
      <c r="A50" s="220"/>
      <c r="B50" s="212"/>
      <c r="C50" s="213"/>
      <c r="D50" s="212"/>
      <c r="E50" s="214"/>
      <c r="F50" s="221"/>
      <c r="G50" s="222"/>
      <c r="H50" s="223"/>
    </row>
    <row r="51" spans="1:8" ht="18" x14ac:dyDescent="0.25">
      <c r="A51" s="171"/>
      <c r="B51" s="158" t="s">
        <v>4691</v>
      </c>
      <c r="C51" s="215"/>
      <c r="D51" s="215"/>
      <c r="E51" s="216"/>
      <c r="F51" s="215"/>
      <c r="G51" s="224"/>
      <c r="H51" s="225"/>
    </row>
    <row r="52" spans="1:8" x14ac:dyDescent="0.25">
      <c r="A52" s="171"/>
      <c r="B52" s="215" t="s">
        <v>4692</v>
      </c>
      <c r="C52" s="215"/>
      <c r="D52" s="215"/>
      <c r="E52" s="216"/>
      <c r="F52" s="215"/>
      <c r="G52" s="224"/>
      <c r="H52" s="225"/>
    </row>
    <row r="53" spans="1:8" x14ac:dyDescent="0.25">
      <c r="A53" s="171"/>
      <c r="B53" s="215" t="s">
        <v>4693</v>
      </c>
      <c r="C53" s="215"/>
      <c r="D53" s="215"/>
      <c r="E53" s="216"/>
      <c r="F53" s="215"/>
      <c r="G53" s="224"/>
      <c r="H53" s="225"/>
    </row>
    <row r="54" spans="1:8" x14ac:dyDescent="0.25">
      <c r="A54" s="171"/>
      <c r="B54" s="212" t="s">
        <v>4694</v>
      </c>
      <c r="C54" s="215"/>
      <c r="D54" s="215"/>
      <c r="E54" s="216"/>
      <c r="F54" s="215"/>
      <c r="G54" s="224"/>
      <c r="H54" s="225"/>
    </row>
    <row r="55" spans="1:8" x14ac:dyDescent="0.25">
      <c r="A55" s="171"/>
      <c r="B55" s="226"/>
      <c r="C55" s="215"/>
      <c r="D55" s="215"/>
      <c r="E55" s="216"/>
      <c r="F55" s="215"/>
      <c r="G55" s="224"/>
      <c r="H55" s="225"/>
    </row>
    <row r="56" spans="1:8" x14ac:dyDescent="0.25">
      <c r="A56" s="44"/>
      <c r="B56" s="45"/>
      <c r="C56" s="45"/>
      <c r="D56" s="46"/>
      <c r="E56" s="47"/>
      <c r="F56" s="48"/>
      <c r="G56" s="48"/>
      <c r="H56" s="49"/>
    </row>
    <row r="57" spans="1:8" x14ac:dyDescent="0.25">
      <c r="A57" s="50"/>
      <c r="B57" s="51"/>
      <c r="C57" s="52"/>
      <c r="D57" s="511" t="s">
        <v>33</v>
      </c>
      <c r="E57" s="511"/>
      <c r="F57" s="53"/>
      <c r="G57" s="53"/>
      <c r="H57" s="54"/>
    </row>
    <row r="58" spans="1:8" x14ac:dyDescent="0.25">
      <c r="A58" s="50"/>
      <c r="B58" s="51"/>
      <c r="C58" s="512" t="s">
        <v>34</v>
      </c>
      <c r="D58" s="512"/>
      <c r="E58" s="512"/>
      <c r="F58" s="512"/>
      <c r="G58" s="53"/>
      <c r="H58" s="54"/>
    </row>
    <row r="59" spans="1:8" x14ac:dyDescent="0.25">
      <c r="A59" s="50"/>
      <c r="B59" s="51"/>
      <c r="C59" s="513" t="str">
        <f>F4&amp;" "&amp;G4</f>
        <v>CAU-SP Nº A 116.079-6</v>
      </c>
      <c r="D59" s="513"/>
      <c r="E59" s="513"/>
      <c r="F59" s="513"/>
      <c r="G59" s="53"/>
      <c r="H59" s="54"/>
    </row>
    <row r="60" spans="1:8" x14ac:dyDescent="0.25">
      <c r="A60" s="55"/>
      <c r="B60" s="56"/>
      <c r="C60" s="514" t="str">
        <f>$F$5&amp;" "&amp;$G$5</f>
        <v>RRT Nº 4774233</v>
      </c>
      <c r="D60" s="514"/>
      <c r="E60" s="514"/>
      <c r="F60" s="514"/>
      <c r="G60" s="57"/>
      <c r="H60" s="58"/>
    </row>
    <row r="61" spans="1:8" x14ac:dyDescent="0.25">
      <c r="A61" s="75"/>
      <c r="B61" s="59"/>
      <c r="C61" s="59"/>
      <c r="D61" s="515"/>
      <c r="E61" s="515"/>
      <c r="F61" s="60"/>
      <c r="G61" s="60"/>
      <c r="H61" s="76"/>
    </row>
    <row r="62" spans="1:8" x14ac:dyDescent="0.25">
      <c r="A62" s="78"/>
      <c r="B62" s="79"/>
      <c r="C62" s="79"/>
      <c r="D62" s="79"/>
      <c r="E62" s="80"/>
      <c r="F62" s="81"/>
      <c r="G62" s="81"/>
      <c r="H62" s="82"/>
    </row>
    <row r="63" spans="1:8" x14ac:dyDescent="0.25">
      <c r="F63" s="64"/>
      <c r="G63" s="64"/>
      <c r="H63" s="64"/>
    </row>
    <row r="64" spans="1:8" x14ac:dyDescent="0.25">
      <c r="F64" s="64"/>
      <c r="G64" s="64"/>
      <c r="H64" s="64"/>
    </row>
    <row r="65" spans="6:8" x14ac:dyDescent="0.25">
      <c r="F65" s="64"/>
      <c r="G65" s="64"/>
      <c r="H65" s="64"/>
    </row>
    <row r="66" spans="6:8" x14ac:dyDescent="0.25">
      <c r="F66" s="64"/>
      <c r="G66" s="64"/>
      <c r="H66" s="64"/>
    </row>
    <row r="67" spans="6:8" x14ac:dyDescent="0.25">
      <c r="F67" s="64"/>
      <c r="G67" s="64"/>
      <c r="H67" s="64"/>
    </row>
  </sheetData>
  <mergeCells count="5">
    <mergeCell ref="D57:E57"/>
    <mergeCell ref="C58:F58"/>
    <mergeCell ref="C59:F59"/>
    <mergeCell ref="C60:F60"/>
    <mergeCell ref="D61:E61"/>
  </mergeCells>
  <printOptions horizontalCentered="1"/>
  <pageMargins left="1.1811023622047245" right="0.59055118110236227" top="0.78740157480314965" bottom="0.78740157480314965" header="0.31496062992125984" footer="0.31496062992125984"/>
  <pageSetup paperSize="9" scale="4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15" sqref="B15"/>
    </sheetView>
  </sheetViews>
  <sheetFormatPr defaultRowHeight="15" x14ac:dyDescent="0.25"/>
  <cols>
    <col min="1" max="1" width="12.42578125" bestFit="1" customWidth="1"/>
    <col min="2" max="2" width="14.28515625" bestFit="1" customWidth="1"/>
  </cols>
  <sheetData>
    <row r="1" spans="1:2" x14ac:dyDescent="0.25">
      <c r="A1" s="97" t="s">
        <v>5463</v>
      </c>
      <c r="B1" s="320">
        <f>'PO-SEDE'!H405</f>
        <v>3549143.1814199993</v>
      </c>
    </row>
    <row r="2" spans="1:2" x14ac:dyDescent="0.25">
      <c r="A2" s="97" t="s">
        <v>5464</v>
      </c>
      <c r="B2" s="320" t="e">
        <f>#REF!</f>
        <v>#REF!</v>
      </c>
    </row>
    <row r="3" spans="1:2" x14ac:dyDescent="0.25">
      <c r="A3" s="97" t="s">
        <v>5465</v>
      </c>
      <c r="B3" s="320" t="e">
        <f>#REF!</f>
        <v>#REF!</v>
      </c>
    </row>
    <row r="4" spans="1:2" x14ac:dyDescent="0.25">
      <c r="A4" s="97" t="s">
        <v>5466</v>
      </c>
      <c r="B4" s="320" t="e">
        <f>#REF!</f>
        <v>#REF!</v>
      </c>
    </row>
    <row r="5" spans="1:2" x14ac:dyDescent="0.25">
      <c r="A5" s="97" t="s">
        <v>4756</v>
      </c>
      <c r="B5" s="345" t="e">
        <f>SUM(B1:B4)</f>
        <v>#REF!</v>
      </c>
    </row>
    <row r="6" spans="1:2" x14ac:dyDescent="0.25">
      <c r="A6" s="97" t="s">
        <v>5527</v>
      </c>
      <c r="B6" s="345">
        <v>10240874.079999998</v>
      </c>
    </row>
    <row r="7" spans="1:2" x14ac:dyDescent="0.25">
      <c r="A7" s="97" t="s">
        <v>5523</v>
      </c>
      <c r="B7" s="320" t="e">
        <f>B5-B6</f>
        <v>#REF!</v>
      </c>
    </row>
  </sheetData>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50" zoomScaleNormal="50" workbookViewId="0">
      <selection sqref="A1:XFD1048576"/>
    </sheetView>
  </sheetViews>
  <sheetFormatPr defaultRowHeight="15" x14ac:dyDescent="0.25"/>
  <cols>
    <col min="1" max="1" width="7.7109375" style="436" customWidth="1"/>
    <col min="2" max="2" width="16.7109375" style="62" customWidth="1"/>
    <col min="3" max="3" width="15.7109375" style="62" customWidth="1"/>
    <col min="4" max="4" width="65.5703125" style="62" customWidth="1"/>
    <col min="5" max="5" width="25.5703125" style="62" customWidth="1"/>
    <col min="6" max="6" width="24.140625" style="62" customWidth="1"/>
    <col min="7" max="11" width="20.7109375" style="62" customWidth="1"/>
    <col min="12" max="12" width="24.42578125" style="62" customWidth="1"/>
    <col min="13" max="13" width="20.7109375" style="62" customWidth="1"/>
    <col min="14" max="14" width="20.7109375" style="466" customWidth="1"/>
    <col min="16" max="16" width="14" bestFit="1" customWidth="1"/>
    <col min="17" max="18" width="17.7109375" bestFit="1" customWidth="1"/>
  </cols>
  <sheetData>
    <row r="1" spans="1:14" x14ac:dyDescent="0.25">
      <c r="A1" s="44"/>
      <c r="B1" s="45"/>
      <c r="C1" s="45"/>
      <c r="D1" s="45"/>
      <c r="E1" s="45"/>
      <c r="F1" s="45"/>
      <c r="G1" s="45"/>
      <c r="H1" s="45"/>
      <c r="I1" s="45"/>
      <c r="J1" s="45"/>
      <c r="K1" s="45"/>
      <c r="L1" s="45"/>
      <c r="M1" s="45"/>
      <c r="N1" s="443"/>
    </row>
    <row r="2" spans="1:14" ht="37.5" x14ac:dyDescent="0.25">
      <c r="A2" s="66"/>
      <c r="B2" s="67"/>
      <c r="C2" s="67"/>
      <c r="D2" s="77" t="s">
        <v>35</v>
      </c>
      <c r="E2" s="77"/>
      <c r="F2" s="77"/>
      <c r="G2" s="77"/>
      <c r="H2" s="77"/>
      <c r="I2" s="83" t="s">
        <v>0</v>
      </c>
      <c r="J2" s="91"/>
      <c r="K2" s="77"/>
      <c r="L2" s="83" t="s">
        <v>0</v>
      </c>
      <c r="M2" s="91"/>
      <c r="N2" s="444"/>
    </row>
    <row r="3" spans="1:14" ht="18.75" x14ac:dyDescent="0.25">
      <c r="A3" s="66"/>
      <c r="B3" s="67"/>
      <c r="C3" s="67"/>
      <c r="D3" s="68" t="s">
        <v>36</v>
      </c>
      <c r="E3" s="68"/>
      <c r="F3" s="68"/>
      <c r="G3" s="68"/>
      <c r="H3" s="68"/>
      <c r="I3" s="83" t="s">
        <v>1</v>
      </c>
      <c r="J3" s="91" t="s">
        <v>3</v>
      </c>
      <c r="K3" s="68"/>
      <c r="L3" s="83" t="s">
        <v>1</v>
      </c>
      <c r="M3" s="91" t="s">
        <v>3</v>
      </c>
      <c r="N3" s="444"/>
    </row>
    <row r="4" spans="1:14" ht="18.75" x14ac:dyDescent="0.25">
      <c r="A4" s="66"/>
      <c r="B4" s="67"/>
      <c r="C4" s="67"/>
      <c r="D4" s="68" t="s">
        <v>5457</v>
      </c>
      <c r="E4" s="68"/>
      <c r="F4" s="68"/>
      <c r="G4" s="68"/>
      <c r="H4" s="68"/>
      <c r="I4" s="83" t="s">
        <v>5</v>
      </c>
      <c r="J4" s="92" t="s">
        <v>7</v>
      </c>
      <c r="K4" s="68"/>
      <c r="L4" s="83" t="s">
        <v>5</v>
      </c>
      <c r="M4" s="92" t="s">
        <v>7</v>
      </c>
      <c r="N4" s="445"/>
    </row>
    <row r="5" spans="1:14" ht="18.75" x14ac:dyDescent="0.25">
      <c r="A5" s="66"/>
      <c r="B5" s="67"/>
      <c r="C5" s="67"/>
      <c r="D5" s="68" t="s">
        <v>5472</v>
      </c>
      <c r="E5" s="68"/>
      <c r="F5" s="68"/>
      <c r="G5" s="68"/>
      <c r="H5" s="68"/>
      <c r="I5" s="83" t="s">
        <v>8</v>
      </c>
      <c r="J5" s="93">
        <v>42309</v>
      </c>
      <c r="K5" s="68"/>
      <c r="L5" s="83" t="s">
        <v>8</v>
      </c>
      <c r="M5" s="93">
        <v>42309</v>
      </c>
      <c r="N5" s="446"/>
    </row>
    <row r="6" spans="1:14" ht="18.75" x14ac:dyDescent="0.25">
      <c r="A6" s="50"/>
      <c r="B6" s="51"/>
      <c r="C6" s="51"/>
      <c r="D6" s="77" t="s">
        <v>5473</v>
      </c>
      <c r="E6" s="77"/>
      <c r="F6" s="77"/>
      <c r="G6" s="77"/>
      <c r="H6" s="77"/>
      <c r="I6" s="51"/>
      <c r="J6" s="315" t="s">
        <v>4401</v>
      </c>
      <c r="K6" s="77"/>
      <c r="L6" s="51"/>
      <c r="M6" s="315" t="s">
        <v>4401</v>
      </c>
      <c r="N6" s="447"/>
    </row>
    <row r="7" spans="1:14" ht="18.75" x14ac:dyDescent="0.25">
      <c r="A7" s="251"/>
      <c r="B7" s="252"/>
      <c r="C7" s="252"/>
      <c r="D7" s="391"/>
      <c r="E7" s="391"/>
      <c r="F7" s="391"/>
      <c r="G7" s="391"/>
      <c r="H7" s="391"/>
      <c r="I7" s="391"/>
      <c r="J7" s="391"/>
      <c r="K7" s="391"/>
      <c r="L7" s="391"/>
      <c r="M7" s="391"/>
      <c r="N7" s="448"/>
    </row>
    <row r="8" spans="1:14" ht="18.75" x14ac:dyDescent="0.25">
      <c r="A8" s="50"/>
      <c r="B8" s="51"/>
      <c r="C8" s="51"/>
      <c r="D8" s="77"/>
      <c r="E8" s="516" t="s">
        <v>5474</v>
      </c>
      <c r="F8" s="516" t="s">
        <v>5475</v>
      </c>
      <c r="G8" s="516" t="s">
        <v>5480</v>
      </c>
      <c r="H8" s="390">
        <v>1</v>
      </c>
      <c r="I8" s="390">
        <v>2</v>
      </c>
      <c r="J8" s="390">
        <v>3</v>
      </c>
      <c r="K8" s="390">
        <v>4</v>
      </c>
      <c r="L8" s="390">
        <v>5</v>
      </c>
      <c r="M8" s="390">
        <v>6</v>
      </c>
      <c r="N8" s="449" t="s">
        <v>4756</v>
      </c>
    </row>
    <row r="9" spans="1:14" ht="18.75" x14ac:dyDescent="0.25">
      <c r="A9" s="50"/>
      <c r="B9" s="51"/>
      <c r="C9" s="51"/>
      <c r="D9" s="77"/>
      <c r="E9" s="517"/>
      <c r="F9" s="517"/>
      <c r="G9" s="517"/>
      <c r="H9" s="435" t="s">
        <v>5479</v>
      </c>
      <c r="I9" s="435" t="s">
        <v>5479</v>
      </c>
      <c r="J9" s="435" t="s">
        <v>5479</v>
      </c>
      <c r="K9" s="435" t="s">
        <v>5479</v>
      </c>
      <c r="L9" s="435" t="s">
        <v>5479</v>
      </c>
      <c r="M9" s="435" t="s">
        <v>5479</v>
      </c>
      <c r="N9" s="450" t="s">
        <v>5481</v>
      </c>
    </row>
    <row r="10" spans="1:14" ht="24.95" customHeight="1" x14ac:dyDescent="0.25">
      <c r="A10" s="356"/>
      <c r="B10" s="357" t="s">
        <v>4777</v>
      </c>
      <c r="C10" s="358"/>
      <c r="D10" s="359"/>
      <c r="E10" s="360">
        <f>'PO-SEDE'!H13</f>
        <v>199154.69</v>
      </c>
      <c r="F10" s="361">
        <f>E10</f>
        <v>199154.69</v>
      </c>
      <c r="G10" s="440">
        <f>F10/F37</f>
        <v>5.6113456377953785E-2</v>
      </c>
      <c r="H10" s="467">
        <f>F10/6</f>
        <v>33192.448333333334</v>
      </c>
      <c r="I10" s="468">
        <f>F10/6</f>
        <v>33192.448333333334</v>
      </c>
      <c r="J10" s="468">
        <f>F10/6</f>
        <v>33192.448333333334</v>
      </c>
      <c r="K10" s="468">
        <f>F10/6</f>
        <v>33192.448333333334</v>
      </c>
      <c r="L10" s="468">
        <f>F10/6</f>
        <v>33192.448333333334</v>
      </c>
      <c r="M10" s="468">
        <f>F10/6</f>
        <v>33192.448333333334</v>
      </c>
      <c r="N10" s="451">
        <f>(M10+L10+K10+J10+I10+H10)/F10</f>
        <v>1</v>
      </c>
    </row>
    <row r="11" spans="1:14" ht="5.0999999999999996" customHeight="1" x14ac:dyDescent="0.25">
      <c r="A11" s="297"/>
      <c r="B11" s="362"/>
      <c r="C11" s="363"/>
      <c r="D11" s="364"/>
      <c r="E11" s="365"/>
      <c r="F11" s="366"/>
      <c r="G11" s="366"/>
      <c r="H11" s="469"/>
      <c r="I11" s="469"/>
      <c r="J11" s="469"/>
      <c r="K11" s="469"/>
      <c r="L11" s="469"/>
      <c r="M11" s="469"/>
      <c r="N11" s="452"/>
    </row>
    <row r="12" spans="1:14" ht="24.95" customHeight="1" x14ac:dyDescent="0.25">
      <c r="A12" s="347"/>
      <c r="B12" s="348" t="str">
        <f>'PO-SEDE'!B22</f>
        <v>CANTEIRO DE OBRAS</v>
      </c>
      <c r="C12" s="349"/>
      <c r="D12" s="350"/>
      <c r="E12" s="368">
        <f>'PO-SEDE'!H22</f>
        <v>22591.54</v>
      </c>
      <c r="F12" s="368">
        <f>TRUNC(E12*(1+'BDI Obras'!$D$44),3)</f>
        <v>29669.469000000001</v>
      </c>
      <c r="G12" s="382">
        <f>F12/F37</f>
        <v>8.3596146015368876E-3</v>
      </c>
      <c r="H12" s="473">
        <f>F12/2</f>
        <v>14834.7345</v>
      </c>
      <c r="I12" s="470"/>
      <c r="J12" s="470"/>
      <c r="K12" s="470"/>
      <c r="L12" s="470"/>
      <c r="M12" s="473">
        <f>F12/2</f>
        <v>14834.7345</v>
      </c>
      <c r="N12" s="453">
        <f>(M12+L12+K12+J12+I12+H12)/F12</f>
        <v>1</v>
      </c>
    </row>
    <row r="13" spans="1:14" ht="24.95" customHeight="1" x14ac:dyDescent="0.25">
      <c r="A13" s="347"/>
      <c r="B13" s="348" t="str">
        <f>'PO-SEDE'!B32</f>
        <v>LAYOUT PROVISÓRIO</v>
      </c>
      <c r="C13" s="349"/>
      <c r="D13" s="350"/>
      <c r="E13" s="368">
        <f>'PO-SEDE'!H32</f>
        <v>17125.740000000002</v>
      </c>
      <c r="F13" s="368">
        <f>TRUNC(E13*(1+'BDI Obras'!$D$44),3)</f>
        <v>22491.234</v>
      </c>
      <c r="G13" s="382">
        <f>F13/F37</f>
        <v>6.3370884107492075E-3</v>
      </c>
      <c r="H13" s="473">
        <f>F13</f>
        <v>22491.234</v>
      </c>
      <c r="I13" s="470"/>
      <c r="J13" s="470"/>
      <c r="K13" s="470"/>
      <c r="L13" s="470"/>
      <c r="M13" s="470"/>
      <c r="N13" s="453">
        <f t="shared" ref="N13:N34" si="0">(M13+L13+K13+J13+I13+H13)/F13</f>
        <v>1</v>
      </c>
    </row>
    <row r="14" spans="1:14" ht="24.75" customHeight="1" x14ac:dyDescent="0.25">
      <c r="A14" s="347"/>
      <c r="B14" s="348" t="str">
        <f>'PO-SEDE'!B45</f>
        <v>DEMOLIÇÕES E REMOÇÕES</v>
      </c>
      <c r="C14" s="349"/>
      <c r="D14" s="350"/>
      <c r="E14" s="368">
        <f>'PO-SEDE'!H45</f>
        <v>14918.48</v>
      </c>
      <c r="F14" s="368">
        <f>TRUNC(E14*(1+'BDI Obras'!$D$44),3)</f>
        <v>19592.438999999998</v>
      </c>
      <c r="G14" s="382">
        <f>F14/F37</f>
        <v>5.5203293036393992E-3</v>
      </c>
      <c r="H14" s="473"/>
      <c r="I14" s="473">
        <f>F14</f>
        <v>19592.438999999998</v>
      </c>
      <c r="J14" s="470"/>
      <c r="K14" s="470"/>
      <c r="L14" s="470"/>
      <c r="M14" s="470"/>
      <c r="N14" s="453">
        <f t="shared" si="0"/>
        <v>1</v>
      </c>
    </row>
    <row r="15" spans="1:14" ht="24.95" customHeight="1" x14ac:dyDescent="0.25">
      <c r="A15" s="347"/>
      <c r="B15" s="348" t="str">
        <f>'PO-SEDE'!B53</f>
        <v>LIMPEZA DO TERRENO</v>
      </c>
      <c r="C15" s="349"/>
      <c r="D15" s="350"/>
      <c r="E15" s="368">
        <f>'PO-SEDE'!H53</f>
        <v>25746.38</v>
      </c>
      <c r="F15" s="368">
        <f>TRUNC(E15*(1+'BDI Obras'!$D$44),3)</f>
        <v>33812.720000000001</v>
      </c>
      <c r="G15" s="382">
        <f>F15/F37</f>
        <v>9.5270093249622476E-3</v>
      </c>
      <c r="H15" s="473">
        <f>F15</f>
        <v>33812.720000000001</v>
      </c>
      <c r="I15" s="470"/>
      <c r="J15" s="470"/>
      <c r="K15" s="470"/>
      <c r="L15" s="470"/>
      <c r="M15" s="470"/>
      <c r="N15" s="453">
        <f t="shared" si="0"/>
        <v>1</v>
      </c>
    </row>
    <row r="16" spans="1:14" ht="24.95" customHeight="1" x14ac:dyDescent="0.25">
      <c r="A16" s="347"/>
      <c r="B16" s="348" t="str">
        <f>'PO-SEDE'!B58</f>
        <v>LOCAÇÃO DE OBRA</v>
      </c>
      <c r="C16" s="349"/>
      <c r="D16" s="350"/>
      <c r="E16" s="368">
        <f>'PO-SEDE'!H58</f>
        <v>3124.8</v>
      </c>
      <c r="F16" s="368">
        <f>TRUNC(E16*(1+'BDI Obras'!$D$44),3)</f>
        <v>4103.799</v>
      </c>
      <c r="G16" s="382">
        <f>F16/F37</f>
        <v>1.1562788010183961E-3</v>
      </c>
      <c r="H16" s="473">
        <f>F16</f>
        <v>4103.799</v>
      </c>
      <c r="I16" s="470"/>
      <c r="J16" s="470"/>
      <c r="K16" s="470"/>
      <c r="L16" s="470"/>
      <c r="M16" s="470"/>
      <c r="N16" s="453">
        <f t="shared" si="0"/>
        <v>1</v>
      </c>
    </row>
    <row r="17" spans="1:14" ht="24.95" customHeight="1" x14ac:dyDescent="0.25">
      <c r="A17" s="347"/>
      <c r="B17" s="348" t="str">
        <f>'PO-SEDE'!B62</f>
        <v>TERRAPLENAGEM</v>
      </c>
      <c r="C17" s="349"/>
      <c r="D17" s="350"/>
      <c r="E17" s="368">
        <f>'PO-SEDE'!H62</f>
        <v>1550.3</v>
      </c>
      <c r="F17" s="368">
        <f>TRUNC(E17*(1+'BDI Obras'!$D$44),3)</f>
        <v>2036.008</v>
      </c>
      <c r="G17" s="382">
        <f>F17/F37</f>
        <v>5.7366184091956331E-4</v>
      </c>
      <c r="H17" s="473"/>
      <c r="I17" s="473">
        <f>F17</f>
        <v>2036.008</v>
      </c>
      <c r="J17" s="470"/>
      <c r="K17" s="470"/>
      <c r="L17" s="470"/>
      <c r="M17" s="470"/>
      <c r="N17" s="453">
        <f t="shared" si="0"/>
        <v>1</v>
      </c>
    </row>
    <row r="18" spans="1:14" ht="24.95" customHeight="1" x14ac:dyDescent="0.25">
      <c r="A18" s="347"/>
      <c r="B18" s="348" t="str">
        <f>'PO-SEDE'!B68</f>
        <v>DRENAGEM</v>
      </c>
      <c r="C18" s="349"/>
      <c r="D18" s="350"/>
      <c r="E18" s="368">
        <f>'PO-SEDE'!H68</f>
        <v>18479.25</v>
      </c>
      <c r="F18" s="368">
        <f>TRUNC(E18*(1+'BDI Obras'!$D$44),3)</f>
        <v>24268.798999999999</v>
      </c>
      <c r="G18" s="382">
        <f>F18/F37</f>
        <v>6.8379318309391987E-3</v>
      </c>
      <c r="H18" s="473"/>
      <c r="I18" s="473">
        <f>F18</f>
        <v>24268.798999999999</v>
      </c>
      <c r="J18" s="470"/>
      <c r="K18" s="470"/>
      <c r="L18" s="470"/>
      <c r="M18" s="470"/>
      <c r="N18" s="453">
        <f t="shared" si="0"/>
        <v>1</v>
      </c>
    </row>
    <row r="19" spans="1:14" ht="24.95" customHeight="1" x14ac:dyDescent="0.25">
      <c r="A19" s="347"/>
      <c r="B19" s="348" t="str">
        <f>'PO-SEDE'!B80</f>
        <v>PAVIMENTAÇÃO</v>
      </c>
      <c r="C19" s="349"/>
      <c r="D19" s="350"/>
      <c r="E19" s="368">
        <f>'PO-SEDE'!H80</f>
        <v>2408.09</v>
      </c>
      <c r="F19" s="368">
        <f>TRUNC(E19*(1+'BDI Obras'!$D$44),3)</f>
        <v>3162.5439999999999</v>
      </c>
      <c r="G19" s="382">
        <f>F19/F37</f>
        <v>8.9107253656622138E-4</v>
      </c>
      <c r="H19" s="470"/>
      <c r="I19" s="470"/>
      <c r="J19" s="470"/>
      <c r="K19" s="473"/>
      <c r="L19" s="473">
        <f>F19</f>
        <v>3162.5439999999999</v>
      </c>
      <c r="M19" s="470"/>
      <c r="N19" s="453">
        <f t="shared" si="0"/>
        <v>1</v>
      </c>
    </row>
    <row r="20" spans="1:14" ht="24.95" customHeight="1" x14ac:dyDescent="0.25">
      <c r="A20" s="347"/>
      <c r="B20" s="348" t="str">
        <f>'PO-SEDE'!B90</f>
        <v>ESTRUTURAS DE CONCRETO</v>
      </c>
      <c r="C20" s="349"/>
      <c r="D20" s="350"/>
      <c r="E20" s="368">
        <f>'PO-SEDE'!H90</f>
        <v>76626.2</v>
      </c>
      <c r="F20" s="368">
        <f>TRUNC(E20*(1+'BDI Obras'!$D$44),3)</f>
        <v>100633.18799999999</v>
      </c>
      <c r="G20" s="382">
        <f>F20/F37</f>
        <v>2.8354220555952873E-2</v>
      </c>
      <c r="H20" s="470"/>
      <c r="I20" s="470"/>
      <c r="J20" s="473"/>
      <c r="K20" s="473"/>
      <c r="L20" s="473">
        <f>F20</f>
        <v>100633.18799999999</v>
      </c>
      <c r="M20" s="470"/>
      <c r="N20" s="453">
        <f t="shared" si="0"/>
        <v>1</v>
      </c>
    </row>
    <row r="21" spans="1:14" ht="24.95" customHeight="1" x14ac:dyDescent="0.25">
      <c r="A21" s="347"/>
      <c r="B21" s="348" t="str">
        <f>'PO-SEDE'!B112</f>
        <v>ESTRUTURAS DE MADEIRA</v>
      </c>
      <c r="C21" s="349"/>
      <c r="D21" s="350"/>
      <c r="E21" s="368">
        <f>'PO-SEDE'!H112</f>
        <v>870543.15</v>
      </c>
      <c r="F21" s="368">
        <f>TRUNC(E21*(1+'BDI Obras'!$D$44),3)</f>
        <v>1143284.318</v>
      </c>
      <c r="G21" s="382">
        <f>F21/F37</f>
        <v>0.32212967068810505</v>
      </c>
      <c r="H21" s="470"/>
      <c r="I21" s="470"/>
      <c r="J21" s="473"/>
      <c r="K21" s="473"/>
      <c r="L21" s="473">
        <f>F21</f>
        <v>1143284.318</v>
      </c>
      <c r="M21" s="470"/>
      <c r="N21" s="453">
        <f t="shared" si="0"/>
        <v>1</v>
      </c>
    </row>
    <row r="22" spans="1:14" ht="24.95" customHeight="1" x14ac:dyDescent="0.25">
      <c r="A22" s="347"/>
      <c r="B22" s="348" t="str">
        <f>'PO-SEDE'!B135</f>
        <v>COBERTURA</v>
      </c>
      <c r="C22" s="349"/>
      <c r="D22" s="350"/>
      <c r="E22" s="368">
        <f>'PO-SEDE'!H135</f>
        <v>83434.440000000017</v>
      </c>
      <c r="F22" s="368">
        <f>TRUNC(E22*(1+'BDI Obras'!$D$44),3)</f>
        <v>109574.45</v>
      </c>
      <c r="G22" s="382">
        <f>F22/F37</f>
        <v>3.0873493966992585E-2</v>
      </c>
      <c r="H22" s="470"/>
      <c r="I22" s="470"/>
      <c r="J22" s="470"/>
      <c r="K22" s="473"/>
      <c r="L22" s="473">
        <f>F22</f>
        <v>109574.45</v>
      </c>
      <c r="M22" s="470"/>
      <c r="N22" s="453">
        <f t="shared" si="0"/>
        <v>1</v>
      </c>
    </row>
    <row r="23" spans="1:14" ht="24.95" customHeight="1" x14ac:dyDescent="0.25">
      <c r="A23" s="347"/>
      <c r="B23" s="348" t="str">
        <f>'PO-SEDE'!B119</f>
        <v>CAIXILHOS E ESQUADRIAS</v>
      </c>
      <c r="C23" s="349"/>
      <c r="D23" s="350"/>
      <c r="E23" s="368">
        <f>'PO-SEDE'!H119</f>
        <v>390144.86</v>
      </c>
      <c r="F23" s="368">
        <f>TRUNC(E23*(1+'BDI Obras'!$D$44),3)</f>
        <v>512377.24400000001</v>
      </c>
      <c r="G23" s="382">
        <f>F23/F37</f>
        <v>0.14436646272427822</v>
      </c>
      <c r="H23" s="470"/>
      <c r="I23" s="470"/>
      <c r="J23" s="470"/>
      <c r="K23" s="473"/>
      <c r="L23" s="473"/>
      <c r="M23" s="473">
        <f>F23</f>
        <v>512377.24400000001</v>
      </c>
      <c r="N23" s="453">
        <f t="shared" si="0"/>
        <v>1</v>
      </c>
    </row>
    <row r="24" spans="1:14" ht="24.75" customHeight="1" x14ac:dyDescent="0.25">
      <c r="A24" s="347"/>
      <c r="B24" s="348" t="s">
        <v>5547</v>
      </c>
      <c r="C24" s="349"/>
      <c r="D24" s="350"/>
      <c r="E24" s="368">
        <f>'PO-SEDE'!H153+'PO-SEDE'!H158+'PO-SEDE'!H146</f>
        <v>172143.75</v>
      </c>
      <c r="F24" s="368">
        <f>TRUNC(E24*(1+'BDI Obras'!$D$44),3)</f>
        <v>226076.386</v>
      </c>
      <c r="G24" s="382">
        <f>F24/F37</f>
        <v>6.3698863551224644E-2</v>
      </c>
      <c r="H24" s="470"/>
      <c r="I24" s="470"/>
      <c r="J24" s="470"/>
      <c r="K24" s="470"/>
      <c r="L24" s="473"/>
      <c r="M24" s="473">
        <f>F24</f>
        <v>226076.386</v>
      </c>
      <c r="N24" s="453">
        <f t="shared" si="0"/>
        <v>1</v>
      </c>
    </row>
    <row r="25" spans="1:14" ht="24.95" customHeight="1" x14ac:dyDescent="0.25">
      <c r="A25" s="347"/>
      <c r="B25" s="348" t="str">
        <f>'PO-SEDE'!B162</f>
        <v>GRADIS E CORRIMÃOS</v>
      </c>
      <c r="C25" s="349"/>
      <c r="D25" s="350"/>
      <c r="E25" s="368">
        <f>'PO-SEDE'!H162</f>
        <v>44023.1</v>
      </c>
      <c r="F25" s="368">
        <f>TRUNC(E25*(1+'BDI Obras'!$D$44),3)</f>
        <v>57815.536999999997</v>
      </c>
      <c r="G25" s="382">
        <f>F25/F37</f>
        <v>1.6289998560503258E-2</v>
      </c>
      <c r="H25" s="470"/>
      <c r="I25" s="470"/>
      <c r="J25" s="470"/>
      <c r="K25" s="470"/>
      <c r="L25" s="473"/>
      <c r="M25" s="473">
        <f>F25</f>
        <v>57815.536999999997</v>
      </c>
      <c r="N25" s="453">
        <f t="shared" si="0"/>
        <v>1</v>
      </c>
    </row>
    <row r="26" spans="1:14" ht="24.95" customHeight="1" x14ac:dyDescent="0.25">
      <c r="A26" s="347"/>
      <c r="B26" s="348" t="str">
        <f>'PO-SEDE'!B167</f>
        <v>COMUNICAÇÃO VISUAL</v>
      </c>
      <c r="C26" s="349"/>
      <c r="D26" s="350"/>
      <c r="E26" s="439">
        <f>'PO-SEDE'!H167</f>
        <v>10590.29</v>
      </c>
      <c r="F26" s="368">
        <f>TRUNC(E26*(1+'BDI Obras'!$D$44),3)</f>
        <v>13908.227000000001</v>
      </c>
      <c r="G26" s="382">
        <f>F26/F37</f>
        <v>3.9187562645859814E-3</v>
      </c>
      <c r="H26" s="470"/>
      <c r="I26" s="470"/>
      <c r="J26" s="470"/>
      <c r="K26" s="470"/>
      <c r="L26" s="470"/>
      <c r="M26" s="473">
        <f>F26</f>
        <v>13908.227000000001</v>
      </c>
      <c r="N26" s="453">
        <f t="shared" si="0"/>
        <v>1</v>
      </c>
    </row>
    <row r="27" spans="1:14" ht="24.95" customHeight="1" x14ac:dyDescent="0.25">
      <c r="A27" s="347"/>
      <c r="B27" s="348" t="str">
        <f>'PO-SEDE'!B172</f>
        <v>EQUIPAMENTOS E ACESSÓRIOS SANITÁRIOS</v>
      </c>
      <c r="C27" s="349"/>
      <c r="D27" s="350"/>
      <c r="E27" s="439">
        <f>'PO-SEDE'!H172</f>
        <v>46804.289999999994</v>
      </c>
      <c r="F27" s="368">
        <f>TRUNC(E27*(1+'BDI Obras'!$D$44),3)</f>
        <v>61468.074000000001</v>
      </c>
      <c r="G27" s="382">
        <f>F27/F37</f>
        <v>1.7319130616687137E-2</v>
      </c>
      <c r="H27" s="470"/>
      <c r="I27" s="470"/>
      <c r="J27" s="470"/>
      <c r="K27" s="470"/>
      <c r="L27" s="473">
        <f>F27</f>
        <v>61468.074000000001</v>
      </c>
      <c r="M27" s="470"/>
      <c r="N27" s="453">
        <f t="shared" si="0"/>
        <v>1</v>
      </c>
    </row>
    <row r="28" spans="1:14" ht="24.95" customHeight="1" x14ac:dyDescent="0.25">
      <c r="A28" s="347"/>
      <c r="B28" s="348" t="str">
        <f>'PO-SEDE'!B204</f>
        <v>PAISAGISMO</v>
      </c>
      <c r="C28" s="349"/>
      <c r="D28" s="350"/>
      <c r="E28" s="439">
        <f>'PO-SEDE'!H204</f>
        <v>28535.46</v>
      </c>
      <c r="F28" s="368">
        <f>TRUNC(E28*(1+'BDI Obras'!$D$44),3)</f>
        <v>37475.618999999999</v>
      </c>
      <c r="G28" s="382">
        <f>F28/F37</f>
        <v>1.0559060959063109E-2</v>
      </c>
      <c r="H28" s="470"/>
      <c r="I28" s="470"/>
      <c r="J28" s="470"/>
      <c r="K28" s="470"/>
      <c r="L28" s="473"/>
      <c r="M28" s="473">
        <f>F28</f>
        <v>37475.618999999999</v>
      </c>
      <c r="N28" s="453">
        <f t="shared" si="0"/>
        <v>1</v>
      </c>
    </row>
    <row r="29" spans="1:14" ht="24.95" customHeight="1" x14ac:dyDescent="0.25">
      <c r="A29" s="347"/>
      <c r="B29" s="348" t="str">
        <f>'PO-SEDE'!B213</f>
        <v>INSTALAÇÕES ELÉTRICAS</v>
      </c>
      <c r="C29" s="349"/>
      <c r="D29" s="350"/>
      <c r="E29" s="439">
        <f>'PO-SEDE'!H213</f>
        <v>170182.68</v>
      </c>
      <c r="F29" s="368">
        <f>TRUNC(E29*(1+'BDI Obras'!$D$44),3)</f>
        <v>223500.913</v>
      </c>
      <c r="G29" s="382">
        <f>F29/F37</f>
        <v>6.2973203051649676E-2</v>
      </c>
      <c r="H29" s="470"/>
      <c r="I29" s="470"/>
      <c r="J29" s="473"/>
      <c r="K29" s="473"/>
      <c r="L29" s="473">
        <f>F29</f>
        <v>223500.913</v>
      </c>
      <c r="M29" s="470"/>
      <c r="N29" s="453">
        <f t="shared" si="0"/>
        <v>1</v>
      </c>
    </row>
    <row r="30" spans="1:14" ht="24.95" customHeight="1" x14ac:dyDescent="0.25">
      <c r="A30" s="347"/>
      <c r="B30" s="348" t="str">
        <f>'PO-SEDE'!B272</f>
        <v>INSTALAÇÕES DE SISTEMA FOTOVOLTAICO</v>
      </c>
      <c r="C30" s="349"/>
      <c r="D30" s="350"/>
      <c r="E30" s="439">
        <f>'PO-SEDE'!H272</f>
        <v>122089.23</v>
      </c>
      <c r="F30" s="368">
        <f>TRUNC(E30*(1+'BDI Obras'!$D$44),3)</f>
        <v>160339.785</v>
      </c>
      <c r="G30" s="382">
        <f>F30/F37</f>
        <v>4.5177040677515497E-2</v>
      </c>
      <c r="H30" s="470"/>
      <c r="I30" s="470"/>
      <c r="J30" s="470"/>
      <c r="K30" s="473"/>
      <c r="L30" s="473">
        <f>F30</f>
        <v>160339.785</v>
      </c>
      <c r="M30" s="470"/>
      <c r="N30" s="453">
        <f t="shared" si="0"/>
        <v>1</v>
      </c>
    </row>
    <row r="31" spans="1:14" ht="24.95" customHeight="1" x14ac:dyDescent="0.25">
      <c r="A31" s="347"/>
      <c r="B31" s="348" t="str">
        <f>'PO-SEDE'!B276</f>
        <v>INSTALAÇÕES HIDRÁULICAS</v>
      </c>
      <c r="C31" s="349"/>
      <c r="D31" s="350"/>
      <c r="E31" s="439">
        <f>'PO-SEDE'!H276</f>
        <v>110564.32000000002</v>
      </c>
      <c r="F31" s="368">
        <f>TRUNC(E31*(1+'BDI Obras'!$D$44),3)</f>
        <v>145204.12100000001</v>
      </c>
      <c r="G31" s="382">
        <f>F31/F37</f>
        <v>4.0912444038514101E-2</v>
      </c>
      <c r="H31" s="470"/>
      <c r="I31" s="470"/>
      <c r="J31" s="473"/>
      <c r="K31" s="473"/>
      <c r="L31" s="473">
        <f>F31</f>
        <v>145204.12100000001</v>
      </c>
      <c r="M31" s="470"/>
      <c r="N31" s="453">
        <f t="shared" si="0"/>
        <v>1</v>
      </c>
    </row>
    <row r="32" spans="1:14" ht="24.95" customHeight="1" x14ac:dyDescent="0.25">
      <c r="A32" s="347"/>
      <c r="B32" s="348" t="str">
        <f>'PO-SEDE'!B371</f>
        <v>EQUIPAMENTOS ELETROMECÂNICOS</v>
      </c>
      <c r="C32" s="349"/>
      <c r="D32" s="350"/>
      <c r="E32" s="439">
        <f>'PO-SEDE'!H371</f>
        <v>59937.710000000006</v>
      </c>
      <c r="F32" s="368">
        <f>TRUNC(E32*(1+'BDI Obras'!$D$44),3)</f>
        <v>78716.194000000003</v>
      </c>
      <c r="G32" s="382">
        <f>F32/F37</f>
        <v>2.2178928943413525E-2</v>
      </c>
      <c r="H32" s="470"/>
      <c r="I32" s="470"/>
      <c r="J32" s="470"/>
      <c r="K32" s="470"/>
      <c r="L32" s="473"/>
      <c r="M32" s="473">
        <f>F32</f>
        <v>78716.194000000003</v>
      </c>
      <c r="N32" s="453">
        <f t="shared" si="0"/>
        <v>1</v>
      </c>
    </row>
    <row r="33" spans="1:14" ht="24.95" customHeight="1" x14ac:dyDescent="0.25">
      <c r="A33" s="347"/>
      <c r="B33" s="348" t="str">
        <f>'PO-SEDE'!B383</f>
        <v>SERVIÇOS COMPLEMENTARES</v>
      </c>
      <c r="C33" s="349"/>
      <c r="D33" s="350"/>
      <c r="E33" s="439">
        <f>'PO-SEDE'!H383</f>
        <v>5786.64</v>
      </c>
      <c r="F33" s="368">
        <f>TRUNC(E33*(1+'BDI Obras'!$D$44),3)</f>
        <v>7599.5940000000001</v>
      </c>
      <c r="G33" s="382">
        <f>F33/F37</f>
        <v>2.1412475217588867E-3</v>
      </c>
      <c r="H33" s="470"/>
      <c r="I33" s="470"/>
      <c r="J33" s="470"/>
      <c r="K33" s="470"/>
      <c r="L33" s="473"/>
      <c r="M33" s="473">
        <f>F33</f>
        <v>7599.5940000000001</v>
      </c>
      <c r="N33" s="453">
        <f t="shared" si="0"/>
        <v>1</v>
      </c>
    </row>
    <row r="34" spans="1:14" ht="5.0999999999999996" customHeight="1" x14ac:dyDescent="0.25">
      <c r="A34" s="297"/>
      <c r="B34" s="362"/>
      <c r="C34" s="363"/>
      <c r="D34" s="364"/>
      <c r="E34" s="365"/>
      <c r="F34" s="366"/>
      <c r="G34" s="366"/>
      <c r="H34" s="469"/>
      <c r="I34" s="469"/>
      <c r="J34" s="469"/>
      <c r="K34" s="469"/>
      <c r="L34" s="469"/>
      <c r="M34" s="469"/>
      <c r="N34" s="453" t="e">
        <f t="shared" si="0"/>
        <v>#DIV/0!</v>
      </c>
    </row>
    <row r="35" spans="1:14" ht="24.95" customHeight="1" x14ac:dyDescent="0.25">
      <c r="A35" s="370"/>
      <c r="B35" s="371" t="s">
        <v>30</v>
      </c>
      <c r="C35" s="372"/>
      <c r="D35" s="373"/>
      <c r="E35" s="351">
        <f>'PO-SEDE'!H395</f>
        <v>253466.7</v>
      </c>
      <c r="F35" s="379">
        <f>TRUNC(E35*(1+'BDI Obras'!$D$44),2)</f>
        <v>332877.81</v>
      </c>
      <c r="G35" s="384">
        <f>F35/F37</f>
        <v>9.3791034851470431E-2</v>
      </c>
      <c r="H35" s="471">
        <f>F35/6</f>
        <v>55479.635000000002</v>
      </c>
      <c r="I35" s="472">
        <f>F35/6</f>
        <v>55479.635000000002</v>
      </c>
      <c r="J35" s="472">
        <f>F35/6</f>
        <v>55479.635000000002</v>
      </c>
      <c r="K35" s="472">
        <f>F35/6</f>
        <v>55479.635000000002</v>
      </c>
      <c r="L35" s="472">
        <f>F35/6</f>
        <v>55479.635000000002</v>
      </c>
      <c r="M35" s="472">
        <f>F35/6</f>
        <v>55479.635000000002</v>
      </c>
      <c r="N35" s="454">
        <f>(M35+L35+K35+J35+I35+H35)/F35</f>
        <v>1</v>
      </c>
    </row>
    <row r="36" spans="1:14" ht="5.0999999999999996" customHeight="1" x14ac:dyDescent="0.25">
      <c r="A36" s="297"/>
      <c r="B36" s="362"/>
      <c r="C36" s="363"/>
      <c r="D36" s="364"/>
      <c r="E36" s="365"/>
      <c r="F36" s="366"/>
      <c r="G36" s="366"/>
      <c r="H36" s="423"/>
      <c r="I36" s="423"/>
      <c r="J36" s="423"/>
      <c r="K36" s="423"/>
      <c r="L36" s="423"/>
      <c r="M36" s="423"/>
      <c r="N36" s="455"/>
    </row>
    <row r="37" spans="1:14" ht="24.95" customHeight="1" x14ac:dyDescent="0.25">
      <c r="A37" s="374"/>
      <c r="B37" s="375" t="s">
        <v>5476</v>
      </c>
      <c r="C37" s="376"/>
      <c r="D37" s="377"/>
      <c r="E37" s="378">
        <f t="shared" ref="E37:M37" si="1">SUM(E10:E35)</f>
        <v>2749972.0900000003</v>
      </c>
      <c r="F37" s="378">
        <f t="shared" si="1"/>
        <v>3549143.1620000005</v>
      </c>
      <c r="G37" s="414">
        <f t="shared" si="1"/>
        <v>0.99999999999999989</v>
      </c>
      <c r="H37" s="424">
        <f t="shared" si="1"/>
        <v>163914.57083333333</v>
      </c>
      <c r="I37" s="424">
        <f t="shared" si="1"/>
        <v>134569.32933333333</v>
      </c>
      <c r="J37" s="424">
        <f t="shared" si="1"/>
        <v>88672.083333333343</v>
      </c>
      <c r="K37" s="424">
        <f t="shared" si="1"/>
        <v>88672.083333333343</v>
      </c>
      <c r="L37" s="424">
        <f t="shared" si="1"/>
        <v>2035839.4763333332</v>
      </c>
      <c r="M37" s="424">
        <f t="shared" si="1"/>
        <v>1037475.6188333334</v>
      </c>
      <c r="N37" s="456">
        <f>(M37+L37+K37+J37+I37+H37)/F37</f>
        <v>0.99999999999999989</v>
      </c>
    </row>
    <row r="38" spans="1:14" ht="18.75" x14ac:dyDescent="0.25">
      <c r="A38" s="50"/>
      <c r="B38" s="51"/>
      <c r="C38" s="51"/>
      <c r="D38" s="77"/>
      <c r="E38" s="77"/>
      <c r="F38" s="77"/>
      <c r="G38" s="77"/>
      <c r="H38" s="77"/>
      <c r="I38" s="77"/>
      <c r="J38" s="77"/>
      <c r="K38" s="77"/>
      <c r="L38" s="77"/>
      <c r="M38" s="403"/>
      <c r="N38" s="457"/>
    </row>
    <row r="39" spans="1:14" x14ac:dyDescent="0.25">
      <c r="A39" s="44"/>
      <c r="B39" s="45"/>
      <c r="C39" s="45"/>
      <c r="D39" s="46"/>
      <c r="E39" s="46"/>
      <c r="F39" s="46"/>
      <c r="G39" s="46"/>
      <c r="H39" s="46"/>
      <c r="I39" s="46"/>
      <c r="J39" s="46"/>
      <c r="K39" s="46"/>
      <c r="L39" s="46"/>
      <c r="M39" s="46"/>
      <c r="N39" s="458"/>
    </row>
    <row r="40" spans="1:14" x14ac:dyDescent="0.25">
      <c r="A40" s="50"/>
      <c r="B40" s="51"/>
      <c r="C40" s="51"/>
      <c r="D40" s="389"/>
      <c r="E40" s="389"/>
      <c r="F40" s="389"/>
      <c r="G40" s="389"/>
      <c r="H40" s="389"/>
      <c r="I40" s="389"/>
      <c r="J40" s="389"/>
      <c r="K40" s="389"/>
      <c r="L40" s="389"/>
      <c r="M40" s="389"/>
      <c r="N40" s="459"/>
    </row>
    <row r="41" spans="1:14" x14ac:dyDescent="0.25">
      <c r="A41" s="50"/>
      <c r="B41" s="51"/>
      <c r="C41" s="51"/>
      <c r="D41" s="389"/>
      <c r="E41" s="389"/>
      <c r="F41" s="389"/>
      <c r="G41" s="389"/>
      <c r="H41" s="389"/>
      <c r="I41" s="389"/>
      <c r="J41" s="389"/>
      <c r="K41" s="389"/>
      <c r="L41" s="389"/>
      <c r="M41" s="389"/>
      <c r="N41" s="459"/>
    </row>
    <row r="42" spans="1:14" x14ac:dyDescent="0.25">
      <c r="A42" s="50"/>
      <c r="B42" s="385" t="s">
        <v>33</v>
      </c>
      <c r="C42" s="52"/>
      <c r="D42" s="385" t="s">
        <v>33</v>
      </c>
      <c r="E42" s="385"/>
      <c r="F42" s="385"/>
      <c r="G42" s="385"/>
      <c r="H42" s="385"/>
      <c r="I42" s="385"/>
      <c r="J42" s="385"/>
      <c r="K42" s="385"/>
      <c r="L42" s="385"/>
      <c r="M42" s="385"/>
      <c r="N42" s="460"/>
    </row>
    <row r="43" spans="1:14" x14ac:dyDescent="0.25">
      <c r="A43" s="50"/>
      <c r="B43" s="386" t="s">
        <v>34</v>
      </c>
      <c r="C43" s="386"/>
      <c r="D43" s="386"/>
      <c r="E43" s="386"/>
      <c r="F43" s="386"/>
      <c r="G43" s="386"/>
      <c r="H43" s="386"/>
      <c r="I43" s="386"/>
      <c r="J43" s="386"/>
      <c r="K43" s="386"/>
      <c r="L43" s="386"/>
      <c r="M43" s="386"/>
      <c r="N43" s="461"/>
    </row>
    <row r="44" spans="1:14" x14ac:dyDescent="0.25">
      <c r="A44" s="50"/>
      <c r="B44" s="387" t="e">
        <f>L4&amp;" "&amp;#REF!</f>
        <v>#REF!</v>
      </c>
      <c r="C44" s="387"/>
      <c r="D44" s="387"/>
      <c r="E44" s="387"/>
      <c r="F44" s="387"/>
      <c r="G44" s="387"/>
      <c r="H44" s="387"/>
      <c r="I44" s="387"/>
      <c r="J44" s="387"/>
      <c r="K44" s="387"/>
      <c r="L44" s="387"/>
      <c r="M44" s="387"/>
      <c r="N44" s="462"/>
    </row>
    <row r="45" spans="1:14" x14ac:dyDescent="0.25">
      <c r="A45" s="55"/>
      <c r="B45" s="56" t="e">
        <f>$L$5&amp;" "&amp;#REF!</f>
        <v>#REF!</v>
      </c>
      <c r="C45" s="388"/>
      <c r="D45" s="388"/>
      <c r="E45" s="388"/>
      <c r="F45" s="388"/>
      <c r="G45" s="388"/>
      <c r="H45" s="388"/>
      <c r="I45" s="388"/>
      <c r="J45" s="388"/>
      <c r="K45" s="388"/>
      <c r="L45" s="388"/>
      <c r="M45" s="388"/>
      <c r="N45" s="463"/>
    </row>
    <row r="46" spans="1:14" x14ac:dyDescent="0.25">
      <c r="A46" s="75"/>
      <c r="B46" s="59"/>
      <c r="C46" s="59"/>
      <c r="D46" s="400"/>
      <c r="E46" s="400"/>
      <c r="F46" s="400"/>
      <c r="G46" s="400"/>
      <c r="H46" s="400"/>
      <c r="I46" s="400"/>
      <c r="J46" s="400"/>
      <c r="K46" s="400"/>
      <c r="L46" s="400"/>
      <c r="M46" s="400"/>
      <c r="N46" s="464"/>
    </row>
    <row r="47" spans="1:14" x14ac:dyDescent="0.25">
      <c r="A47" s="416"/>
      <c r="B47" s="417"/>
      <c r="C47" s="417"/>
      <c r="D47" s="417"/>
      <c r="E47" s="417"/>
      <c r="F47" s="417"/>
      <c r="G47" s="417"/>
      <c r="H47" s="417"/>
      <c r="I47" s="417"/>
      <c r="J47" s="417"/>
      <c r="K47" s="417"/>
      <c r="L47" s="417"/>
      <c r="M47" s="417"/>
      <c r="N47" s="465"/>
    </row>
    <row r="50" spans="6:6" x14ac:dyDescent="0.25">
      <c r="F50" s="427"/>
    </row>
  </sheetData>
  <mergeCells count="3">
    <mergeCell ref="E8:E9"/>
    <mergeCell ref="F8:F9"/>
    <mergeCell ref="G8:G9"/>
  </mergeCells>
  <pageMargins left="0.511811024" right="0.511811024" top="0.78740157499999996" bottom="0.78740157499999996" header="0.31496062000000002" footer="0.31496062000000002"/>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60" zoomScaleNormal="60" workbookViewId="0">
      <selection sqref="A1:XFD1048576"/>
    </sheetView>
  </sheetViews>
  <sheetFormatPr defaultRowHeight="15" x14ac:dyDescent="0.25"/>
  <cols>
    <col min="1" max="1" width="7.7109375" style="436" customWidth="1"/>
    <col min="2" max="2" width="16.7109375" style="62" customWidth="1"/>
    <col min="3" max="3" width="15.7109375" style="62" customWidth="1"/>
    <col min="4" max="4" width="65.5703125" style="62" customWidth="1"/>
    <col min="5" max="5" width="24.140625" style="442" customWidth="1"/>
    <col min="6" max="9" width="20.7109375" style="62" customWidth="1"/>
    <col min="10" max="10" width="24.42578125" style="62" customWidth="1"/>
    <col min="11" max="11" width="20.7109375" style="62" customWidth="1"/>
    <col min="13" max="13" width="14" bestFit="1" customWidth="1"/>
    <col min="14" max="15" width="17.7109375" bestFit="1" customWidth="1"/>
  </cols>
  <sheetData>
    <row r="1" spans="1:11" x14ac:dyDescent="0.25">
      <c r="A1" s="44"/>
      <c r="B1" s="45"/>
      <c r="C1" s="45"/>
      <c r="D1" s="45"/>
      <c r="E1" s="474"/>
      <c r="F1" s="45"/>
      <c r="G1" s="45"/>
      <c r="H1" s="45"/>
      <c r="I1" s="45"/>
      <c r="J1" s="45"/>
      <c r="K1" s="65"/>
    </row>
    <row r="2" spans="1:11" ht="37.5" x14ac:dyDescent="0.25">
      <c r="A2" s="66"/>
      <c r="B2" s="67"/>
      <c r="C2" s="67"/>
      <c r="D2" s="77" t="s">
        <v>35</v>
      </c>
      <c r="E2" s="475"/>
      <c r="F2" s="77"/>
      <c r="G2" s="83"/>
      <c r="H2" s="91"/>
      <c r="I2" s="77"/>
      <c r="J2" s="83"/>
      <c r="K2" s="85"/>
    </row>
    <row r="3" spans="1:11" ht="18.75" x14ac:dyDescent="0.25">
      <c r="A3" s="66"/>
      <c r="B3" s="67"/>
      <c r="C3" s="67"/>
      <c r="D3" s="68" t="s">
        <v>36</v>
      </c>
      <c r="E3" s="476"/>
      <c r="F3" s="68"/>
      <c r="G3" s="83"/>
      <c r="H3" s="91"/>
      <c r="I3" s="68"/>
      <c r="J3" s="83"/>
      <c r="K3" s="85"/>
    </row>
    <row r="4" spans="1:11" ht="18.75" x14ac:dyDescent="0.25">
      <c r="A4" s="66"/>
      <c r="B4" s="67"/>
      <c r="C4" s="67"/>
      <c r="D4" s="68" t="s">
        <v>5457</v>
      </c>
      <c r="E4" s="476"/>
      <c r="F4" s="68"/>
      <c r="G4" s="83"/>
      <c r="H4" s="92"/>
      <c r="I4" s="68"/>
      <c r="J4" s="83"/>
      <c r="K4" s="88"/>
    </row>
    <row r="5" spans="1:11" ht="18.75" x14ac:dyDescent="0.25">
      <c r="A5" s="66"/>
      <c r="B5" s="67"/>
      <c r="C5" s="67"/>
      <c r="D5" s="68" t="s">
        <v>5472</v>
      </c>
      <c r="E5" s="476"/>
      <c r="F5" s="68"/>
      <c r="G5" s="83"/>
      <c r="H5" s="93"/>
      <c r="I5" s="68"/>
      <c r="J5" s="83"/>
      <c r="K5" s="90"/>
    </row>
    <row r="6" spans="1:11" ht="18.75" x14ac:dyDescent="0.25">
      <c r="A6" s="50"/>
      <c r="B6" s="51"/>
      <c r="C6" s="51"/>
      <c r="D6" s="77" t="s">
        <v>5473</v>
      </c>
      <c r="E6" s="475"/>
      <c r="F6" s="77"/>
      <c r="G6" s="51"/>
      <c r="H6" s="315"/>
      <c r="I6" s="77"/>
      <c r="J6" s="51"/>
      <c r="K6" s="72"/>
    </row>
    <row r="7" spans="1:11" ht="18.75" x14ac:dyDescent="0.25">
      <c r="A7" s="251"/>
      <c r="B7" s="252"/>
      <c r="C7" s="252"/>
      <c r="D7" s="391"/>
      <c r="E7" s="477"/>
      <c r="F7" s="391"/>
      <c r="G7" s="391"/>
      <c r="H7" s="391"/>
      <c r="I7" s="391"/>
      <c r="J7" s="391"/>
      <c r="K7" s="392"/>
    </row>
    <row r="8" spans="1:11" ht="18.75" customHeight="1" x14ac:dyDescent="0.25">
      <c r="A8" s="44"/>
      <c r="B8" s="45"/>
      <c r="C8" s="45"/>
      <c r="D8" s="403"/>
      <c r="E8" s="507" t="s">
        <v>5548</v>
      </c>
      <c r="F8" s="479" t="s">
        <v>5549</v>
      </c>
      <c r="G8" s="479" t="s">
        <v>5550</v>
      </c>
      <c r="H8" s="479" t="s">
        <v>5551</v>
      </c>
      <c r="I8" s="479" t="s">
        <v>5552</v>
      </c>
      <c r="J8" s="479" t="s">
        <v>5553</v>
      </c>
      <c r="K8" s="479" t="s">
        <v>5554</v>
      </c>
    </row>
    <row r="9" spans="1:11" ht="18.75" x14ac:dyDescent="0.25">
      <c r="A9" s="50"/>
      <c r="B9" s="51"/>
      <c r="C9" s="51"/>
      <c r="D9" s="77"/>
      <c r="E9" s="508"/>
      <c r="F9" s="435" t="s">
        <v>5479</v>
      </c>
      <c r="G9" s="435" t="s">
        <v>5479</v>
      </c>
      <c r="H9" s="435" t="s">
        <v>5479</v>
      </c>
      <c r="I9" s="435" t="s">
        <v>5479</v>
      </c>
      <c r="J9" s="435" t="s">
        <v>5479</v>
      </c>
      <c r="K9" s="435" t="s">
        <v>5479</v>
      </c>
    </row>
    <row r="10" spans="1:11" ht="18.75" x14ac:dyDescent="0.25">
      <c r="A10" s="356"/>
      <c r="B10" s="357" t="s">
        <v>4777</v>
      </c>
      <c r="C10" s="358"/>
      <c r="D10" s="359"/>
      <c r="E10" s="478">
        <v>0.06</v>
      </c>
      <c r="F10" s="467"/>
      <c r="G10" s="468"/>
      <c r="H10" s="468"/>
      <c r="I10" s="468"/>
      <c r="J10" s="468"/>
      <c r="K10" s="468"/>
    </row>
    <row r="11" spans="1:11" ht="18.75" x14ac:dyDescent="0.25">
      <c r="A11" s="347"/>
      <c r="B11" s="348" t="str">
        <f>'PO-SEDE'!B22</f>
        <v>CANTEIRO DE OBRAS</v>
      </c>
      <c r="C11" s="349"/>
      <c r="D11" s="350"/>
      <c r="E11" s="382">
        <v>8.3999999999999995E-3</v>
      </c>
      <c r="F11" s="473"/>
      <c r="G11" s="470"/>
      <c r="H11" s="470"/>
      <c r="I11" s="470"/>
      <c r="J11" s="470"/>
      <c r="K11" s="473"/>
    </row>
    <row r="12" spans="1:11" ht="18.75" x14ac:dyDescent="0.25">
      <c r="A12" s="347"/>
      <c r="B12" s="348" t="str">
        <f>'PO-SEDE'!B32</f>
        <v>LAYOUT PROVISÓRIO</v>
      </c>
      <c r="C12" s="349"/>
      <c r="D12" s="350"/>
      <c r="E12" s="382">
        <v>6.3E-3</v>
      </c>
      <c r="F12" s="473"/>
      <c r="G12" s="470"/>
      <c r="H12" s="470"/>
      <c r="I12" s="470"/>
      <c r="J12" s="470"/>
      <c r="K12" s="470"/>
    </row>
    <row r="13" spans="1:11" ht="18.75" x14ac:dyDescent="0.25">
      <c r="A13" s="347"/>
      <c r="B13" s="348" t="str">
        <f>'PO-SEDE'!B45</f>
        <v>DEMOLIÇÕES E REMOÇÕES</v>
      </c>
      <c r="C13" s="349"/>
      <c r="D13" s="350"/>
      <c r="E13" s="382">
        <v>5.4999999999999997E-3</v>
      </c>
      <c r="F13" s="611"/>
      <c r="G13" s="612"/>
      <c r="H13" s="470"/>
      <c r="I13" s="470"/>
      <c r="J13" s="470"/>
      <c r="K13" s="470"/>
    </row>
    <row r="14" spans="1:11" ht="18.75" x14ac:dyDescent="0.25">
      <c r="A14" s="347"/>
      <c r="B14" s="348" t="str">
        <f>'PO-SEDE'!B53</f>
        <v>LIMPEZA DO TERRENO</v>
      </c>
      <c r="C14" s="349"/>
      <c r="D14" s="350"/>
      <c r="E14" s="382">
        <v>9.4999999999999998E-3</v>
      </c>
      <c r="F14" s="473"/>
      <c r="G14" s="470"/>
      <c r="H14" s="470"/>
      <c r="I14" s="470"/>
      <c r="J14" s="470"/>
      <c r="K14" s="470"/>
    </row>
    <row r="15" spans="1:11" ht="18.75" x14ac:dyDescent="0.25">
      <c r="A15" s="347"/>
      <c r="B15" s="348" t="str">
        <f>'PO-SEDE'!B58</f>
        <v>LOCAÇÃO DE OBRA</v>
      </c>
      <c r="C15" s="349"/>
      <c r="D15" s="350"/>
      <c r="E15" s="382">
        <v>1.1999999999999999E-3</v>
      </c>
      <c r="F15" s="473"/>
      <c r="G15" s="470"/>
      <c r="H15" s="470"/>
      <c r="I15" s="470"/>
      <c r="J15" s="470"/>
      <c r="K15" s="470"/>
    </row>
    <row r="16" spans="1:11" ht="18.75" x14ac:dyDescent="0.25">
      <c r="A16" s="347"/>
      <c r="B16" s="348" t="str">
        <f>'PO-SEDE'!B62</f>
        <v>TERRAPLENAGEM</v>
      </c>
      <c r="C16" s="349"/>
      <c r="D16" s="350"/>
      <c r="E16" s="382">
        <v>5.9999999999999995E-4</v>
      </c>
      <c r="F16" s="611"/>
      <c r="G16" s="612"/>
      <c r="H16" s="470"/>
      <c r="I16" s="470"/>
      <c r="J16" s="470"/>
      <c r="K16" s="470"/>
    </row>
    <row r="17" spans="1:11" ht="18.75" x14ac:dyDescent="0.25">
      <c r="A17" s="347"/>
      <c r="B17" s="348" t="str">
        <f>'PO-SEDE'!B68</f>
        <v>DRENAGEM</v>
      </c>
      <c r="C17" s="349"/>
      <c r="D17" s="350"/>
      <c r="E17" s="382">
        <v>6.7999999999999996E-3</v>
      </c>
      <c r="F17" s="611"/>
      <c r="G17" s="612"/>
      <c r="H17" s="470"/>
      <c r="I17" s="470"/>
      <c r="J17" s="470"/>
      <c r="K17" s="470"/>
    </row>
    <row r="18" spans="1:11" ht="18.75" x14ac:dyDescent="0.25">
      <c r="A18" s="347"/>
      <c r="B18" s="348" t="str">
        <f>'PO-SEDE'!B80</f>
        <v>PAVIMENTAÇÃO</v>
      </c>
      <c r="C18" s="349"/>
      <c r="D18" s="350"/>
      <c r="E18" s="382">
        <v>8.9999999999999998E-4</v>
      </c>
      <c r="F18" s="470"/>
      <c r="G18" s="470"/>
      <c r="H18" s="470"/>
      <c r="I18" s="611"/>
      <c r="J18" s="612"/>
      <c r="K18" s="470"/>
    </row>
    <row r="19" spans="1:11" ht="18.75" x14ac:dyDescent="0.25">
      <c r="A19" s="347"/>
      <c r="B19" s="348" t="str">
        <f>'PO-SEDE'!B90</f>
        <v>ESTRUTURAS DE CONCRETO</v>
      </c>
      <c r="C19" s="349"/>
      <c r="D19" s="350"/>
      <c r="E19" s="382">
        <v>2.8400000000000002E-2</v>
      </c>
      <c r="F19" s="470"/>
      <c r="G19" s="470"/>
      <c r="H19" s="611"/>
      <c r="I19" s="615"/>
      <c r="J19" s="612"/>
      <c r="K19" s="470"/>
    </row>
    <row r="20" spans="1:11" ht="18.75" x14ac:dyDescent="0.25">
      <c r="A20" s="347"/>
      <c r="B20" s="348" t="str">
        <f>'PO-SEDE'!B112</f>
        <v>ESTRUTURAS DE MADEIRA</v>
      </c>
      <c r="C20" s="349"/>
      <c r="D20" s="350"/>
      <c r="E20" s="382">
        <v>0.3221</v>
      </c>
      <c r="F20" s="470"/>
      <c r="G20" s="470"/>
      <c r="H20" s="611"/>
      <c r="I20" s="615"/>
      <c r="J20" s="612"/>
      <c r="K20" s="470"/>
    </row>
    <row r="21" spans="1:11" ht="18.75" x14ac:dyDescent="0.25">
      <c r="A21" s="347"/>
      <c r="B21" s="348" t="str">
        <f>'PO-SEDE'!B135</f>
        <v>COBERTURA</v>
      </c>
      <c r="C21" s="349"/>
      <c r="D21" s="350"/>
      <c r="E21" s="382">
        <v>3.09E-2</v>
      </c>
      <c r="F21" s="470"/>
      <c r="G21" s="470"/>
      <c r="H21" s="470"/>
      <c r="I21" s="611"/>
      <c r="J21" s="612"/>
      <c r="K21" s="470"/>
    </row>
    <row r="22" spans="1:11" ht="18.75" x14ac:dyDescent="0.25">
      <c r="A22" s="347"/>
      <c r="B22" s="348" t="str">
        <f>'PO-SEDE'!B119</f>
        <v>CAIXILHOS E ESQUADRIAS</v>
      </c>
      <c r="C22" s="349"/>
      <c r="D22" s="350"/>
      <c r="E22" s="382">
        <v>0.1444</v>
      </c>
      <c r="F22" s="470"/>
      <c r="G22" s="470"/>
      <c r="H22" s="470"/>
      <c r="I22" s="611"/>
      <c r="J22" s="615"/>
      <c r="K22" s="612"/>
    </row>
    <row r="23" spans="1:11" ht="18.75" x14ac:dyDescent="0.25">
      <c r="A23" s="347"/>
      <c r="B23" s="348" t="s">
        <v>5547</v>
      </c>
      <c r="C23" s="349"/>
      <c r="D23" s="350"/>
      <c r="E23" s="382">
        <v>6.3700000000000007E-2</v>
      </c>
      <c r="F23" s="470"/>
      <c r="G23" s="470"/>
      <c r="H23" s="470"/>
      <c r="I23" s="470"/>
      <c r="J23" s="611"/>
      <c r="K23" s="612"/>
    </row>
    <row r="24" spans="1:11" ht="18.75" x14ac:dyDescent="0.25">
      <c r="A24" s="347"/>
      <c r="B24" s="348" t="str">
        <f>'PO-SEDE'!B162</f>
        <v>GRADIS E CORRIMÃOS</v>
      </c>
      <c r="C24" s="349"/>
      <c r="D24" s="350"/>
      <c r="E24" s="382">
        <v>1.6299999999999999E-2</v>
      </c>
      <c r="F24" s="470"/>
      <c r="G24" s="470"/>
      <c r="H24" s="470"/>
      <c r="I24" s="470"/>
      <c r="J24" s="611"/>
      <c r="K24" s="612"/>
    </row>
    <row r="25" spans="1:11" ht="18.75" x14ac:dyDescent="0.25">
      <c r="A25" s="347"/>
      <c r="B25" s="348" t="str">
        <f>'PO-SEDE'!B167</f>
        <v>COMUNICAÇÃO VISUAL</v>
      </c>
      <c r="C25" s="349"/>
      <c r="D25" s="350"/>
      <c r="E25" s="382">
        <v>3.8999999999999998E-3</v>
      </c>
      <c r="F25" s="470"/>
      <c r="G25" s="470"/>
      <c r="H25" s="470"/>
      <c r="I25" s="470"/>
      <c r="J25" s="470"/>
      <c r="K25" s="473"/>
    </row>
    <row r="26" spans="1:11" ht="18.75" x14ac:dyDescent="0.25">
      <c r="A26" s="347"/>
      <c r="B26" s="348" t="str">
        <f>'PO-SEDE'!B172</f>
        <v>EQUIPAMENTOS E ACESSÓRIOS SANITÁRIOS</v>
      </c>
      <c r="C26" s="349"/>
      <c r="D26" s="350"/>
      <c r="E26" s="382">
        <v>1.7299999999999999E-2</v>
      </c>
      <c r="F26" s="470"/>
      <c r="G26" s="470"/>
      <c r="H26" s="470"/>
      <c r="I26" s="470"/>
      <c r="J26" s="473"/>
      <c r="K26" s="470"/>
    </row>
    <row r="27" spans="1:11" ht="18.75" x14ac:dyDescent="0.25">
      <c r="A27" s="347"/>
      <c r="B27" s="348" t="str">
        <f>'PO-SEDE'!B204</f>
        <v>PAISAGISMO</v>
      </c>
      <c r="C27" s="349"/>
      <c r="D27" s="350"/>
      <c r="E27" s="382">
        <v>1.06E-2</v>
      </c>
      <c r="F27" s="470"/>
      <c r="G27" s="470"/>
      <c r="H27" s="470"/>
      <c r="I27" s="470"/>
      <c r="J27" s="611"/>
      <c r="K27" s="612"/>
    </row>
    <row r="28" spans="1:11" ht="18.75" x14ac:dyDescent="0.25">
      <c r="A28" s="347"/>
      <c r="B28" s="348" t="str">
        <f>'PO-SEDE'!B213</f>
        <v>INSTALAÇÕES ELÉTRICAS</v>
      </c>
      <c r="C28" s="349"/>
      <c r="D28" s="350"/>
      <c r="E28" s="382">
        <v>6.3E-2</v>
      </c>
      <c r="F28" s="470"/>
      <c r="G28" s="470"/>
      <c r="H28" s="611"/>
      <c r="I28" s="615"/>
      <c r="J28" s="612"/>
      <c r="K28" s="470"/>
    </row>
    <row r="29" spans="1:11" ht="18.75" x14ac:dyDescent="0.25">
      <c r="A29" s="347"/>
      <c r="B29" s="348" t="str">
        <f>'PO-SEDE'!B272</f>
        <v>INSTALAÇÕES DE SISTEMA FOTOVOLTAICO</v>
      </c>
      <c r="C29" s="349"/>
      <c r="D29" s="350"/>
      <c r="E29" s="382">
        <v>4.5199999999999997E-2</v>
      </c>
      <c r="F29" s="470"/>
      <c r="G29" s="470"/>
      <c r="H29" s="470"/>
      <c r="I29" s="611"/>
      <c r="J29" s="612"/>
      <c r="K29" s="470"/>
    </row>
    <row r="30" spans="1:11" ht="18.75" x14ac:dyDescent="0.25">
      <c r="A30" s="347"/>
      <c r="B30" s="348" t="str">
        <f>'PO-SEDE'!B276</f>
        <v>INSTALAÇÕES HIDRÁULICAS</v>
      </c>
      <c r="C30" s="349"/>
      <c r="D30" s="350"/>
      <c r="E30" s="382">
        <v>4.0899999999999999E-2</v>
      </c>
      <c r="F30" s="470"/>
      <c r="G30" s="470"/>
      <c r="H30" s="611"/>
      <c r="I30" s="615"/>
      <c r="J30" s="612"/>
      <c r="K30" s="470"/>
    </row>
    <row r="31" spans="1:11" ht="18.75" x14ac:dyDescent="0.25">
      <c r="A31" s="347"/>
      <c r="B31" s="348" t="str">
        <f>'PO-SEDE'!B371</f>
        <v>EQUIPAMENTOS ELETROMECÂNICOS</v>
      </c>
      <c r="C31" s="349"/>
      <c r="D31" s="350"/>
      <c r="E31" s="382">
        <v>2.2200000000000001E-2</v>
      </c>
      <c r="F31" s="470"/>
      <c r="G31" s="470"/>
      <c r="H31" s="470"/>
      <c r="I31" s="470"/>
      <c r="J31" s="611"/>
      <c r="K31" s="612"/>
    </row>
    <row r="32" spans="1:11" ht="18.75" x14ac:dyDescent="0.25">
      <c r="A32" s="347"/>
      <c r="B32" s="348" t="str">
        <f>'PO-SEDE'!B383</f>
        <v>SERVIÇOS COMPLEMENTARES</v>
      </c>
      <c r="C32" s="349"/>
      <c r="D32" s="350"/>
      <c r="E32" s="382">
        <v>2.0999999999999999E-3</v>
      </c>
      <c r="F32" s="470"/>
      <c r="G32" s="470"/>
      <c r="H32" s="470"/>
      <c r="I32" s="470"/>
      <c r="J32" s="613"/>
      <c r="K32" s="614"/>
    </row>
    <row r="33" spans="1:11" ht="18.75" x14ac:dyDescent="0.25">
      <c r="A33" s="370"/>
      <c r="B33" s="371" t="s">
        <v>30</v>
      </c>
      <c r="C33" s="372"/>
      <c r="D33" s="373"/>
      <c r="E33" s="384">
        <v>9.3799999999999994E-2</v>
      </c>
      <c r="F33" s="488"/>
      <c r="G33" s="489"/>
      <c r="H33" s="489"/>
      <c r="I33" s="489"/>
      <c r="J33" s="489"/>
      <c r="K33" s="489"/>
    </row>
    <row r="34" spans="1:11" ht="21" x14ac:dyDescent="0.25">
      <c r="A34" s="480"/>
      <c r="B34" s="481" t="s">
        <v>5476</v>
      </c>
      <c r="C34" s="482"/>
      <c r="D34" s="483"/>
      <c r="E34" s="484">
        <v>1</v>
      </c>
      <c r="F34" s="485">
        <v>4.6199999999999998E-2</v>
      </c>
      <c r="G34" s="485">
        <v>3.7900000000000003E-2</v>
      </c>
      <c r="H34" s="485">
        <v>2.5000000000000001E-2</v>
      </c>
      <c r="I34" s="485">
        <v>2.5000000000000001E-2</v>
      </c>
      <c r="J34" s="485">
        <v>0.5736</v>
      </c>
      <c r="K34" s="485">
        <v>0.2923</v>
      </c>
    </row>
    <row r="35" spans="1:11" ht="18.75" x14ac:dyDescent="0.25">
      <c r="A35" s="251"/>
      <c r="B35" s="252"/>
      <c r="C35" s="252"/>
      <c r="D35" s="391"/>
      <c r="E35" s="477"/>
      <c r="F35" s="391"/>
      <c r="G35" s="391"/>
      <c r="H35" s="391"/>
      <c r="I35" s="391"/>
      <c r="J35" s="391"/>
      <c r="K35" s="486"/>
    </row>
    <row r="36" spans="1:11" x14ac:dyDescent="0.25">
      <c r="A36" s="416"/>
      <c r="B36" s="417"/>
      <c r="C36" s="417"/>
      <c r="D36" s="417"/>
      <c r="E36" s="441"/>
      <c r="F36" s="417"/>
      <c r="G36" s="417"/>
      <c r="H36" s="417"/>
      <c r="I36" s="417"/>
      <c r="J36" s="417"/>
      <c r="K36" s="417"/>
    </row>
  </sheetData>
  <mergeCells count="17">
    <mergeCell ref="I22:K22"/>
    <mergeCell ref="E8:E9"/>
    <mergeCell ref="F13:G13"/>
    <mergeCell ref="F16:G16"/>
    <mergeCell ref="F17:G17"/>
    <mergeCell ref="I18:J18"/>
    <mergeCell ref="H19:J19"/>
    <mergeCell ref="H20:J20"/>
    <mergeCell ref="I21:J21"/>
    <mergeCell ref="J31:K31"/>
    <mergeCell ref="J32:K32"/>
    <mergeCell ref="J23:K23"/>
    <mergeCell ref="J24:K24"/>
    <mergeCell ref="J27:K27"/>
    <mergeCell ref="H28:J28"/>
    <mergeCell ref="I29:J29"/>
    <mergeCell ref="H30:J30"/>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417"/>
  <sheetViews>
    <sheetView view="pageBreakPreview" zoomScale="70" zoomScaleNormal="70" zoomScaleSheetLayoutView="70" workbookViewId="0">
      <selection activeCell="G24" sqref="G24"/>
    </sheetView>
  </sheetViews>
  <sheetFormatPr defaultRowHeight="15" x14ac:dyDescent="0.25"/>
  <cols>
    <col min="1" max="1" width="7.7109375" style="61" customWidth="1"/>
    <col min="2" max="2" width="16.7109375" style="62" customWidth="1"/>
    <col min="3" max="3" width="19.42578125" style="62" customWidth="1"/>
    <col min="4" max="4" width="51.85546875" style="62" customWidth="1"/>
    <col min="5" max="5" width="15.7109375" style="63" customWidth="1"/>
    <col min="6" max="6" width="15.7109375" style="62" customWidth="1"/>
    <col min="7" max="7" width="16.5703125" style="62" customWidth="1"/>
    <col min="8" max="8" width="20.7109375" style="62" customWidth="1"/>
    <col min="10" max="10" width="14" bestFit="1" customWidth="1"/>
    <col min="11" max="12" width="17.7109375" bestFit="1" customWidth="1"/>
  </cols>
  <sheetData>
    <row r="1" spans="1:8" x14ac:dyDescent="0.25">
      <c r="A1" s="44"/>
      <c r="B1" s="45"/>
      <c r="C1" s="45"/>
      <c r="D1" s="45"/>
      <c r="E1" s="47"/>
      <c r="F1" s="45"/>
      <c r="G1" s="45"/>
      <c r="H1" s="65"/>
    </row>
    <row r="2" spans="1:8" ht="15" customHeight="1" x14ac:dyDescent="0.25">
      <c r="A2" s="66"/>
      <c r="B2" s="67"/>
      <c r="C2" s="510" t="s">
        <v>35</v>
      </c>
      <c r="D2" s="509"/>
      <c r="E2" s="509"/>
      <c r="F2" s="509"/>
      <c r="G2" s="509"/>
      <c r="H2" s="85"/>
    </row>
    <row r="3" spans="1:8" ht="18.75" x14ac:dyDescent="0.25">
      <c r="A3" s="66"/>
      <c r="B3" s="67"/>
      <c r="C3" s="67"/>
      <c r="D3" s="68" t="s">
        <v>36</v>
      </c>
      <c r="E3" s="69"/>
      <c r="F3" s="83" t="s">
        <v>1</v>
      </c>
      <c r="G3" s="86" t="s">
        <v>2</v>
      </c>
      <c r="H3" s="85" t="s">
        <v>5540</v>
      </c>
    </row>
    <row r="4" spans="1:8" ht="18.75" x14ac:dyDescent="0.25">
      <c r="A4" s="66"/>
      <c r="B4" s="67"/>
      <c r="C4" s="67"/>
      <c r="D4" s="68"/>
      <c r="E4" s="69"/>
      <c r="F4" s="83" t="s">
        <v>5539</v>
      </c>
      <c r="G4" s="86"/>
      <c r="H4" s="85"/>
    </row>
    <row r="5" spans="1:8" ht="18.75" x14ac:dyDescent="0.25">
      <c r="A5" s="66"/>
      <c r="B5" s="67"/>
      <c r="C5" s="67"/>
      <c r="D5" s="68" t="s">
        <v>5457</v>
      </c>
      <c r="E5" s="69"/>
      <c r="F5" s="83" t="s">
        <v>5</v>
      </c>
      <c r="G5" s="87" t="s">
        <v>6</v>
      </c>
      <c r="H5" s="88" t="s">
        <v>7</v>
      </c>
    </row>
    <row r="6" spans="1:8" ht="18.75" x14ac:dyDescent="0.25">
      <c r="A6" s="66"/>
      <c r="B6" s="67"/>
      <c r="C6" s="67"/>
      <c r="D6" s="68" t="s">
        <v>5458</v>
      </c>
      <c r="E6" s="69"/>
      <c r="F6" s="83" t="s">
        <v>8</v>
      </c>
      <c r="G6" s="87">
        <v>4774233</v>
      </c>
      <c r="H6" s="90">
        <v>43040</v>
      </c>
    </row>
    <row r="7" spans="1:8" ht="37.5" x14ac:dyDescent="0.25">
      <c r="A7" s="50"/>
      <c r="B7" s="51"/>
      <c r="C7" s="51"/>
      <c r="D7" s="77" t="s">
        <v>5459</v>
      </c>
      <c r="E7" s="70"/>
      <c r="F7" s="51"/>
      <c r="G7" s="71"/>
      <c r="H7" s="72" t="s">
        <v>4401</v>
      </c>
    </row>
    <row r="8" spans="1:8" ht="15" customHeight="1" x14ac:dyDescent="0.25">
      <c r="A8" s="50"/>
      <c r="B8" s="51"/>
      <c r="C8" s="51"/>
      <c r="D8" s="68"/>
      <c r="E8" s="70"/>
      <c r="F8" s="51"/>
      <c r="G8" s="71"/>
      <c r="H8" s="72"/>
    </row>
    <row r="9" spans="1:8" x14ac:dyDescent="0.25">
      <c r="A9" s="1" t="s">
        <v>9</v>
      </c>
      <c r="B9" s="1" t="s">
        <v>10</v>
      </c>
      <c r="C9" s="1" t="s">
        <v>11</v>
      </c>
      <c r="D9" s="1" t="s">
        <v>12</v>
      </c>
      <c r="E9" s="1" t="s">
        <v>13</v>
      </c>
      <c r="F9" s="1" t="s">
        <v>14</v>
      </c>
      <c r="G9" s="1" t="s">
        <v>15</v>
      </c>
      <c r="H9" s="1" t="s">
        <v>16</v>
      </c>
    </row>
    <row r="10" spans="1:8" ht="5.0999999999999996" customHeight="1" x14ac:dyDescent="0.25">
      <c r="A10" s="73"/>
      <c r="B10" s="2"/>
      <c r="C10" s="2"/>
      <c r="D10" s="2"/>
      <c r="E10" s="2"/>
      <c r="F10" s="2"/>
      <c r="G10" s="2"/>
      <c r="H10" s="74"/>
    </row>
    <row r="11" spans="1:8" x14ac:dyDescent="0.25">
      <c r="A11" s="3" t="s">
        <v>17</v>
      </c>
      <c r="B11" s="4" t="s">
        <v>4777</v>
      </c>
      <c r="C11" s="5"/>
      <c r="D11" s="5"/>
      <c r="E11" s="6"/>
      <c r="F11" s="7"/>
      <c r="G11" s="7"/>
      <c r="H11" s="8"/>
    </row>
    <row r="12" spans="1:8" ht="5.0999999999999996" customHeight="1" x14ac:dyDescent="0.25">
      <c r="A12" s="73"/>
      <c r="B12" s="2"/>
      <c r="C12" s="2"/>
      <c r="D12" s="2"/>
      <c r="E12" s="2"/>
      <c r="F12" s="2"/>
      <c r="G12" s="2"/>
      <c r="H12" s="74"/>
    </row>
    <row r="13" spans="1:8" x14ac:dyDescent="0.25">
      <c r="A13" s="9"/>
      <c r="B13" s="10" t="s">
        <v>18</v>
      </c>
      <c r="C13" s="11"/>
      <c r="D13" s="11"/>
      <c r="E13" s="12"/>
      <c r="F13" s="13"/>
      <c r="G13" s="13"/>
      <c r="H13" s="14">
        <f>SUBTOTAL(9,H14:H14)</f>
        <v>199154.69</v>
      </c>
    </row>
    <row r="14" spans="1:8" ht="30" x14ac:dyDescent="0.25">
      <c r="A14" s="15">
        <v>1</v>
      </c>
      <c r="B14" s="16" t="s">
        <v>4715</v>
      </c>
      <c r="C14" s="17" t="s">
        <v>4739</v>
      </c>
      <c r="D14" s="18" t="str">
        <f>IF(B14&amp;C14="","",VLOOKUP(B14&amp;C14,SERVIÇOS!C:F,2,0))</f>
        <v>As-Built, Consultoria Técnica de Projetos e Assistência técnica de obra</v>
      </c>
      <c r="E14" s="16" t="str">
        <f>IF(B14&amp;C14="","",VLOOKUP(B14&amp;C14,SERVIÇOS!C:F,3,0))</f>
        <v>vb</v>
      </c>
      <c r="F14" s="19">
        <v>1</v>
      </c>
      <c r="G14" s="20">
        <f>IF(B14&amp;C14="","",VLOOKUP(B14&amp;C14,SERVIÇOS!C:F,4,0))</f>
        <v>199154.69</v>
      </c>
      <c r="H14" s="20">
        <f>IF(G14="","",TRUNC(G14*F14,2))</f>
        <v>199154.69</v>
      </c>
    </row>
    <row r="15" spans="1:8" ht="5.0999999999999996" customHeight="1" x14ac:dyDescent="0.25">
      <c r="A15" s="73"/>
      <c r="B15" s="2"/>
      <c r="C15" s="2"/>
      <c r="D15" s="21"/>
      <c r="E15" s="2"/>
      <c r="F15" s="2"/>
      <c r="G15" s="2"/>
      <c r="H15" s="74"/>
    </row>
    <row r="16" spans="1:8" x14ac:dyDescent="0.25">
      <c r="A16" s="22"/>
      <c r="B16" s="23" t="s">
        <v>19</v>
      </c>
      <c r="C16" s="24"/>
      <c r="D16" s="25"/>
      <c r="E16" s="26"/>
      <c r="F16" s="27"/>
      <c r="G16" s="27"/>
      <c r="H16" s="28">
        <f>H13</f>
        <v>199154.69</v>
      </c>
    </row>
    <row r="17" spans="1:11" ht="5.0999999999999996" customHeight="1" x14ac:dyDescent="0.25">
      <c r="A17" s="73"/>
      <c r="B17" s="2"/>
      <c r="C17" s="2"/>
      <c r="D17" s="21"/>
      <c r="E17" s="2"/>
      <c r="F17" s="2"/>
      <c r="G17" s="2"/>
      <c r="H17" s="74"/>
    </row>
    <row r="18" spans="1:11" x14ac:dyDescent="0.25">
      <c r="A18" s="3" t="s">
        <v>20</v>
      </c>
      <c r="B18" s="4" t="s">
        <v>21</v>
      </c>
      <c r="C18" s="5"/>
      <c r="D18" s="29"/>
      <c r="E18" s="6"/>
      <c r="F18" s="7"/>
      <c r="G18" s="7"/>
      <c r="H18" s="8"/>
    </row>
    <row r="19" spans="1:11" ht="5.0999999999999996" customHeight="1" x14ac:dyDescent="0.25">
      <c r="A19" s="73"/>
      <c r="B19" s="2"/>
      <c r="C19" s="2"/>
      <c r="D19" s="21"/>
      <c r="E19" s="2"/>
      <c r="F19" s="2"/>
      <c r="G19" s="2"/>
      <c r="H19" s="74"/>
    </row>
    <row r="20" spans="1:11" x14ac:dyDescent="0.25">
      <c r="A20" s="3"/>
      <c r="B20" s="4" t="s">
        <v>22</v>
      </c>
      <c r="C20" s="5"/>
      <c r="D20" s="29"/>
      <c r="E20" s="6"/>
      <c r="F20" s="7"/>
      <c r="G20" s="7"/>
      <c r="H20" s="8">
        <f>H22+H32+H45+H53+H58</f>
        <v>83506.94</v>
      </c>
    </row>
    <row r="21" spans="1:11" ht="5.0999999999999996" customHeight="1" x14ac:dyDescent="0.25">
      <c r="A21" s="73"/>
      <c r="B21" s="2"/>
      <c r="C21" s="2"/>
      <c r="D21" s="21"/>
      <c r="E21" s="2"/>
      <c r="F21" s="2"/>
      <c r="G21" s="2"/>
      <c r="H21" s="74"/>
    </row>
    <row r="22" spans="1:11" x14ac:dyDescent="0.25">
      <c r="A22" s="30"/>
      <c r="B22" s="31" t="s">
        <v>23</v>
      </c>
      <c r="C22" s="32"/>
      <c r="D22" s="33"/>
      <c r="E22" s="34"/>
      <c r="F22" s="35"/>
      <c r="G22" s="35"/>
      <c r="H22" s="36">
        <f>SUM(H24:H30)</f>
        <v>22591.54</v>
      </c>
      <c r="J22" s="320"/>
    </row>
    <row r="23" spans="1:11" ht="4.5" customHeight="1" x14ac:dyDescent="0.25">
      <c r="A23" s="73"/>
      <c r="B23" s="2"/>
      <c r="C23" s="2"/>
      <c r="D23" s="21"/>
      <c r="E23" s="2"/>
      <c r="F23" s="2"/>
      <c r="G23" s="2"/>
      <c r="H23" s="74"/>
    </row>
    <row r="24" spans="1:11" x14ac:dyDescent="0.25">
      <c r="A24" s="15">
        <f>IF(AND(B24&lt;&gt;"",C24&lt;&gt;""),LARGE($A$14:$A23,1)+1,"")</f>
        <v>2</v>
      </c>
      <c r="B24" s="16" t="s">
        <v>4398</v>
      </c>
      <c r="C24" s="337">
        <v>20802</v>
      </c>
      <c r="D24" s="18" t="str">
        <f>IF(B24&amp;C24="","",VLOOKUP(B24&amp;C24,SERVIÇOS!C:F,2,0))</f>
        <v>Placa de identificação para obra</v>
      </c>
      <c r="E24" s="16" t="str">
        <f>IF(B24&amp;C24="","",VLOOKUP(B24&amp;C24,SERVIÇOS!C:F,3,0))</f>
        <v>m²</v>
      </c>
      <c r="F24" s="19">
        <v>6</v>
      </c>
      <c r="G24" s="431">
        <v>335.68</v>
      </c>
      <c r="H24" s="20">
        <f t="shared" ref="H24:H29" si="0">IF(G24="","",TRUNC(G24*F24,2))</f>
        <v>2014.08</v>
      </c>
      <c r="J24" s="320"/>
      <c r="K24" s="320"/>
    </row>
    <row r="25" spans="1:11" ht="30" x14ac:dyDescent="0.25">
      <c r="A25" s="15">
        <f>IF(AND(B25&lt;&gt;"",C25&lt;&gt;""),LARGE($A$14:$A24,1)+1,"")</f>
        <v>3</v>
      </c>
      <c r="B25" s="16" t="s">
        <v>4398</v>
      </c>
      <c r="C25" s="337">
        <v>20102</v>
      </c>
      <c r="D25" s="18" t="str">
        <f>IF(B25&amp;C25="","",VLOOKUP(B25&amp;C25,SERVIÇOS!C:F,2,0))</f>
        <v>Construção provisória em madeira - fornecimento e montagem</v>
      </c>
      <c r="E25" s="16" t="str">
        <f>IF(B25&amp;C25="","",VLOOKUP(B25&amp;C25,SERVIÇOS!C:F,3,0))</f>
        <v>m²</v>
      </c>
      <c r="F25" s="19">
        <v>20</v>
      </c>
      <c r="G25" s="431">
        <v>275.33</v>
      </c>
      <c r="H25" s="20">
        <f t="shared" ref="H25" si="1">IF(G25="","",TRUNC(G25*F25,2))</f>
        <v>5506.6</v>
      </c>
    </row>
    <row r="26" spans="1:11" ht="30" x14ac:dyDescent="0.25">
      <c r="A26" s="15">
        <f>IF(AND(B26&lt;&gt;"",C26&lt;&gt;""),LARGE($A$14:$A25,1)+1,"")</f>
        <v>4</v>
      </c>
      <c r="B26" s="231" t="s">
        <v>5177</v>
      </c>
      <c r="C26" s="17" t="s">
        <v>4839</v>
      </c>
      <c r="D26" s="18" t="str">
        <f>IF(B26&amp;C26="","",VLOOKUP(B26&amp;C26,SERVIÇOS!C:F,2,0))</f>
        <v>Instal/ligacao provisoria eletrica baixa tensao p/cant obra obra,m3-chave 100a carga 3kwh,20cv excl forn medidor</v>
      </c>
      <c r="E26" s="16" t="str">
        <f>IF(B26&amp;C26="","",VLOOKUP(B26&amp;C26,SERVIÇOS!C:F,3,0))</f>
        <v>un</v>
      </c>
      <c r="F26" s="19">
        <v>1</v>
      </c>
      <c r="G26" s="20">
        <f>IF(B26&amp;C26="","",VLOOKUP(B26&amp;C26,SERVIÇOS!C:F,4,0))*1.1033</f>
        <v>1392.0998079999999</v>
      </c>
      <c r="H26" s="20">
        <f t="shared" si="0"/>
        <v>1392.09</v>
      </c>
    </row>
    <row r="27" spans="1:11" ht="33" customHeight="1" x14ac:dyDescent="0.25">
      <c r="A27" s="15">
        <f>IF(AND(B27&lt;&gt;"",C27&lt;&gt;""),LARGE($A$14:$A26,1)+1,"")</f>
        <v>5</v>
      </c>
      <c r="B27" s="16" t="s">
        <v>4398</v>
      </c>
      <c r="C27" s="337">
        <v>450106</v>
      </c>
      <c r="D27" s="18" t="str">
        <f>IF(B27&amp;C27="","",VLOOKUP(B27&amp;C27,SERVIÇOS!C:F,2,0))</f>
        <v>Entrada completa de água com abrigo e registro de gaveta, DN= 1 1/2´</v>
      </c>
      <c r="E27" s="16" t="str">
        <f>IF(B27&amp;C27="","",VLOOKUP(B27&amp;C27,SERVIÇOS!C:F,3,0))</f>
        <v>un</v>
      </c>
      <c r="F27" s="19">
        <v>1</v>
      </c>
      <c r="G27" s="431">
        <v>2223.61</v>
      </c>
      <c r="H27" s="20">
        <f t="shared" ref="H27" si="2">IF(G27="","",TRUNC(G27*F27,2))</f>
        <v>2223.61</v>
      </c>
    </row>
    <row r="28" spans="1:11" x14ac:dyDescent="0.25">
      <c r="A28" s="15">
        <f>IF(AND(B28&lt;&gt;"",C28&lt;&gt;""),LARGE($A$14:$A27,1)+1,"")</f>
        <v>6</v>
      </c>
      <c r="B28" s="16" t="s">
        <v>4398</v>
      </c>
      <c r="C28" s="337">
        <v>340501</v>
      </c>
      <c r="D28" s="18" t="str">
        <f>IF(B28&amp;C28="","",VLOOKUP(B28&amp;C28,SERVIÇOS!C:F,2,0))</f>
        <v>Cerca em arame farpado com mourões de eucalipto</v>
      </c>
      <c r="E28" s="16" t="str">
        <f>IF(B28&amp;C28="","",VLOOKUP(B28&amp;C28,SERVIÇOS!C:F,3,0))</f>
        <v>m</v>
      </c>
      <c r="F28" s="19">
        <v>146.5</v>
      </c>
      <c r="G28" s="431">
        <v>49.04</v>
      </c>
      <c r="H28" s="20">
        <f t="shared" si="0"/>
        <v>7184.36</v>
      </c>
    </row>
    <row r="29" spans="1:11" ht="30" x14ac:dyDescent="0.25">
      <c r="A29" s="15">
        <f>IF(AND(B29&lt;&gt;"",C29&lt;&gt;""),LARGE($A$14:$A28,1)+1,"")</f>
        <v>7</v>
      </c>
      <c r="B29" s="16" t="s">
        <v>4398</v>
      </c>
      <c r="C29" s="17">
        <v>20118</v>
      </c>
      <c r="D29" s="18" t="str">
        <f>IF(B29&amp;C29="","",VLOOKUP(B29&amp;C29,SERVIÇOS!C:F,2,0))</f>
        <v>Banheiro químico, modelo Standard, com manutenção conforme exigências da CETESB</v>
      </c>
      <c r="E29" s="16" t="str">
        <f>IF(B29&amp;C29="","",VLOOKUP(B29&amp;C29,SERVIÇOS!C:F,3,0))</f>
        <v>unxmês</v>
      </c>
      <c r="F29" s="19">
        <f>4*2</f>
        <v>8</v>
      </c>
      <c r="G29" s="431">
        <v>500</v>
      </c>
      <c r="H29" s="20">
        <f t="shared" si="0"/>
        <v>4000</v>
      </c>
    </row>
    <row r="30" spans="1:11" x14ac:dyDescent="0.25">
      <c r="A30" s="15">
        <f>IF(AND(B30&lt;&gt;"",C30&lt;&gt;""),LARGE($A$14:$A29,1)+1,"")</f>
        <v>8</v>
      </c>
      <c r="B30" s="16" t="s">
        <v>4398</v>
      </c>
      <c r="C30" s="17">
        <v>20120</v>
      </c>
      <c r="D30" s="18" t="str">
        <f>IF(B30&amp;C30="","",VLOOKUP(B30&amp;C30,SERVIÇOS!C:F,2,0))</f>
        <v>Desmobilização de construção provisória</v>
      </c>
      <c r="E30" s="16" t="str">
        <f>IF(B30&amp;C30="","",VLOOKUP(B30&amp;C30,SERVIÇOS!C:F,3,0))</f>
        <v>m²</v>
      </c>
      <c r="F30" s="19">
        <v>20</v>
      </c>
      <c r="G30" s="431">
        <v>13.54</v>
      </c>
      <c r="H30" s="20">
        <f t="shared" ref="H30" si="3">IF(G30="","",TRUNC(G30*F30,2))</f>
        <v>270.8</v>
      </c>
    </row>
    <row r="31" spans="1:11" ht="4.5" customHeight="1" x14ac:dyDescent="0.25">
      <c r="A31" s="15"/>
      <c r="B31" s="16"/>
      <c r="C31" s="337"/>
      <c r="D31" s="18"/>
      <c r="E31" s="16"/>
      <c r="F31" s="19"/>
      <c r="G31" s="431"/>
      <c r="H31" s="20"/>
    </row>
    <row r="32" spans="1:11" ht="20.100000000000001" customHeight="1" x14ac:dyDescent="0.25">
      <c r="A32" s="430"/>
      <c r="B32" s="31" t="s">
        <v>5533</v>
      </c>
      <c r="C32" s="32"/>
      <c r="D32" s="33"/>
      <c r="E32" s="34"/>
      <c r="F32" s="35"/>
      <c r="G32" s="35"/>
      <c r="H32" s="36">
        <f>SUM(H34:H43)</f>
        <v>17125.740000000002</v>
      </c>
    </row>
    <row r="33" spans="1:8" ht="4.5" customHeight="1" x14ac:dyDescent="0.25">
      <c r="A33" s="15"/>
      <c r="B33" s="231"/>
      <c r="C33" s="17"/>
      <c r="D33" s="18"/>
      <c r="E33" s="16"/>
      <c r="F33" s="19"/>
      <c r="G33" s="20"/>
      <c r="H33" s="20"/>
    </row>
    <row r="34" spans="1:8" ht="30" x14ac:dyDescent="0.25">
      <c r="A34" s="15"/>
      <c r="B34" s="16" t="s">
        <v>4398</v>
      </c>
      <c r="C34" s="337">
        <v>20215</v>
      </c>
      <c r="D34" s="18" t="s">
        <v>5534</v>
      </c>
      <c r="E34" s="433" t="s">
        <v>212</v>
      </c>
      <c r="F34" s="19">
        <v>12</v>
      </c>
      <c r="G34" s="431">
        <v>511.14</v>
      </c>
      <c r="H34" s="20">
        <f t="shared" ref="H34:H43" si="4">G34*F34</f>
        <v>6133.68</v>
      </c>
    </row>
    <row r="35" spans="1:8" ht="20.100000000000001" customHeight="1" x14ac:dyDescent="0.25">
      <c r="A35" s="15"/>
      <c r="B35" s="16" t="s">
        <v>4398</v>
      </c>
      <c r="C35" s="434" t="s">
        <v>5546</v>
      </c>
      <c r="D35" s="18" t="s">
        <v>5535</v>
      </c>
      <c r="E35" s="16" t="s">
        <v>119</v>
      </c>
      <c r="F35" s="19">
        <v>20</v>
      </c>
      <c r="G35" s="431">
        <v>91.53</v>
      </c>
      <c r="H35" s="20">
        <f t="shared" si="4"/>
        <v>1830.6</v>
      </c>
    </row>
    <row r="36" spans="1:8" ht="30" x14ac:dyDescent="0.25">
      <c r="A36" s="15"/>
      <c r="B36" s="16" t="s">
        <v>4398</v>
      </c>
      <c r="C36" s="337">
        <v>50406</v>
      </c>
      <c r="D36" s="18" t="s">
        <v>5536</v>
      </c>
      <c r="E36" s="16" t="s">
        <v>119</v>
      </c>
      <c r="F36" s="19">
        <v>20</v>
      </c>
      <c r="G36" s="431">
        <v>91.53</v>
      </c>
      <c r="H36" s="20">
        <f t="shared" si="4"/>
        <v>1830.6</v>
      </c>
    </row>
    <row r="37" spans="1:8" ht="31.5" customHeight="1" x14ac:dyDescent="0.25">
      <c r="A37" s="15"/>
      <c r="B37" s="16" t="s">
        <v>4398</v>
      </c>
      <c r="C37" s="337" t="s">
        <v>5542</v>
      </c>
      <c r="D37" s="18" t="s">
        <v>5543</v>
      </c>
      <c r="E37" s="16" t="s">
        <v>129</v>
      </c>
      <c r="F37" s="19">
        <v>22</v>
      </c>
      <c r="G37" s="431">
        <v>11.71</v>
      </c>
      <c r="H37" s="20">
        <f>G37*F37</f>
        <v>257.62</v>
      </c>
    </row>
    <row r="38" spans="1:8" ht="20.100000000000001" customHeight="1" x14ac:dyDescent="0.25">
      <c r="A38" s="15"/>
      <c r="B38" s="16" t="s">
        <v>4398</v>
      </c>
      <c r="C38" s="337" t="s">
        <v>5544</v>
      </c>
      <c r="D38" s="18" t="s">
        <v>5545</v>
      </c>
      <c r="E38" s="16" t="s">
        <v>129</v>
      </c>
      <c r="F38" s="19">
        <v>22</v>
      </c>
      <c r="G38" s="431">
        <v>8.85</v>
      </c>
      <c r="H38" s="20">
        <f>G38*F38</f>
        <v>194.7</v>
      </c>
    </row>
    <row r="39" spans="1:8" ht="20.100000000000001" customHeight="1" x14ac:dyDescent="0.25">
      <c r="A39" s="15"/>
      <c r="B39" s="16" t="s">
        <v>4398</v>
      </c>
      <c r="C39" s="337">
        <v>3918126</v>
      </c>
      <c r="D39" s="18" t="s">
        <v>2599</v>
      </c>
      <c r="E39" s="16" t="s">
        <v>5537</v>
      </c>
      <c r="F39" s="19">
        <v>200</v>
      </c>
      <c r="G39" s="431">
        <v>6.61</v>
      </c>
      <c r="H39" s="20">
        <f t="shared" si="4"/>
        <v>1322</v>
      </c>
    </row>
    <row r="40" spans="1:8" ht="20.100000000000001" customHeight="1" x14ac:dyDescent="0.25">
      <c r="A40" s="15"/>
      <c r="B40" s="16" t="s">
        <v>4398</v>
      </c>
      <c r="C40" s="337">
        <v>690925</v>
      </c>
      <c r="D40" s="18" t="s">
        <v>4307</v>
      </c>
      <c r="E40" s="16" t="str">
        <f>IF(B40&amp;C40="","",VLOOKUP(B40&amp;C40,SERVIÇOS!C:F,3,0))</f>
        <v>un</v>
      </c>
      <c r="F40" s="19">
        <v>20</v>
      </c>
      <c r="G40" s="431">
        <v>38.78</v>
      </c>
      <c r="H40" s="20">
        <f t="shared" si="4"/>
        <v>775.6</v>
      </c>
    </row>
    <row r="41" spans="1:8" ht="20.100000000000001" customHeight="1" x14ac:dyDescent="0.25">
      <c r="A41" s="15"/>
      <c r="B41" s="16" t="s">
        <v>4398</v>
      </c>
      <c r="C41" s="337">
        <v>690334</v>
      </c>
      <c r="D41" s="432" t="s">
        <v>4267</v>
      </c>
      <c r="E41" s="16" t="s">
        <v>58</v>
      </c>
      <c r="F41" s="19">
        <v>20</v>
      </c>
      <c r="G41" s="431">
        <v>29.07</v>
      </c>
      <c r="H41" s="20">
        <f t="shared" si="4"/>
        <v>581.4</v>
      </c>
    </row>
    <row r="42" spans="1:8" ht="45" x14ac:dyDescent="0.25">
      <c r="A42" s="15"/>
      <c r="B42" s="16" t="s">
        <v>4398</v>
      </c>
      <c r="C42" s="17">
        <v>391102</v>
      </c>
      <c r="D42" s="432" t="s">
        <v>2558</v>
      </c>
      <c r="E42" s="16" t="s">
        <v>110</v>
      </c>
      <c r="F42" s="19">
        <v>50</v>
      </c>
      <c r="G42" s="431">
        <v>8.06</v>
      </c>
      <c r="H42" s="20">
        <f t="shared" si="4"/>
        <v>403</v>
      </c>
    </row>
    <row r="43" spans="1:8" ht="30" x14ac:dyDescent="0.25">
      <c r="A43" s="15"/>
      <c r="B43" s="16" t="s">
        <v>4398</v>
      </c>
      <c r="C43" s="17">
        <v>6620225</v>
      </c>
      <c r="D43" s="432" t="s">
        <v>5541</v>
      </c>
      <c r="E43" s="16" t="s">
        <v>5538</v>
      </c>
      <c r="F43" s="19">
        <v>2</v>
      </c>
      <c r="G43" s="431">
        <v>1898.27</v>
      </c>
      <c r="H43" s="20">
        <f t="shared" si="4"/>
        <v>3796.54</v>
      </c>
    </row>
    <row r="44" spans="1:8" ht="4.5" customHeight="1" x14ac:dyDescent="0.25">
      <c r="A44" s="15"/>
      <c r="B44" s="16"/>
      <c r="C44" s="337"/>
      <c r="D44" s="18"/>
      <c r="E44" s="16"/>
      <c r="F44" s="19"/>
      <c r="G44" s="431"/>
      <c r="H44" s="20"/>
    </row>
    <row r="45" spans="1:8" x14ac:dyDescent="0.25">
      <c r="A45" s="30"/>
      <c r="B45" s="31" t="s">
        <v>24</v>
      </c>
      <c r="C45" s="32"/>
      <c r="D45" s="33"/>
      <c r="E45" s="34"/>
      <c r="F45" s="35"/>
      <c r="G45" s="35"/>
      <c r="H45" s="36">
        <f>SUM(H47:H51)</f>
        <v>14918.48</v>
      </c>
    </row>
    <row r="46" spans="1:8" ht="4.5" customHeight="1" x14ac:dyDescent="0.25">
      <c r="A46" s="73"/>
      <c r="B46" s="2"/>
      <c r="C46" s="2"/>
      <c r="D46" s="21"/>
      <c r="E46" s="2"/>
      <c r="F46" s="2"/>
      <c r="G46" s="2"/>
      <c r="H46" s="74"/>
    </row>
    <row r="47" spans="1:8" ht="45" customHeight="1" x14ac:dyDescent="0.25">
      <c r="A47" s="15">
        <f>IF(AND(B47&lt;&gt;"",C47&lt;&gt;""),LARGE($A$14:$A46,1)+1,"")</f>
        <v>9</v>
      </c>
      <c r="B47" s="16" t="s">
        <v>4398</v>
      </c>
      <c r="C47" s="337">
        <v>30120</v>
      </c>
      <c r="D47" s="18" t="str">
        <f>IF(B47&amp;C47="","",VLOOKUP(B47&amp;C47,SERVIÇOS!C:F,2,0))</f>
        <v>Demolição mecanizada de concreto armado, inclusive fragmentação, carregamento, transporte até 1,0 quilômetro e descarregamento</v>
      </c>
      <c r="E47" s="16" t="str">
        <f>IF(B47&amp;C47="","",VLOOKUP(B47&amp;C47,SERVIÇOS!C:F,3,0))</f>
        <v>m³</v>
      </c>
      <c r="F47" s="19">
        <v>15</v>
      </c>
      <c r="G47" s="431">
        <v>328.96</v>
      </c>
      <c r="H47" s="20">
        <f t="shared" ref="H47" si="5">IF(G47="","",TRUNC(G47*F47,2))</f>
        <v>4934.3999999999996</v>
      </c>
    </row>
    <row r="48" spans="1:8" ht="45" customHeight="1" x14ac:dyDescent="0.25">
      <c r="A48" s="15">
        <f>IF(AND(B48&lt;&gt;"",C48&lt;&gt;""),LARGE($A$14:$A47,1)+1,"")</f>
        <v>10</v>
      </c>
      <c r="B48" s="16" t="s">
        <v>4398</v>
      </c>
      <c r="C48" s="337">
        <v>30204</v>
      </c>
      <c r="D48" s="18" t="str">
        <f>IF(B48&amp;C48="","",VLOOKUP(B48&amp;C48,SERVIÇOS!C:F,2,0))</f>
        <v>Demolição manual de alvenaria de elevação ou elemento vazado, incluindo revestimento</v>
      </c>
      <c r="E48" s="16" t="str">
        <f>IF(B48&amp;C48="","",VLOOKUP(B48&amp;C48,SERVIÇOS!C:F,3,0))</f>
        <v>m³</v>
      </c>
      <c r="F48" s="19">
        <v>25</v>
      </c>
      <c r="G48" s="431">
        <v>58.6</v>
      </c>
      <c r="H48" s="20">
        <f t="shared" ref="H48:H51" si="6">IF(G48="","",TRUNC(G48*F48,2))</f>
        <v>1465</v>
      </c>
    </row>
    <row r="49" spans="1:8" ht="15" customHeight="1" x14ac:dyDescent="0.25">
      <c r="A49" s="15">
        <f>IF(AND(B49&lt;&gt;"",C49&lt;&gt;""),LARGE($A$14:$A48,1)+1,"")</f>
        <v>11</v>
      </c>
      <c r="B49" s="16" t="s">
        <v>4398</v>
      </c>
      <c r="C49" s="337">
        <v>40302</v>
      </c>
      <c r="D49" s="18" t="str">
        <f>IF(B49&amp;C49="","",VLOOKUP(B49&amp;C49,SERVIÇOS!C:F,2,0))</f>
        <v>Retirada de telhamento em barro</v>
      </c>
      <c r="E49" s="16" t="str">
        <f>IF(B49&amp;C49="","",VLOOKUP(B49&amp;C49,SERVIÇOS!C:F,3,0))</f>
        <v>m²</v>
      </c>
      <c r="F49" s="19">
        <v>200</v>
      </c>
      <c r="G49" s="431">
        <v>11.36</v>
      </c>
      <c r="H49" s="20">
        <f t="shared" si="6"/>
        <v>2272</v>
      </c>
    </row>
    <row r="50" spans="1:8" ht="15" customHeight="1" x14ac:dyDescent="0.25">
      <c r="A50" s="15">
        <f>IF(AND(B50&lt;&gt;"",C50&lt;&gt;""),LARGE($A$14:$A49,1)+1,"")</f>
        <v>12</v>
      </c>
      <c r="B50" s="16" t="s">
        <v>4398</v>
      </c>
      <c r="C50" s="337">
        <v>40211</v>
      </c>
      <c r="D50" s="18" t="str">
        <f>IF(B50&amp;C50="","",VLOOKUP(B50&amp;C50,SERVIÇOS!C:F,2,0))</f>
        <v>Retirada de estrutura em madeira pontaletada - telhas perfil qualquer</v>
      </c>
      <c r="E50" s="16" t="str">
        <f>IF(B50&amp;C50="","",VLOOKUP(B50&amp;C50,SERVIÇOS!C:F,3,0))</f>
        <v>m²</v>
      </c>
      <c r="F50" s="19">
        <v>200</v>
      </c>
      <c r="G50" s="431">
        <v>9.4499999999999993</v>
      </c>
      <c r="H50" s="20">
        <f t="shared" si="6"/>
        <v>1890</v>
      </c>
    </row>
    <row r="51" spans="1:8" ht="45" customHeight="1" x14ac:dyDescent="0.25">
      <c r="A51" s="15">
        <f>IF(AND(B51&lt;&gt;"",C51&lt;&gt;""),LARGE($A$14:$A50,1)+1,"")</f>
        <v>13</v>
      </c>
      <c r="B51" s="16" t="s">
        <v>4398</v>
      </c>
      <c r="C51" s="337">
        <v>50704</v>
      </c>
      <c r="D51" s="18" t="str">
        <f>IF(B51&amp;C51="","",VLOOKUP(B51&amp;C51,SERVIÇOS!C:F,2,0))</f>
        <v>Remoção de entulho separado de obra com caçamba metálica - terra, alvenaria, concreto, argamassa, madeira, papel, plástico ou metal</v>
      </c>
      <c r="E51" s="16" t="str">
        <f>IF(B51&amp;C51="","",VLOOKUP(B51&amp;C51,SERVIÇOS!C:F,3,0))</f>
        <v>m³</v>
      </c>
      <c r="F51" s="19">
        <f>(F47+F48)*1.3</f>
        <v>52</v>
      </c>
      <c r="G51" s="431">
        <v>83.79</v>
      </c>
      <c r="H51" s="20">
        <f t="shared" si="6"/>
        <v>4357.08</v>
      </c>
    </row>
    <row r="52" spans="1:8" ht="5.0999999999999996" customHeight="1" x14ac:dyDescent="0.25">
      <c r="A52" s="73"/>
      <c r="B52" s="2"/>
      <c r="C52" s="2"/>
      <c r="D52" s="2"/>
      <c r="E52" s="2"/>
      <c r="F52" s="2"/>
      <c r="G52" s="2"/>
      <c r="H52" s="74"/>
    </row>
    <row r="53" spans="1:8" x14ac:dyDescent="0.25">
      <c r="A53" s="30"/>
      <c r="B53" s="31" t="s">
        <v>4698</v>
      </c>
      <c r="C53" s="32"/>
      <c r="D53" s="33"/>
      <c r="E53" s="34"/>
      <c r="F53" s="35"/>
      <c r="G53" s="35"/>
      <c r="H53" s="36">
        <f>SUM(H55:H56)</f>
        <v>25746.38</v>
      </c>
    </row>
    <row r="54" spans="1:8" ht="5.0999999999999996" customHeight="1" x14ac:dyDescent="0.25">
      <c r="A54" s="73"/>
      <c r="B54" s="2"/>
      <c r="C54" s="2"/>
      <c r="D54" s="21"/>
      <c r="E54" s="2"/>
      <c r="F54" s="2"/>
      <c r="G54" s="2"/>
      <c r="H54" s="74"/>
    </row>
    <row r="55" spans="1:8" ht="45" customHeight="1" x14ac:dyDescent="0.25">
      <c r="A55" s="15">
        <f>IF(AND(B55&lt;&gt;"",C55&lt;&gt;""),LARGE($A$14:$A54,1)+1,"")</f>
        <v>14</v>
      </c>
      <c r="B55" s="16" t="s">
        <v>4398</v>
      </c>
      <c r="C55" s="337">
        <v>20913</v>
      </c>
      <c r="D55" s="18" t="str">
        <f>IF(B55&amp;C55="","",VLOOKUP(B55&amp;C55,SERVIÇOS!C:F,2,0))</f>
        <v>Limpeza mecanizada do terreno, inclusive troncos com diâmetro acima de 15 cm até 50 cm, com caminhão à disposição dentro da obra, até o raio de 1,0 km</v>
      </c>
      <c r="E55" s="16" t="str">
        <f>IF(B55&amp;C55="","",VLOOKUP(B55&amp;C55,SERVIÇOS!C:F,3,0))</f>
        <v>m²</v>
      </c>
      <c r="F55" s="19">
        <v>583.62</v>
      </c>
      <c r="G55" s="431">
        <v>2.2200000000000002</v>
      </c>
      <c r="H55" s="20">
        <f t="shared" ref="H55:H56" si="7">IF(G55="","",TRUNC(G55*F55,2))</f>
        <v>1295.6300000000001</v>
      </c>
    </row>
    <row r="56" spans="1:8" ht="45" customHeight="1" x14ac:dyDescent="0.25">
      <c r="A56" s="15">
        <f>IF(AND(B56&lt;&gt;"",C56&lt;&gt;""),LARGE($A$14:$A55,1)+1,"")</f>
        <v>15</v>
      </c>
      <c r="B56" s="16" t="s">
        <v>4398</v>
      </c>
      <c r="C56" s="337">
        <v>50704</v>
      </c>
      <c r="D56" s="18" t="str">
        <f>IF(B56&amp;C56="","",VLOOKUP(B56&amp;C56,SERVIÇOS!C:F,2,0))</f>
        <v>Remoção de entulho separado de obra com caçamba metálica - terra, alvenaria, concreto, argamassa, madeira, papel, plástico ou metal</v>
      </c>
      <c r="E56" s="16" t="str">
        <f>IF(B56&amp;C56="","",VLOOKUP(B56&amp;C56,SERVIÇOS!C:F,3,0))</f>
        <v>m³</v>
      </c>
      <c r="F56" s="19">
        <f>F55*0.5</f>
        <v>291.81</v>
      </c>
      <c r="G56" s="431">
        <v>83.79</v>
      </c>
      <c r="H56" s="20">
        <f t="shared" si="7"/>
        <v>24450.75</v>
      </c>
    </row>
    <row r="57" spans="1:8" ht="5.0999999999999996" customHeight="1" x14ac:dyDescent="0.25">
      <c r="A57" s="73"/>
      <c r="B57" s="2"/>
      <c r="C57" s="2"/>
      <c r="D57" s="2"/>
      <c r="E57" s="2"/>
      <c r="F57" s="2"/>
      <c r="G57" s="2"/>
      <c r="H57" s="74"/>
    </row>
    <row r="58" spans="1:8" x14ac:dyDescent="0.25">
      <c r="A58" s="30"/>
      <c r="B58" s="31" t="s">
        <v>4697</v>
      </c>
      <c r="C58" s="32"/>
      <c r="D58" s="33"/>
      <c r="E58" s="34"/>
      <c r="F58" s="35"/>
      <c r="G58" s="35"/>
      <c r="H58" s="36">
        <f>SUBTOTAL(9,H59:H61)</f>
        <v>3124.8</v>
      </c>
    </row>
    <row r="59" spans="1:8" ht="5.0999999999999996" customHeight="1" x14ac:dyDescent="0.25">
      <c r="A59" s="73"/>
      <c r="B59" s="2"/>
      <c r="C59" s="2"/>
      <c r="D59" s="21"/>
      <c r="E59" s="2"/>
      <c r="F59" s="2"/>
      <c r="G59" s="2"/>
      <c r="H59" s="74"/>
    </row>
    <row r="60" spans="1:8" ht="15" customHeight="1" x14ac:dyDescent="0.25">
      <c r="A60" s="15">
        <f>IF(AND(B60&lt;&gt;"",C60&lt;&gt;""),LARGE($A$14:$A59,1)+1,"")</f>
        <v>16</v>
      </c>
      <c r="B60" s="16" t="s">
        <v>4398</v>
      </c>
      <c r="C60" s="337">
        <v>21002</v>
      </c>
      <c r="D60" s="18" t="str">
        <f>IF(B60&amp;C60="","",VLOOKUP(B60&amp;C60,SERVIÇOS!C:F,2,0))</f>
        <v>Locação de obra de edificação</v>
      </c>
      <c r="E60" s="16" t="str">
        <f>IF(B60&amp;C60="","",VLOOKUP(B60&amp;C60,SERVIÇOS!C:F,3,0))</f>
        <v>m²</v>
      </c>
      <c r="F60" s="19">
        <v>360</v>
      </c>
      <c r="G60" s="431">
        <v>8.68</v>
      </c>
      <c r="H60" s="20">
        <f t="shared" ref="H60" si="8">IF(G60="","",TRUNC(G60*F60,2))</f>
        <v>3124.8</v>
      </c>
    </row>
    <row r="61" spans="1:8" ht="5.0999999999999996" customHeight="1" x14ac:dyDescent="0.25">
      <c r="A61" s="73"/>
      <c r="B61" s="2"/>
      <c r="C61" s="2"/>
      <c r="D61" s="21"/>
      <c r="E61" s="2"/>
      <c r="F61" s="2"/>
      <c r="G61" s="2"/>
      <c r="H61" s="74"/>
    </row>
    <row r="62" spans="1:8" x14ac:dyDescent="0.25">
      <c r="A62" s="3"/>
      <c r="B62" s="4" t="s">
        <v>25</v>
      </c>
      <c r="C62" s="5"/>
      <c r="D62" s="29"/>
      <c r="E62" s="6"/>
      <c r="F62" s="7"/>
      <c r="G62" s="7"/>
      <c r="H62" s="8">
        <f>SUM(H64:H66)</f>
        <v>1550.3</v>
      </c>
    </row>
    <row r="63" spans="1:8" ht="5.0999999999999996" customHeight="1" x14ac:dyDescent="0.25">
      <c r="A63" s="73"/>
      <c r="B63" s="2"/>
      <c r="C63" s="2"/>
      <c r="D63" s="21"/>
      <c r="E63" s="2"/>
      <c r="F63" s="2"/>
      <c r="G63" s="2"/>
      <c r="H63" s="74"/>
    </row>
    <row r="64" spans="1:8" ht="30" customHeight="1" x14ac:dyDescent="0.25">
      <c r="A64" s="15">
        <f>IF(AND(B64&lt;&gt;"",C64&lt;&gt;""),LARGE($A$14:$A63,1)+1,"")</f>
        <v>17</v>
      </c>
      <c r="B64" s="16" t="s">
        <v>4398</v>
      </c>
      <c r="C64" s="337">
        <v>70102</v>
      </c>
      <c r="D64" s="18" t="str">
        <f>IF(B64&amp;C64="","",VLOOKUP(B64&amp;C64,SERVIÇOS!C:F,2,0))</f>
        <v>Escavação e carga mecanizada em solo de 1ª categoria, em campo aberto</v>
      </c>
      <c r="E64" s="16" t="str">
        <f>IF(B64&amp;C64="","",VLOOKUP(B64&amp;C64,SERVIÇOS!C:F,3,0))</f>
        <v>m³</v>
      </c>
      <c r="F64" s="19">
        <v>27.51</v>
      </c>
      <c r="G64" s="431">
        <v>7.81</v>
      </c>
      <c r="H64" s="20">
        <f t="shared" ref="H64:H66" si="9">IF(G64="","",TRUNC(G64*F64,2))</f>
        <v>214.85</v>
      </c>
    </row>
    <row r="65" spans="1:8" ht="30" x14ac:dyDescent="0.25">
      <c r="A65" s="15">
        <f>IF(AND(B65&lt;&gt;"",C65&lt;&gt;""),LARGE($A$14:$A64,1)+1,"")</f>
        <v>18</v>
      </c>
      <c r="B65" s="16" t="s">
        <v>4398</v>
      </c>
      <c r="C65" s="337">
        <v>71104</v>
      </c>
      <c r="D65" s="18" t="str">
        <f>IF(B65&amp;C65="","",VLOOKUP(B65&amp;C65,SERVIÇOS!C:F,2,0))</f>
        <v>Reaterro compactado mecanizado de vala ou cava com rolo, mínimo de 95% PN</v>
      </c>
      <c r="E65" s="16" t="str">
        <f>IF(B65&amp;C65="","",VLOOKUP(B65&amp;C65,SERVIÇOS!C:F,3,0))</f>
        <v>m³</v>
      </c>
      <c r="F65" s="19">
        <v>13.54</v>
      </c>
      <c r="G65" s="431">
        <v>12.18</v>
      </c>
      <c r="H65" s="20">
        <f t="shared" ref="H65" si="10">IF(G65="","",TRUNC(G65*F65,2))</f>
        <v>164.91</v>
      </c>
    </row>
    <row r="66" spans="1:8" ht="45" x14ac:dyDescent="0.25">
      <c r="A66" s="15">
        <f>IF(AND(B66&lt;&gt;"",C66&lt;&gt;""),LARGE($A$14:$A65,1)+1,"")</f>
        <v>19</v>
      </c>
      <c r="B66" s="16" t="s">
        <v>4398</v>
      </c>
      <c r="C66" s="337">
        <v>50704</v>
      </c>
      <c r="D66" s="18" t="str">
        <f>IF(B66&amp;C66="","",VLOOKUP(B66&amp;C66,SERVIÇOS!C:F,2,0))</f>
        <v>Remoção de entulho separado de obra com caçamba metálica - terra, alvenaria, concreto, argamassa, madeira, papel, plástico ou metal</v>
      </c>
      <c r="E66" s="16" t="str">
        <f>IF(B66&amp;C66="","",VLOOKUP(B66&amp;C66,SERVIÇOS!C:F,3,0))</f>
        <v>m³</v>
      </c>
      <c r="F66" s="19">
        <f>F64-F65</f>
        <v>13.970000000000002</v>
      </c>
      <c r="G66" s="431">
        <v>83.79</v>
      </c>
      <c r="H66" s="20">
        <f t="shared" si="9"/>
        <v>1170.54</v>
      </c>
    </row>
    <row r="67" spans="1:8" ht="5.0999999999999996" customHeight="1" x14ac:dyDescent="0.25">
      <c r="A67" s="73"/>
      <c r="B67" s="2"/>
      <c r="C67" s="2"/>
      <c r="D67" s="2"/>
      <c r="E67" s="2"/>
      <c r="F67" s="2"/>
      <c r="G67" s="2"/>
      <c r="H67" s="74"/>
    </row>
    <row r="68" spans="1:8" x14ac:dyDescent="0.25">
      <c r="A68" s="3"/>
      <c r="B68" s="4" t="s">
        <v>26</v>
      </c>
      <c r="C68" s="5"/>
      <c r="D68" s="29"/>
      <c r="E68" s="6"/>
      <c r="F68" s="7"/>
      <c r="G68" s="7"/>
      <c r="H68" s="8">
        <f>H70+H76</f>
        <v>18479.25</v>
      </c>
    </row>
    <row r="69" spans="1:8" ht="5.0999999999999996" customHeight="1" x14ac:dyDescent="0.25">
      <c r="A69" s="73"/>
      <c r="B69" s="2"/>
      <c r="C69" s="2"/>
      <c r="D69" s="21"/>
      <c r="E69" s="2"/>
      <c r="F69" s="2"/>
      <c r="G69" s="2"/>
      <c r="H69" s="74"/>
    </row>
    <row r="70" spans="1:8" x14ac:dyDescent="0.25">
      <c r="A70" s="30"/>
      <c r="B70" s="31" t="s">
        <v>4700</v>
      </c>
      <c r="C70" s="32"/>
      <c r="D70" s="33"/>
      <c r="E70" s="34"/>
      <c r="F70" s="35"/>
      <c r="G70" s="35"/>
      <c r="H70" s="36">
        <f>SUM(H72:H74)</f>
        <v>11924.73</v>
      </c>
    </row>
    <row r="71" spans="1:8" ht="5.0999999999999996" customHeight="1" x14ac:dyDescent="0.25">
      <c r="A71" s="73"/>
      <c r="B71" s="2"/>
      <c r="C71" s="2"/>
      <c r="D71" s="21"/>
      <c r="E71" s="2"/>
      <c r="F71" s="2"/>
      <c r="G71" s="2"/>
      <c r="H71" s="74"/>
    </row>
    <row r="72" spans="1:8" ht="30" customHeight="1" x14ac:dyDescent="0.25">
      <c r="A72" s="15">
        <f>IF(AND(B72&lt;&gt;"",C72&lt;&gt;""),LARGE($A$14:$A71,1)+1,"")</f>
        <v>20</v>
      </c>
      <c r="B72" s="16" t="s">
        <v>4398</v>
      </c>
      <c r="C72" s="337">
        <v>70102</v>
      </c>
      <c r="D72" s="18" t="str">
        <f>IF(B72&amp;C72="","",VLOOKUP(B72&amp;C72,SERVIÇOS!C:F,2,0))</f>
        <v>Escavação e carga mecanizada em solo de 1ª categoria, em campo aberto</v>
      </c>
      <c r="E72" s="16" t="str">
        <f>IF(B72&amp;C72="","",VLOOKUP(B72&amp;C72,SERVIÇOS!C:F,3,0))</f>
        <v>m³</v>
      </c>
      <c r="F72" s="19">
        <f>62*1.2+0.6</f>
        <v>74.999999999999986</v>
      </c>
      <c r="G72" s="431">
        <v>7.81</v>
      </c>
      <c r="H72" s="20">
        <f t="shared" ref="H72:H73" si="11">IF(G72="","",TRUNC(G72*F72,2))</f>
        <v>585.75</v>
      </c>
    </row>
    <row r="73" spans="1:8" ht="45.75" customHeight="1" x14ac:dyDescent="0.25">
      <c r="A73" s="15">
        <f>IF(AND(B73&lt;&gt;"",C73&lt;&gt;""),LARGE($A$14:$A72,1)+1,"")</f>
        <v>21</v>
      </c>
      <c r="B73" s="16" t="s">
        <v>4398</v>
      </c>
      <c r="C73" s="337">
        <v>50704</v>
      </c>
      <c r="D73" s="18" t="str">
        <f>IF(B73&amp;C73="","",VLOOKUP(B73&amp;C73,SERVIÇOS!C:F,2,0))</f>
        <v>Remoção de entulho separado de obra com caçamba metálica - terra, alvenaria, concreto, argamassa, madeira, papel, plástico ou metal</v>
      </c>
      <c r="E73" s="16" t="str">
        <f>IF(B73&amp;C73="","",VLOOKUP(B73&amp;C73,SERVIÇOS!C:F,3,0))</f>
        <v>m³</v>
      </c>
      <c r="F73" s="19">
        <f>F72</f>
        <v>74.999999999999986</v>
      </c>
      <c r="G73" s="431">
        <v>83.79</v>
      </c>
      <c r="H73" s="20">
        <f t="shared" si="11"/>
        <v>6284.25</v>
      </c>
    </row>
    <row r="74" spans="1:8" x14ac:dyDescent="0.25">
      <c r="A74" s="15">
        <f>IF(AND(B74&lt;&gt;"",C74&lt;&gt;""),LARGE($A$14:$A73,1)+1,"")</f>
        <v>22</v>
      </c>
      <c r="B74" s="16" t="s">
        <v>4398</v>
      </c>
      <c r="C74" s="337">
        <v>80104</v>
      </c>
      <c r="D74" s="18" t="str">
        <f>IF(B74&amp;C74="","",VLOOKUP(B74&amp;C74,SERVIÇOS!C:F,2,0))</f>
        <v>Escoramento de solo descontínuo</v>
      </c>
      <c r="E74" s="16" t="str">
        <f>IF(B74&amp;C74="","",VLOOKUP(B74&amp;C74,SERVIÇOS!C:F,3,0))</f>
        <v>m²</v>
      </c>
      <c r="F74" s="19">
        <f>1.2*62*2</f>
        <v>148.79999999999998</v>
      </c>
      <c r="G74" s="431">
        <v>33.97</v>
      </c>
      <c r="H74" s="20">
        <f t="shared" ref="H74" si="12">IF(G74="","",TRUNC(G74*F74,2))</f>
        <v>5054.7299999999996</v>
      </c>
    </row>
    <row r="75" spans="1:8" ht="5.0999999999999996" customHeight="1" x14ac:dyDescent="0.25">
      <c r="A75" s="73"/>
      <c r="B75" s="2"/>
      <c r="C75" s="2"/>
      <c r="D75" s="21"/>
      <c r="E75" s="2"/>
      <c r="F75" s="2"/>
      <c r="G75" s="2"/>
      <c r="H75" s="74"/>
    </row>
    <row r="76" spans="1:8" x14ac:dyDescent="0.25">
      <c r="A76" s="30"/>
      <c r="B76" s="31" t="s">
        <v>4699</v>
      </c>
      <c r="C76" s="32"/>
      <c r="D76" s="33"/>
      <c r="E76" s="34"/>
      <c r="F76" s="35"/>
      <c r="G76" s="35"/>
      <c r="H76" s="36">
        <f>SUBTOTAL(9,H77:H79)</f>
        <v>6554.52</v>
      </c>
    </row>
    <row r="77" spans="1:8" ht="5.0999999999999996" customHeight="1" x14ac:dyDescent="0.25">
      <c r="A77" s="73"/>
      <c r="B77" s="2"/>
      <c r="C77" s="2"/>
      <c r="D77" s="2"/>
      <c r="E77" s="2"/>
      <c r="F77" s="2"/>
      <c r="G77" s="2"/>
      <c r="H77" s="74"/>
    </row>
    <row r="78" spans="1:8" ht="30" customHeight="1" x14ac:dyDescent="0.25">
      <c r="A78" s="15">
        <f>IF(AND(B78&lt;&gt;"",C78&lt;&gt;""),LARGE($A$14:$A77,1)+1,"")</f>
        <v>23</v>
      </c>
      <c r="B78" s="231" t="s">
        <v>4704</v>
      </c>
      <c r="C78" s="337">
        <v>1605032</v>
      </c>
      <c r="D78" s="18" t="str">
        <f>IF(B78&amp;C78="","",VLOOKUP(B78&amp;C78,SERVIÇOS!C:F,2,0))</f>
        <v>CA-22 Canaleta de águas pluviais em concreto (30cm)</v>
      </c>
      <c r="E78" s="16" t="str">
        <f>IF(B78&amp;C78="","",VLOOKUP(B78&amp;C78,SERVIÇOS!C:F,3,0))</f>
        <v>m</v>
      </c>
      <c r="F78" s="19">
        <v>62</v>
      </c>
      <c r="G78" s="20">
        <f>IF(B78&amp;C78="","",VLOOKUP(B78&amp;C78,SERVIÇOS!C:F,4,0))*1.1033</f>
        <v>105.71820599999998</v>
      </c>
      <c r="H78" s="20">
        <f t="shared" ref="H78" si="13">IF(G78="","",TRUNC(G78*F78,2))</f>
        <v>6554.52</v>
      </c>
    </row>
    <row r="79" spans="1:8" ht="5.0999999999999996" customHeight="1" x14ac:dyDescent="0.25">
      <c r="A79" s="73"/>
      <c r="B79" s="2"/>
      <c r="C79" s="2"/>
      <c r="D79" s="2"/>
      <c r="E79" s="2"/>
      <c r="F79" s="2"/>
      <c r="G79" s="2"/>
      <c r="H79" s="74"/>
    </row>
    <row r="80" spans="1:8" x14ac:dyDescent="0.25">
      <c r="A80" s="3"/>
      <c r="B80" s="4" t="s">
        <v>27</v>
      </c>
      <c r="C80" s="5"/>
      <c r="D80" s="29"/>
      <c r="E80" s="6"/>
      <c r="F80" s="7"/>
      <c r="G80" s="7"/>
      <c r="H80" s="8">
        <f>H82</f>
        <v>2408.09</v>
      </c>
    </row>
    <row r="81" spans="1:8" ht="5.0999999999999996" customHeight="1" x14ac:dyDescent="0.25">
      <c r="A81" s="73"/>
      <c r="B81" s="2"/>
      <c r="C81" s="2"/>
      <c r="D81" s="21"/>
      <c r="E81" s="2"/>
      <c r="F81" s="2"/>
      <c r="G81" s="2"/>
      <c r="H81" s="74"/>
    </row>
    <row r="82" spans="1:8" x14ac:dyDescent="0.25">
      <c r="A82" s="9"/>
      <c r="B82" s="10" t="s">
        <v>27</v>
      </c>
      <c r="C82" s="11"/>
      <c r="D82" s="37"/>
      <c r="E82" s="12"/>
      <c r="F82" s="13"/>
      <c r="G82" s="13"/>
      <c r="H82" s="14">
        <f>SUM(H83:H88)</f>
        <v>2408.09</v>
      </c>
    </row>
    <row r="83" spans="1:8" x14ac:dyDescent="0.25">
      <c r="A83" s="15">
        <f>IF(AND(B83&lt;&gt;"",C83&lt;&gt;""),LARGE($A$14:$A82,1)+1,"")</f>
        <v>24</v>
      </c>
      <c r="B83" s="16" t="s">
        <v>4398</v>
      </c>
      <c r="C83" s="337">
        <v>540121</v>
      </c>
      <c r="D83" s="18" t="str">
        <f>IF(B83&amp;C83="","",VLOOKUP(B83&amp;C83,SERVIÇOS!C:F,2,0))</f>
        <v>Base de brita graduada</v>
      </c>
      <c r="E83" s="16" t="str">
        <f>IF(B83&amp;C83="","",VLOOKUP(B83&amp;C83,SERVIÇOS!C:F,3,0))</f>
        <v>m³</v>
      </c>
      <c r="F83" s="19">
        <f>+F87*0.07</f>
        <v>1.9887000000000001</v>
      </c>
      <c r="G83" s="431">
        <v>141.44</v>
      </c>
      <c r="H83" s="20">
        <f t="shared" ref="H83:H86" si="14">IF(G83="","",TRUNC(G83*F83,2))</f>
        <v>281.27999999999997</v>
      </c>
    </row>
    <row r="84" spans="1:8" x14ac:dyDescent="0.25">
      <c r="A84" s="15">
        <f>IF(AND(B84&lt;&gt;"",C84&lt;&gt;""),LARGE($A$14:$A83,1)+1,"")</f>
        <v>25</v>
      </c>
      <c r="B84" s="16" t="s">
        <v>4398</v>
      </c>
      <c r="C84" s="337">
        <v>111806</v>
      </c>
      <c r="D84" s="18" t="str">
        <f>IF(B84&amp;C84="","",VLOOKUP(B84&amp;C84,SERVIÇOS!C:F,2,0))</f>
        <v>Lona plástica</v>
      </c>
      <c r="E84" s="16" t="str">
        <f>IF(B84&amp;C84="","",VLOOKUP(B84&amp;C84,SERVIÇOS!C:F,3,0))</f>
        <v>m²</v>
      </c>
      <c r="F84" s="19">
        <f>+F87</f>
        <v>28.41</v>
      </c>
      <c r="G84" s="431">
        <v>2.0299999999999998</v>
      </c>
      <c r="H84" s="20">
        <f t="shared" ref="H84" si="15">IF(G84="","",TRUNC(G84*F84,2))</f>
        <v>57.67</v>
      </c>
    </row>
    <row r="85" spans="1:8" x14ac:dyDescent="0.25">
      <c r="A85" s="15">
        <f>IF(AND(B85&lt;&gt;"",C85&lt;&gt;""),LARGE($A$14:$A84,1)+1,"")</f>
        <v>26</v>
      </c>
      <c r="B85" s="16" t="s">
        <v>4398</v>
      </c>
      <c r="C85" s="337">
        <v>170102</v>
      </c>
      <c r="D85" s="18" t="str">
        <f>IF(B85&amp;C85="","",VLOOKUP(B85&amp;C85,SERVIÇOS!C:F,2,0))</f>
        <v>Argamassa de regularização e/ou proteção</v>
      </c>
      <c r="E85" s="16" t="str">
        <f>IF(B85&amp;C85="","",VLOOKUP(B85&amp;C85,SERVIÇOS!C:F,3,0))</f>
        <v>m³</v>
      </c>
      <c r="F85" s="19">
        <f>+F87*0.04</f>
        <v>1.1364000000000001</v>
      </c>
      <c r="G85" s="431">
        <v>481.3</v>
      </c>
      <c r="H85" s="20">
        <f t="shared" si="14"/>
        <v>546.94000000000005</v>
      </c>
    </row>
    <row r="86" spans="1:8" x14ac:dyDescent="0.25">
      <c r="A86" s="15">
        <f>IF(AND(B86&lt;&gt;"",C86&lt;&gt;""),LARGE($A$14:$A85,1)+1,"")</f>
        <v>27</v>
      </c>
      <c r="B86" s="16" t="s">
        <v>4398</v>
      </c>
      <c r="C86" s="337">
        <v>100202</v>
      </c>
      <c r="D86" s="18" t="str">
        <f>IF(B86&amp;C86="","",VLOOKUP(B86&amp;C86,SERVIÇOS!C:F,2,0))</f>
        <v>Armadura em tela soldada de aço</v>
      </c>
      <c r="E86" s="16" t="str">
        <f>IF(B86&amp;C86="","",VLOOKUP(B86&amp;C86,SERVIÇOS!C:F,3,0))</f>
        <v>kg</v>
      </c>
      <c r="F86" s="19">
        <f>F87*1.38</f>
        <v>39.205799999999996</v>
      </c>
      <c r="G86" s="431">
        <v>5.95</v>
      </c>
      <c r="H86" s="20">
        <f t="shared" si="14"/>
        <v>233.27</v>
      </c>
    </row>
    <row r="87" spans="1:8" x14ac:dyDescent="0.25">
      <c r="A87" s="15">
        <f>IF(AND(B87&lt;&gt;"",C87&lt;&gt;""),LARGE($A$14:$A86,1)+1,"")</f>
        <v>28</v>
      </c>
      <c r="B87" s="16" t="s">
        <v>4398</v>
      </c>
      <c r="C87" s="337">
        <v>170302</v>
      </c>
      <c r="D87" s="18" t="str">
        <f>IF(B87&amp;C87="","",VLOOKUP(B87&amp;C87,SERVIÇOS!C:F,2,0))</f>
        <v>Cimentado desempenado</v>
      </c>
      <c r="E87" s="16" t="str">
        <f>IF(B87&amp;C87="","",VLOOKUP(B87&amp;C87,SERVIÇOS!C:F,3,0))</f>
        <v>m²</v>
      </c>
      <c r="F87" s="19">
        <v>28.41</v>
      </c>
      <c r="G87" s="431">
        <v>22.82</v>
      </c>
      <c r="H87" s="20">
        <f t="shared" ref="H87" si="16">IF(G87="","",TRUNC(G87*F87,2))</f>
        <v>648.30999999999995</v>
      </c>
    </row>
    <row r="88" spans="1:8" ht="30" customHeight="1" x14ac:dyDescent="0.25">
      <c r="A88" s="15">
        <f>IF(AND(B88&lt;&gt;"",C88&lt;&gt;""),LARGE($A$14:$A87,1)+1,"")</f>
        <v>29</v>
      </c>
      <c r="B88" s="16" t="s">
        <v>4398</v>
      </c>
      <c r="C88" s="337">
        <v>540203</v>
      </c>
      <c r="D88" s="18" t="str">
        <f>IF(B88&amp;C88="","",VLOOKUP(B88&amp;C88,SERVIÇOS!C:F,2,0))</f>
        <v>Revestimento primário com pedra britada, compactação mínima de 95% do PN</v>
      </c>
      <c r="E88" s="16" t="str">
        <f>IF(B88&amp;C88="","",VLOOKUP(B88&amp;C88,SERVIÇOS!C:F,3,0))</f>
        <v>m³</v>
      </c>
      <c r="F88" s="19">
        <f>+(34.31+56.2)*0.1</f>
        <v>9.0510000000000002</v>
      </c>
      <c r="G88" s="431">
        <v>70.78</v>
      </c>
      <c r="H88" s="20">
        <f t="shared" ref="H88" si="17">IF(G88="","",TRUNC(G88*F88,2))</f>
        <v>640.62</v>
      </c>
    </row>
    <row r="89" spans="1:8" ht="5.0999999999999996" customHeight="1" x14ac:dyDescent="0.25">
      <c r="A89" s="73"/>
      <c r="B89" s="2"/>
      <c r="C89" s="2"/>
      <c r="D89" s="2"/>
      <c r="E89" s="2"/>
      <c r="F89" s="2"/>
      <c r="G89" s="2"/>
      <c r="H89" s="74"/>
    </row>
    <row r="90" spans="1:8" x14ac:dyDescent="0.25">
      <c r="A90" s="3"/>
      <c r="B90" s="4" t="s">
        <v>4708</v>
      </c>
      <c r="C90" s="5"/>
      <c r="D90" s="29"/>
      <c r="E90" s="6"/>
      <c r="F90" s="7"/>
      <c r="G90" s="7"/>
      <c r="H90" s="8">
        <f>H92+H97+H107</f>
        <v>76626.2</v>
      </c>
    </row>
    <row r="91" spans="1:8" ht="5.0999999999999996" customHeight="1" x14ac:dyDescent="0.25">
      <c r="A91" s="73"/>
      <c r="B91" s="2"/>
      <c r="C91" s="2"/>
      <c r="D91" s="21"/>
      <c r="E91" s="2"/>
      <c r="F91" s="2"/>
      <c r="G91" s="2"/>
      <c r="H91" s="74"/>
    </row>
    <row r="92" spans="1:8" x14ac:dyDescent="0.25">
      <c r="A92" s="9"/>
      <c r="B92" s="10" t="s">
        <v>5247</v>
      </c>
      <c r="C92" s="11"/>
      <c r="D92" s="37"/>
      <c r="E92" s="12"/>
      <c r="F92" s="13"/>
      <c r="G92" s="13"/>
      <c r="H92" s="14">
        <f>SUM(H94:H95)</f>
        <v>24267.87</v>
      </c>
    </row>
    <row r="93" spans="1:8" ht="5.0999999999999996" customHeight="1" x14ac:dyDescent="0.25">
      <c r="A93" s="73"/>
      <c r="B93" s="2"/>
      <c r="C93" s="2"/>
      <c r="D93" s="21"/>
      <c r="E93" s="2"/>
      <c r="F93" s="2"/>
      <c r="G93" s="2"/>
      <c r="H93" s="74"/>
    </row>
    <row r="94" spans="1:8" ht="14.25" customHeight="1" x14ac:dyDescent="0.25">
      <c r="A94" s="15">
        <f>IF(AND(B94&lt;&gt;"",C94&lt;&gt;""),LARGE($A$14:$A92,1)+1,"")</f>
        <v>30</v>
      </c>
      <c r="B94" s="231" t="s">
        <v>4398</v>
      </c>
      <c r="C94" s="337">
        <v>120601</v>
      </c>
      <c r="D94" s="18" t="str">
        <f>IF(B94&amp;C94="","",VLOOKUP(B94&amp;C94,SERVIÇOS!C:F,2,0))</f>
        <v>Taxa de mobilização para estaca tipo Strauss</v>
      </c>
      <c r="E94" s="16" t="str">
        <f>IF(B94&amp;C94="","",VLOOKUP(B94&amp;C94,SERVIÇOS!C:F,3,0))</f>
        <v>tx</v>
      </c>
      <c r="F94" s="19">
        <v>1</v>
      </c>
      <c r="G94" s="431">
        <v>1648.35</v>
      </c>
      <c r="H94" s="20">
        <f t="shared" ref="H94:H95" si="18">IF(G94="","",TRUNC(G94*F94,2))</f>
        <v>1648.35</v>
      </c>
    </row>
    <row r="95" spans="1:8" x14ac:dyDescent="0.25">
      <c r="A95" s="15">
        <f>IF(AND(B95&lt;&gt;"",C95&lt;&gt;""),LARGE($A$14:$A94,1)+1,"")</f>
        <v>31</v>
      </c>
      <c r="B95" s="16" t="s">
        <v>4398</v>
      </c>
      <c r="C95" s="337">
        <v>120602</v>
      </c>
      <c r="D95" s="18" t="str">
        <f>IF(B95&amp;C95="","",VLOOKUP(B95&amp;C95,SERVIÇOS!C:F,2,0))</f>
        <v>Estaca tipo Strauss, diâmetro de 25 cm até 20 t</v>
      </c>
      <c r="E95" s="16" t="str">
        <f>IF(B95&amp;C95="","",VLOOKUP(B95&amp;C95,SERVIÇOS!C:F,3,0))</f>
        <v>m</v>
      </c>
      <c r="F95" s="19">
        <v>432</v>
      </c>
      <c r="G95" s="431">
        <v>52.36</v>
      </c>
      <c r="H95" s="20">
        <f t="shared" si="18"/>
        <v>22619.52</v>
      </c>
    </row>
    <row r="96" spans="1:8" ht="5.0999999999999996" customHeight="1" x14ac:dyDescent="0.25">
      <c r="A96" s="73"/>
      <c r="B96" s="2"/>
      <c r="C96" s="2"/>
      <c r="D96" s="21"/>
      <c r="E96" s="2"/>
      <c r="F96" s="2"/>
      <c r="G96" s="2"/>
      <c r="H96" s="74"/>
    </row>
    <row r="97" spans="1:11" x14ac:dyDescent="0.25">
      <c r="A97" s="9"/>
      <c r="B97" s="10" t="s">
        <v>5355</v>
      </c>
      <c r="C97" s="11"/>
      <c r="D97" s="37"/>
      <c r="E97" s="12"/>
      <c r="F97" s="13"/>
      <c r="G97" s="13"/>
      <c r="H97" s="14">
        <f>SUM(H99:H105)</f>
        <v>51416.14</v>
      </c>
    </row>
    <row r="98" spans="1:11" ht="5.0999999999999996" customHeight="1" x14ac:dyDescent="0.25">
      <c r="A98" s="73"/>
      <c r="B98" s="2"/>
      <c r="C98" s="2"/>
      <c r="D98" s="21"/>
      <c r="E98" s="2"/>
      <c r="F98" s="2"/>
      <c r="G98" s="2"/>
      <c r="H98" s="74"/>
    </row>
    <row r="99" spans="1:11" ht="14.25" customHeight="1" x14ac:dyDescent="0.25">
      <c r="A99" s="15">
        <f>IF(AND(B99&lt;&gt;"",C99&lt;&gt;""),LARGE($A$14:$A98,1)+1,"")</f>
        <v>32</v>
      </c>
      <c r="B99" s="231" t="s">
        <v>4398</v>
      </c>
      <c r="C99" s="337">
        <v>60102</v>
      </c>
      <c r="D99" s="18" t="str">
        <f>IF(B99&amp;C99="","",VLOOKUP(B99&amp;C99,SERVIÇOS!C:F,2,0))</f>
        <v>Escavação manual em solo de 1ª e 2ª categoria em campo aberto</v>
      </c>
      <c r="E99" s="16" t="str">
        <f>IF(B99&amp;C99="","",VLOOKUP(B99&amp;C99,SERVIÇOS!C:F,3,0))</f>
        <v>m³</v>
      </c>
      <c r="F99" s="19">
        <v>121.2</v>
      </c>
      <c r="G99" s="431">
        <v>36.630000000000003</v>
      </c>
      <c r="H99" s="20">
        <f t="shared" ref="H99:H105" si="19">IF(G99="","",TRUNC(G99*F99,2))</f>
        <v>4439.55</v>
      </c>
      <c r="K99" s="320"/>
    </row>
    <row r="100" spans="1:11" ht="30" x14ac:dyDescent="0.25">
      <c r="A100" s="15">
        <f>IF(AND(B100&lt;&gt;"",C100&lt;&gt;""),LARGE($A$14:$A99,1)+1,"")</f>
        <v>33</v>
      </c>
      <c r="B100" s="16" t="s">
        <v>4398</v>
      </c>
      <c r="C100" s="337">
        <v>71102</v>
      </c>
      <c r="D100" s="18" t="str">
        <f>IF(B100&amp;C100="","",VLOOKUP(B100&amp;C100,SERVIÇOS!C:F,2,0))</f>
        <v>Reaterro compactado mecanizado de vala ou cava com compactador</v>
      </c>
      <c r="E100" s="16" t="str">
        <f>IF(B100&amp;C100="","",VLOOKUP(B100&amp;C100,SERVIÇOS!C:F,3,0))</f>
        <v>m³</v>
      </c>
      <c r="F100" s="19">
        <v>81.430000000000007</v>
      </c>
      <c r="G100" s="431">
        <v>4.54</v>
      </c>
      <c r="H100" s="20">
        <f t="shared" ref="H100" si="20">IF(G100="","",TRUNC(G100*F100,2))</f>
        <v>369.69</v>
      </c>
      <c r="K100" s="320"/>
    </row>
    <row r="101" spans="1:11" ht="45" x14ac:dyDescent="0.25">
      <c r="A101" s="15">
        <f>IF(AND(B101&lt;&gt;"",C101&lt;&gt;""),LARGE($A$14:$A100,1)+1,"")</f>
        <v>34</v>
      </c>
      <c r="B101" s="16" t="s">
        <v>4398</v>
      </c>
      <c r="C101" s="337">
        <v>50704</v>
      </c>
      <c r="D101" s="18" t="str">
        <f>IF(B101&amp;C101="","",VLOOKUP(B101&amp;C101,SERVIÇOS!C:F,2,0))</f>
        <v>Remoção de entulho separado de obra com caçamba metálica - terra, alvenaria, concreto, argamassa, madeira, papel, plástico ou metal</v>
      </c>
      <c r="E101" s="16" t="str">
        <f>IF(B101&amp;C101="","",VLOOKUP(B101&amp;C101,SERVIÇOS!C:F,3,0))</f>
        <v>m³</v>
      </c>
      <c r="F101" s="19">
        <v>39.769999999999996</v>
      </c>
      <c r="G101" s="431">
        <v>83.79</v>
      </c>
      <c r="H101" s="20">
        <f t="shared" si="19"/>
        <v>3332.32</v>
      </c>
      <c r="K101" s="320"/>
    </row>
    <row r="102" spans="1:11" ht="30" x14ac:dyDescent="0.25">
      <c r="A102" s="15">
        <f>IF(AND(B102&lt;&gt;"",C102&lt;&gt;""),LARGE($A$14:$A101,1)+1,"")</f>
        <v>35</v>
      </c>
      <c r="B102" s="16" t="s">
        <v>4398</v>
      </c>
      <c r="C102" s="337">
        <v>110204</v>
      </c>
      <c r="D102" s="18" t="str">
        <f>IF(B102&amp;C102="","",VLOOKUP(B102&amp;C102,SERVIÇOS!C:F,2,0))</f>
        <v>Concreto usinado não estrutural mínimo 200 kg cimento / m³</v>
      </c>
      <c r="E102" s="16" t="str">
        <f>IF(B102&amp;C102="","",VLOOKUP(B102&amp;C102,SERVIÇOS!C:F,3,0))</f>
        <v>m³</v>
      </c>
      <c r="F102" s="19">
        <v>6.3545000000000007</v>
      </c>
      <c r="G102" s="431">
        <v>270.49</v>
      </c>
      <c r="H102" s="20">
        <f t="shared" si="19"/>
        <v>1718.82</v>
      </c>
      <c r="K102" s="320"/>
    </row>
    <row r="103" spans="1:11" x14ac:dyDescent="0.25">
      <c r="A103" s="15">
        <f>IF(AND(B103&lt;&gt;"",C103&lt;&gt;""),LARGE($A$14:$A102,1)+1,"")</f>
        <v>36</v>
      </c>
      <c r="B103" s="16" t="s">
        <v>4398</v>
      </c>
      <c r="C103" s="337">
        <v>90102</v>
      </c>
      <c r="D103" s="18" t="str">
        <f>IF(B103&amp;C103="","",VLOOKUP(B103&amp;C103,SERVIÇOS!C:F,2,0))</f>
        <v>Forma em madeira comum para fundação</v>
      </c>
      <c r="E103" s="16" t="str">
        <f>IF(B103&amp;C103="","",VLOOKUP(B103&amp;C103,SERVIÇOS!C:F,3,0))</f>
        <v>m²</v>
      </c>
      <c r="F103" s="19">
        <v>237.5</v>
      </c>
      <c r="G103" s="431">
        <v>60.16</v>
      </c>
      <c r="H103" s="20">
        <f t="shared" ref="H103" si="21">IF(G103="","",TRUNC(G103*F103,2))</f>
        <v>14288</v>
      </c>
      <c r="K103" s="320"/>
    </row>
    <row r="104" spans="1:11" x14ac:dyDescent="0.25">
      <c r="A104" s="15">
        <f>IF(AND(B104&lt;&gt;"",C104&lt;&gt;""),LARGE($A$14:$A103,1)+1,"")</f>
        <v>37</v>
      </c>
      <c r="B104" s="16" t="s">
        <v>4398</v>
      </c>
      <c r="C104" s="337">
        <v>100104</v>
      </c>
      <c r="D104" s="18" t="str">
        <f>IF(B104&amp;C104="","",VLOOKUP(B104&amp;C104,SERVIÇOS!C:F,2,0))</f>
        <v>Armadura em barra de aço CA-50 (A ou B) fyk= 500 MPa</v>
      </c>
      <c r="E104" s="16" t="str">
        <f>IF(B104&amp;C104="","",VLOOKUP(B104&amp;C104,SERVIÇOS!C:F,3,0))</f>
        <v>kg</v>
      </c>
      <c r="F104" s="19">
        <v>3016</v>
      </c>
      <c r="G104" s="431">
        <v>5.46</v>
      </c>
      <c r="H104" s="20">
        <f t="shared" ref="H104" si="22">IF(G104="","",TRUNC(G104*F104,2))</f>
        <v>16467.36</v>
      </c>
      <c r="K104" s="320"/>
    </row>
    <row r="105" spans="1:11" x14ac:dyDescent="0.25">
      <c r="A105" s="15">
        <f>IF(AND(B105&lt;&gt;"",C105&lt;&gt;""),LARGE($A$14:$A104,1)+1,"")</f>
        <v>38</v>
      </c>
      <c r="B105" s="16" t="s">
        <v>4398</v>
      </c>
      <c r="C105" s="337">
        <v>110113</v>
      </c>
      <c r="D105" s="18" t="str">
        <f>IF(B105&amp;C105="","",VLOOKUP(B105&amp;C105,SERVIÇOS!C:F,2,0))</f>
        <v>Concreto usinado, fck = 25,0 MPa</v>
      </c>
      <c r="E105" s="16" t="str">
        <f>IF(B105&amp;C105="","",VLOOKUP(B105&amp;C105,SERVIÇOS!C:F,3,0))</f>
        <v>m³</v>
      </c>
      <c r="F105" s="19">
        <v>39.760000000000005</v>
      </c>
      <c r="G105" s="431">
        <v>271.64</v>
      </c>
      <c r="H105" s="20">
        <f t="shared" si="19"/>
        <v>10800.4</v>
      </c>
      <c r="K105" s="320"/>
    </row>
    <row r="106" spans="1:11" ht="5.0999999999999996" customHeight="1" x14ac:dyDescent="0.25">
      <c r="A106" s="73"/>
      <c r="B106" s="2"/>
      <c r="C106" s="2"/>
      <c r="D106" s="21"/>
      <c r="E106" s="2"/>
      <c r="F106" s="2"/>
      <c r="G106" s="2"/>
      <c r="H106" s="74"/>
    </row>
    <row r="107" spans="1:11" x14ac:dyDescent="0.25">
      <c r="A107" s="9"/>
      <c r="B107" s="10" t="s">
        <v>5407</v>
      </c>
      <c r="C107" s="11"/>
      <c r="D107" s="37"/>
      <c r="E107" s="12"/>
      <c r="F107" s="13"/>
      <c r="G107" s="13"/>
      <c r="H107" s="14">
        <f>SUM(H109:H110)</f>
        <v>942.19</v>
      </c>
    </row>
    <row r="108" spans="1:11" ht="5.0999999999999996" customHeight="1" x14ac:dyDescent="0.25">
      <c r="A108" s="73"/>
      <c r="B108" s="2"/>
      <c r="C108" s="2"/>
      <c r="D108" s="21"/>
      <c r="E108" s="2"/>
      <c r="F108" s="2"/>
      <c r="G108" s="2"/>
      <c r="H108" s="74"/>
    </row>
    <row r="109" spans="1:11" ht="30" x14ac:dyDescent="0.25">
      <c r="A109" s="15">
        <f>IF(AND(B109&lt;&gt;"",C109&lt;&gt;""),LARGE($A$14:$A108,1)+1,"")</f>
        <v>39</v>
      </c>
      <c r="B109" s="231" t="s">
        <v>4398</v>
      </c>
      <c r="C109" s="337">
        <v>140505</v>
      </c>
      <c r="D109" s="18" t="str">
        <f>IF(B109&amp;C109="","",VLOOKUP(B109&amp;C109,SERVIÇOS!C:F,2,0))</f>
        <v>Alvenaria de bloco cerâmico estrutural, uso revestido, de 14 cm</v>
      </c>
      <c r="E109" s="16" t="str">
        <f>IF(B109&amp;C109="","",VLOOKUP(B109&amp;C109,SERVIÇOS!C:F,3,0))</f>
        <v>m²</v>
      </c>
      <c r="F109" s="19">
        <v>12</v>
      </c>
      <c r="G109" s="431">
        <v>52.74</v>
      </c>
      <c r="H109" s="20">
        <f t="shared" ref="H109:H110" si="23">IF(G109="","",TRUNC(G109*F109,2))</f>
        <v>632.88</v>
      </c>
    </row>
    <row r="110" spans="1:11" ht="30" x14ac:dyDescent="0.25">
      <c r="A110" s="15">
        <f>IF(AND(B110&lt;&gt;"",C110&lt;&gt;""),LARGE($A$14:$A109,1)+1,"")</f>
        <v>40</v>
      </c>
      <c r="B110" s="16" t="s">
        <v>4398</v>
      </c>
      <c r="C110" s="337">
        <v>130112</v>
      </c>
      <c r="D110" s="18" t="str">
        <f>IF(B110&amp;C110="","",VLOOKUP(B110&amp;C110,SERVIÇOS!C:F,2,0))</f>
        <v>Laje pré-fabricada mista vigota treliçada/lajota cerâmica - LT 12 (8+4) e capa com concreto de 25MPa</v>
      </c>
      <c r="E110" s="16" t="str">
        <f>IF(B110&amp;C110="","",VLOOKUP(B110&amp;C110,SERVIÇOS!C:F,3,0))</f>
        <v>m²</v>
      </c>
      <c r="F110" s="19">
        <v>3.6</v>
      </c>
      <c r="G110" s="431">
        <v>85.92</v>
      </c>
      <c r="H110" s="20">
        <f t="shared" si="23"/>
        <v>309.31</v>
      </c>
    </row>
    <row r="111" spans="1:11" ht="5.0999999999999996" customHeight="1" x14ac:dyDescent="0.25">
      <c r="A111" s="73"/>
      <c r="B111" s="2"/>
      <c r="C111" s="2"/>
      <c r="D111" s="21"/>
      <c r="E111" s="2"/>
      <c r="F111" s="2"/>
      <c r="G111" s="2"/>
      <c r="H111" s="74"/>
    </row>
    <row r="112" spans="1:11" x14ac:dyDescent="0.25">
      <c r="A112" s="3"/>
      <c r="B112" s="4" t="s">
        <v>4709</v>
      </c>
      <c r="C112" s="5"/>
      <c r="D112" s="29"/>
      <c r="E112" s="6"/>
      <c r="F112" s="7"/>
      <c r="G112" s="7"/>
      <c r="H112" s="8">
        <f>SUBTOTAL(9,H113:H116)</f>
        <v>870543.15</v>
      </c>
    </row>
    <row r="113" spans="1:8" ht="5.0999999999999996" customHeight="1" x14ac:dyDescent="0.25">
      <c r="A113" s="73"/>
      <c r="B113" s="2"/>
      <c r="C113" s="2"/>
      <c r="D113" s="21"/>
      <c r="E113" s="2"/>
      <c r="F113" s="2"/>
      <c r="G113" s="2"/>
      <c r="H113" s="74"/>
    </row>
    <row r="114" spans="1:8" x14ac:dyDescent="0.25">
      <c r="A114" s="9"/>
      <c r="B114" s="10" t="s">
        <v>4710</v>
      </c>
      <c r="C114" s="11"/>
      <c r="D114" s="37"/>
      <c r="E114" s="12"/>
      <c r="F114" s="13"/>
      <c r="G114" s="13"/>
      <c r="H114" s="14">
        <f>SUBTOTAL(9,H115:H115)</f>
        <v>870543.15</v>
      </c>
    </row>
    <row r="115" spans="1:8" ht="54.75" customHeight="1" x14ac:dyDescent="0.25">
      <c r="A115" s="15">
        <f>IF(AND(B115&lt;&gt;"",C115&lt;&gt;""),LARGE($A$14:$A114,1)+1,"")</f>
        <v>41</v>
      </c>
      <c r="B115" s="231" t="s">
        <v>4715</v>
      </c>
      <c r="C115" s="17" t="s">
        <v>5448</v>
      </c>
      <c r="D115" s="18" t="str">
        <f>IF(B115&amp;C115="","",VLOOKUP(B115&amp;C115,SERVIÇOS!C:F,2,0))</f>
        <v>Fornecimento e Instalação de Estruturas de Madeira Laminada Colada, conforme projeto (Sede), incluindo ligações metálicas, produtos, acabamentos e frete</v>
      </c>
      <c r="E115" s="16" t="str">
        <f>IF(B115&amp;C115="","",VLOOKUP(B115&amp;C115,SERVIÇOS!C:F,3,0))</f>
        <v>cj</v>
      </c>
      <c r="F115" s="19">
        <v>1</v>
      </c>
      <c r="G115" s="20">
        <f>IF(B115&amp;C115="","",VLOOKUP(B115&amp;C115,SERVIÇOS!C:F,4,0))*1.1033</f>
        <v>870543.15400799992</v>
      </c>
      <c r="H115" s="20">
        <f t="shared" ref="H115" si="24">IF(G115="","",TRUNC(G115*F115,2))</f>
        <v>870543.15</v>
      </c>
    </row>
    <row r="116" spans="1:8" ht="5.0999999999999996" customHeight="1" x14ac:dyDescent="0.25">
      <c r="A116" s="73"/>
      <c r="B116" s="2"/>
      <c r="C116" s="2"/>
      <c r="D116" s="21"/>
      <c r="E116" s="2"/>
      <c r="F116" s="2"/>
      <c r="G116" s="2"/>
      <c r="H116" s="74"/>
    </row>
    <row r="117" spans="1:8" x14ac:dyDescent="0.25">
      <c r="A117" s="3"/>
      <c r="B117" s="4" t="s">
        <v>4711</v>
      </c>
      <c r="C117" s="5"/>
      <c r="D117" s="29"/>
      <c r="E117" s="6"/>
      <c r="F117" s="7"/>
      <c r="G117" s="7"/>
      <c r="H117" s="8">
        <f>H119+H135+H146+H153+H158+H162+H167+H172</f>
        <v>747140.7300000001</v>
      </c>
    </row>
    <row r="118" spans="1:8" ht="5.0999999999999996" customHeight="1" x14ac:dyDescent="0.25">
      <c r="A118" s="73"/>
      <c r="B118" s="2"/>
      <c r="C118" s="2"/>
      <c r="D118" s="21"/>
      <c r="E118" s="2"/>
      <c r="F118" s="2"/>
      <c r="G118" s="2"/>
      <c r="H118" s="74"/>
    </row>
    <row r="119" spans="1:8" x14ac:dyDescent="0.25">
      <c r="A119" s="9"/>
      <c r="B119" s="10" t="s">
        <v>4849</v>
      </c>
      <c r="C119" s="11"/>
      <c r="D119" s="37"/>
      <c r="E119" s="12"/>
      <c r="F119" s="13"/>
      <c r="G119" s="13"/>
      <c r="H119" s="14">
        <f>SUM(H120:H133)</f>
        <v>390144.86</v>
      </c>
    </row>
    <row r="120" spans="1:8" ht="45" customHeight="1" x14ac:dyDescent="0.25">
      <c r="A120" s="15">
        <f>IF(AND(B120&lt;&gt;"",C120&lt;&gt;""),LARGE($A$14:$A119,1)+1,"")</f>
        <v>42</v>
      </c>
      <c r="B120" s="16" t="s">
        <v>4715</v>
      </c>
      <c r="C120" s="17" t="s">
        <v>4888</v>
      </c>
      <c r="D120" s="336" t="str">
        <f>IF(B120&amp;C120="","",VLOOKUP(B120&amp;C120,SERVIÇOS!C:F,2,0))</f>
        <v>CX 01 - Painel de policarbonato alveolar transparente de 40 mm com acabamento em perfil de alumínio dim.3,00x2,56m. Fornecimento e instalação</v>
      </c>
      <c r="E120" s="16" t="str">
        <f>IF(B120&amp;C120="","",VLOOKUP(B120&amp;C120,SERVIÇOS!C:F,3,0))</f>
        <v>un</v>
      </c>
      <c r="F120" s="19">
        <v>12</v>
      </c>
      <c r="G120" s="20">
        <f>IF(B120&amp;C120="","",VLOOKUP(B120&amp;C120,SERVIÇOS!C:F,4,0))*1.1033</f>
        <v>5069.2442459999993</v>
      </c>
      <c r="H120" s="20">
        <f t="shared" ref="H120" si="25">IF(G120="","",TRUNC(G120*F120,2))</f>
        <v>60830.93</v>
      </c>
    </row>
    <row r="121" spans="1:8" ht="45" customHeight="1" x14ac:dyDescent="0.25">
      <c r="A121" s="15">
        <f>IF(AND(B121&lt;&gt;"",C121&lt;&gt;""),LARGE($A$14:$A120,1)+1,"")</f>
        <v>43</v>
      </c>
      <c r="B121" s="16" t="s">
        <v>4715</v>
      </c>
      <c r="C121" s="17" t="s">
        <v>4889</v>
      </c>
      <c r="D121" s="336" t="str">
        <f>IF(B121&amp;C121="","",VLOOKUP(B121&amp;C121,SERVIÇOS!C:F,2,0))</f>
        <v>CX 02-A - Painéis de policarbonato alveolar transparente de 40mm e porta central de madeira, abertura sentido horário, com bandeira basculante dim.3,00x2,56m. Fornecimento e instalação</v>
      </c>
      <c r="E121" s="16" t="str">
        <f>IF(B121&amp;C121="","",VLOOKUP(B121&amp;C121,SERVIÇOS!C:F,3,0))</f>
        <v>un</v>
      </c>
      <c r="F121" s="19">
        <v>2</v>
      </c>
      <c r="G121" s="20">
        <f>IF(B121&amp;C121="","",VLOOKUP(B121&amp;C121,SERVIÇOS!C:F,4,0))*1.1033</f>
        <v>7498.4570869999989</v>
      </c>
      <c r="H121" s="20">
        <f t="shared" ref="H121:H133" si="26">IF(G121="","",TRUNC(G121*F121,2))</f>
        <v>14996.91</v>
      </c>
    </row>
    <row r="122" spans="1:8" ht="45" customHeight="1" x14ac:dyDescent="0.25">
      <c r="A122" s="15">
        <f>IF(AND(B122&lt;&gt;"",C122&lt;&gt;""),LARGE($A$14:$A121,1)+1,"")</f>
        <v>44</v>
      </c>
      <c r="B122" s="16" t="s">
        <v>4715</v>
      </c>
      <c r="C122" s="17" t="s">
        <v>4890</v>
      </c>
      <c r="D122" s="336" t="str">
        <f>IF(B122&amp;C122="","",VLOOKUP(B122&amp;C122,SERVIÇOS!C:F,2,0))</f>
        <v>CX 02-B - Painéis de policarbonato alveolar transparente de 40mm e porta de madeira à direita, abertura sentido horário, com bandeira basculante dim.3,00x2,56m. Fornecimento e instalação</v>
      </c>
      <c r="E122" s="16" t="str">
        <f>IF(B122&amp;C122="","",VLOOKUP(B122&amp;C122,SERVIÇOS!C:F,3,0))</f>
        <v>un</v>
      </c>
      <c r="F122" s="19">
        <v>2</v>
      </c>
      <c r="G122" s="20">
        <f>IF(B122&amp;C122="","",VLOOKUP(B122&amp;C122,SERVIÇOS!C:F,4,0))*1.1033</f>
        <v>7498.4570869999989</v>
      </c>
      <c r="H122" s="20">
        <f t="shared" si="26"/>
        <v>14996.91</v>
      </c>
    </row>
    <row r="123" spans="1:8" ht="45" customHeight="1" x14ac:dyDescent="0.25">
      <c r="A123" s="15">
        <f>IF(AND(B123&lt;&gt;"",C123&lt;&gt;""),LARGE($A$14:$A122,1)+1,"")</f>
        <v>45</v>
      </c>
      <c r="B123" s="16" t="s">
        <v>4715</v>
      </c>
      <c r="C123" s="17" t="s">
        <v>4891</v>
      </c>
      <c r="D123" s="336" t="str">
        <f>IF(B123&amp;C123="","",VLOOKUP(B123&amp;C123,SERVIÇOS!C:F,2,0))</f>
        <v>CX 02-C - Painéis de policarbonato alveolar transparente de 40mm e porta de madeira à esquerda, abertura sentido anti-horário, com bandeira basculante dim.3,00x2,56m. Fornecimento e instalação</v>
      </c>
      <c r="E123" s="16" t="str">
        <f>IF(B123&amp;C123="","",VLOOKUP(B123&amp;C123,SERVIÇOS!C:F,3,0))</f>
        <v>un</v>
      </c>
      <c r="F123" s="19">
        <v>2</v>
      </c>
      <c r="G123" s="20">
        <f>IF(B123&amp;C123="","",VLOOKUP(B123&amp;C123,SERVIÇOS!C:F,4,0))*1.1033</f>
        <v>7498.4570869999989</v>
      </c>
      <c r="H123" s="20">
        <f t="shared" si="26"/>
        <v>14996.91</v>
      </c>
    </row>
    <row r="124" spans="1:8" ht="45" customHeight="1" x14ac:dyDescent="0.25">
      <c r="A124" s="15">
        <f>IF(AND(B124&lt;&gt;"",C124&lt;&gt;""),LARGE($A$14:$A123,1)+1,"")</f>
        <v>46</v>
      </c>
      <c r="B124" s="16" t="s">
        <v>4715</v>
      </c>
      <c r="C124" s="17" t="s">
        <v>4892</v>
      </c>
      <c r="D124" s="336" t="str">
        <f>IF(B124&amp;C124="","",VLOOKUP(B124&amp;C124,SERVIÇOS!C:F,2,0))</f>
        <v>CX 02-D - Painel (0,44x2,56m) de policarbonato alveolar de 40mm e porta de madeira à esquerda, abertura anti-horário, com bandeira basculante dim.1,44x2,56m. Fornecimento e instalação</v>
      </c>
      <c r="E124" s="16" t="str">
        <f>IF(B124&amp;C124="","",VLOOKUP(B124&amp;C124,SERVIÇOS!C:F,3,0))</f>
        <v>un</v>
      </c>
      <c r="F124" s="19">
        <v>2</v>
      </c>
      <c r="G124" s="20">
        <f>IF(B124&amp;C124="","",VLOOKUP(B124&amp;C124,SERVIÇOS!C:F,4,0))*1.1033</f>
        <v>3599.2514580000002</v>
      </c>
      <c r="H124" s="20">
        <f t="shared" si="26"/>
        <v>7198.5</v>
      </c>
    </row>
    <row r="125" spans="1:8" ht="45" customHeight="1" x14ac:dyDescent="0.25">
      <c r="A125" s="15">
        <f>IF(AND(B125&lt;&gt;"",C125&lt;&gt;""),LARGE($A$14:$A124,1)+1,"")</f>
        <v>47</v>
      </c>
      <c r="B125" s="16" t="s">
        <v>4715</v>
      </c>
      <c r="C125" s="17" t="s">
        <v>4893</v>
      </c>
      <c r="D125" s="336" t="str">
        <f>IF(B125&amp;C125="","",VLOOKUP(B125&amp;C125,SERVIÇOS!C:F,2,0))</f>
        <v>CX 03-A - Porta de madeira - estruturada com fechamento de chapa de compensado 6mm - tipo camarão em dois pares de folhas, suspensa por trilho superior e com guia inferior embutida no piso dim.3,00x2,56m. Fornecimento e instalação</v>
      </c>
      <c r="E125" s="16" t="str">
        <f>IF(B125&amp;C125="","",VLOOKUP(B125&amp;C125,SERVIÇOS!C:F,3,0))</f>
        <v>un</v>
      </c>
      <c r="F125" s="19">
        <v>1</v>
      </c>
      <c r="G125" s="20">
        <f>IF(B125&amp;C125="","",VLOOKUP(B125&amp;C125,SERVIÇOS!C:F,4,0))*1.1033</f>
        <v>15748.206309000001</v>
      </c>
      <c r="H125" s="20">
        <f t="shared" si="26"/>
        <v>15748.2</v>
      </c>
    </row>
    <row r="126" spans="1:8" ht="45" customHeight="1" x14ac:dyDescent="0.25">
      <c r="A126" s="15">
        <f>IF(AND(B126&lt;&gt;"",C126&lt;&gt;""),LARGE($A$14:$A125,1)+1,"")</f>
        <v>48</v>
      </c>
      <c r="B126" s="16" t="s">
        <v>4715</v>
      </c>
      <c r="C126" s="17" t="s">
        <v>4894</v>
      </c>
      <c r="D126" s="336" t="str">
        <f>IF(B126&amp;C126="","",VLOOKUP(B126&amp;C126,SERVIÇOS!C:F,2,0))</f>
        <v>CX 03-B - Painel de policarbonato alveolar transparente de 40mm e porta de madeira - estruturada com fechamento de chapa de compensado 6mm - tipo camarão em um par de duas folhas, suspensa por trilho superior e com guia inferior embutida no piso dim.3,00x2,56m. Fornecimento e instalação</v>
      </c>
      <c r="E126" s="16" t="str">
        <f>IF(B126&amp;C126="","",VLOOKUP(B126&amp;C126,SERVIÇOS!C:F,3,0))</f>
        <v>un</v>
      </c>
      <c r="F126" s="19">
        <v>5</v>
      </c>
      <c r="G126" s="20">
        <f>IF(B126&amp;C126="","",VLOOKUP(B126&amp;C126,SERVIÇOS!C:F,4,0))*1.1033</f>
        <v>10491.853416</v>
      </c>
      <c r="H126" s="20">
        <f t="shared" si="26"/>
        <v>52459.26</v>
      </c>
    </row>
    <row r="127" spans="1:8" ht="45" customHeight="1" x14ac:dyDescent="0.25">
      <c r="A127" s="15">
        <f>IF(AND(B127&lt;&gt;"",C127&lt;&gt;""),LARGE($A$14:$A126,1)+1,"")</f>
        <v>49</v>
      </c>
      <c r="B127" s="16" t="s">
        <v>4715</v>
      </c>
      <c r="C127" s="17" t="s">
        <v>4895</v>
      </c>
      <c r="D127" s="336" t="str">
        <f>IF(B127&amp;C127="","",VLOOKUP(B127&amp;C127,SERVIÇOS!C:F,2,0))</f>
        <v>CX 04-A - Painéis com moldura de madeira, fechamento em policarbonato alveolar transparente de 40mm e esquadria maxim-ar com vidro temperado de 8mm dim.3,00x2,56m. Fornecimento e instalação</v>
      </c>
      <c r="E127" s="16" t="str">
        <f>IF(B127&amp;C127="","",VLOOKUP(B127&amp;C127,SERVIÇOS!C:F,3,0))</f>
        <v>un</v>
      </c>
      <c r="F127" s="19">
        <v>4</v>
      </c>
      <c r="G127" s="20">
        <f>IF(B127&amp;C127="","",VLOOKUP(B127&amp;C127,SERVIÇOS!C:F,4,0))*1.1033</f>
        <v>10064.059874</v>
      </c>
      <c r="H127" s="20">
        <f t="shared" si="26"/>
        <v>40256.230000000003</v>
      </c>
    </row>
    <row r="128" spans="1:8" ht="45" customHeight="1" x14ac:dyDescent="0.25">
      <c r="A128" s="15">
        <f>IF(AND(B128&lt;&gt;"",C128&lt;&gt;""),LARGE($A$14:$A127,1)+1,"")</f>
        <v>50</v>
      </c>
      <c r="B128" s="16" t="s">
        <v>4715</v>
      </c>
      <c r="C128" s="17" t="s">
        <v>4896</v>
      </c>
      <c r="D128" s="336" t="str">
        <f>IF(B128&amp;C128="","",VLOOKUP(B128&amp;C128,SERVIÇOS!C:F,2,0))</f>
        <v>CX 04-B - Painéis com moldura de madeira e fechamento em policarbonato alveolar transparente de 40mm, esquadria maxim-ar e vidro fixo temperado de 8mm dim.3,00x2,56m. Fornecimento e instalação</v>
      </c>
      <c r="E128" s="16" t="str">
        <f>IF(B128&amp;C128="","",VLOOKUP(B128&amp;C128,SERVIÇOS!C:F,3,0))</f>
        <v>un</v>
      </c>
      <c r="F128" s="19">
        <v>10</v>
      </c>
      <c r="G128" s="20">
        <f>IF(B128&amp;C128="","",VLOOKUP(B128&amp;C128,SERVIÇOS!C:F,4,0))*1.1033</f>
        <v>10064.059874</v>
      </c>
      <c r="H128" s="20">
        <f t="shared" si="26"/>
        <v>100640.59</v>
      </c>
    </row>
    <row r="129" spans="1:8" ht="45" customHeight="1" x14ac:dyDescent="0.25">
      <c r="A129" s="15">
        <f>IF(AND(B129&lt;&gt;"",C129&lt;&gt;""),LARGE($A$14:$A128,1)+1,"")</f>
        <v>51</v>
      </c>
      <c r="B129" s="16" t="s">
        <v>4715</v>
      </c>
      <c r="C129" s="17" t="s">
        <v>4897</v>
      </c>
      <c r="D129" s="336" t="str">
        <f>IF(B129&amp;C129="","",VLOOKUP(B129&amp;C129,SERVIÇOS!C:F,2,0))</f>
        <v>CX 04-C - Painéis com moldura de madeira e fechamento em policarbonato alveolar transparente de 40mm, esquadria maxim-ar e vidro fixo temperado de 8mm. Porta (0,70x2,56m) com moldura de madeira, fechamento em policarbonato e dois vidros fixos dim.3,00x2,56m. Fornecimento e instalação</v>
      </c>
      <c r="E129" s="16" t="str">
        <f>IF(B129&amp;C129="","",VLOOKUP(B129&amp;C129,SERVIÇOS!C:F,3,0))</f>
        <v>un</v>
      </c>
      <c r="F129" s="19">
        <v>1</v>
      </c>
      <c r="G129" s="20">
        <f>IF(B129&amp;C129="","",VLOOKUP(B129&amp;C129,SERVIÇOS!C:F,4,0))*1.1033</f>
        <v>10064.059874</v>
      </c>
      <c r="H129" s="20">
        <f t="shared" si="26"/>
        <v>10064.049999999999</v>
      </c>
    </row>
    <row r="130" spans="1:8" ht="45" customHeight="1" x14ac:dyDescent="0.25">
      <c r="A130" s="15">
        <f>IF(AND(B130&lt;&gt;"",C130&lt;&gt;""),LARGE($A$14:$A129,1)+1,"")</f>
        <v>52</v>
      </c>
      <c r="B130" s="16" t="s">
        <v>4715</v>
      </c>
      <c r="C130" s="17" t="s">
        <v>4898</v>
      </c>
      <c r="D130" s="336" t="str">
        <f>IF(B130&amp;C130="","",VLOOKUP(B130&amp;C130,SERVIÇOS!C:F,2,0))</f>
        <v>CX 04-D - Painéis com moldura de madeira, fechamento em policarbonato alveolar transparente de 40mm e esquadria maxim-ar com vidro temperado de 8mm. No vão do elevador, fechamento somente com policarbonato. Dim.3,00x2,56m. Fornecimento e instalação</v>
      </c>
      <c r="E130" s="16" t="str">
        <f>IF(B130&amp;C130="","",VLOOKUP(B130&amp;C130,SERVIÇOS!C:F,3,0))</f>
        <v>un</v>
      </c>
      <c r="F130" s="19">
        <v>2</v>
      </c>
      <c r="G130" s="20">
        <f>IF(B130&amp;C130="","",VLOOKUP(B130&amp;C130,SERVIÇOS!C:F,4,0))*1.1033</f>
        <v>10064.059874</v>
      </c>
      <c r="H130" s="20">
        <f t="shared" si="26"/>
        <v>20128.11</v>
      </c>
    </row>
    <row r="131" spans="1:8" ht="30" customHeight="1" x14ac:dyDescent="0.25">
      <c r="A131" s="15">
        <f>IF(AND(B131&lt;&gt;"",C131&lt;&gt;""),LARGE($A$14:$A130,1)+1,"")</f>
        <v>53</v>
      </c>
      <c r="B131" s="16" t="s">
        <v>4715</v>
      </c>
      <c r="C131" s="17" t="s">
        <v>4899</v>
      </c>
      <c r="D131" s="336" t="str">
        <f>IF(B131&amp;C131="","",VLOOKUP(B131&amp;C131,SERVIÇOS!C:F,2,0))</f>
        <v>PM01 - Porta de madeira com bandeira dim.0,90x2,56m. Fornecimento e instalação</v>
      </c>
      <c r="E131" s="16" t="str">
        <f>IF(B131&amp;C131="","",VLOOKUP(B131&amp;C131,SERVIÇOS!C:F,3,0))</f>
        <v>un</v>
      </c>
      <c r="F131" s="19">
        <v>4</v>
      </c>
      <c r="G131" s="20">
        <f>IF(B131&amp;C131="","",VLOOKUP(B131&amp;C131,SERVIÇOS!C:F,4,0))*1.1033</f>
        <v>4110.5537770000001</v>
      </c>
      <c r="H131" s="20">
        <f t="shared" si="26"/>
        <v>16442.21</v>
      </c>
    </row>
    <row r="132" spans="1:8" ht="30" customHeight="1" x14ac:dyDescent="0.25">
      <c r="A132" s="15">
        <f>IF(AND(B132&lt;&gt;"",C132&lt;&gt;""),LARGE($A$14:$A131,1)+1,"")</f>
        <v>54</v>
      </c>
      <c r="B132" s="16" t="s">
        <v>4715</v>
      </c>
      <c r="C132" s="17" t="s">
        <v>5399</v>
      </c>
      <c r="D132" s="336" t="str">
        <f>IF(B132&amp;C132="","",VLOOKUP(B132&amp;C132,SERVIÇOS!C:F,2,0))</f>
        <v>PM 02-B - Porta veneziana com batente de madeira  (pinus tratado autoclavado) L=73cm H=210 + 32cm de bandeira</v>
      </c>
      <c r="E132" s="16" t="str">
        <f>IF(B132&amp;C132="","",VLOOKUP(B132&amp;C132,SERVIÇOS!C:F,3,0))</f>
        <v>un</v>
      </c>
      <c r="F132" s="19">
        <v>3</v>
      </c>
      <c r="G132" s="20">
        <f>IF(B132&amp;C132="","",VLOOKUP(B132&amp;C132,SERVIÇOS!C:F,4,0))*1.1033</f>
        <v>3149.7118729999997</v>
      </c>
      <c r="H132" s="20">
        <f t="shared" si="26"/>
        <v>9449.1299999999992</v>
      </c>
    </row>
    <row r="133" spans="1:8" ht="30" customHeight="1" x14ac:dyDescent="0.25">
      <c r="A133" s="15">
        <f>IF(AND(B133&lt;&gt;"",C133&lt;&gt;""),LARGE($A$14:$A132,1)+1,"")</f>
        <v>55</v>
      </c>
      <c r="B133" s="16" t="s">
        <v>4715</v>
      </c>
      <c r="C133" s="17" t="s">
        <v>4901</v>
      </c>
      <c r="D133" s="336" t="str">
        <f>IF(B133&amp;C133="","",VLOOKUP(B133&amp;C133,SERVIÇOS!C:F,2,0))</f>
        <v>PM03 - Porta de madeira com bandeira dim.0,74x2,56m. Fornecimento e instalação</v>
      </c>
      <c r="E133" s="16" t="str">
        <f>IF(B133&amp;C133="","",VLOOKUP(B133&amp;C133,SERVIÇOS!C:F,3,0))</f>
        <v>un</v>
      </c>
      <c r="F133" s="19">
        <v>3</v>
      </c>
      <c r="G133" s="20">
        <f>IF(B133&amp;C133="","",VLOOKUP(B133&amp;C133,SERVIÇOS!C:F,4,0))*1.1033</f>
        <v>3978.9742189999997</v>
      </c>
      <c r="H133" s="20">
        <f t="shared" si="26"/>
        <v>11936.92</v>
      </c>
    </row>
    <row r="134" spans="1:8" ht="5.0999999999999996" customHeight="1" x14ac:dyDescent="0.25">
      <c r="A134" s="73"/>
      <c r="B134" s="2"/>
      <c r="C134" s="2"/>
      <c r="D134" s="21"/>
      <c r="E134" s="2"/>
      <c r="F134" s="2"/>
      <c r="G134" s="2"/>
      <c r="H134" s="74"/>
    </row>
    <row r="135" spans="1:8" x14ac:dyDescent="0.25">
      <c r="A135" s="9"/>
      <c r="B135" s="10" t="s">
        <v>4848</v>
      </c>
      <c r="C135" s="11"/>
      <c r="D135" s="37"/>
      <c r="E135" s="12"/>
      <c r="F135" s="13"/>
      <c r="G135" s="13"/>
      <c r="H135" s="14">
        <f>SUM(H137:H144)</f>
        <v>83434.440000000017</v>
      </c>
    </row>
    <row r="136" spans="1:8" ht="5.0999999999999996" customHeight="1" x14ac:dyDescent="0.25">
      <c r="A136" s="73"/>
      <c r="B136" s="2"/>
      <c r="C136" s="2"/>
      <c r="D136" s="21"/>
      <c r="E136" s="2"/>
      <c r="F136" s="2"/>
      <c r="G136" s="2"/>
      <c r="H136" s="74"/>
    </row>
    <row r="137" spans="1:8" ht="45" x14ac:dyDescent="0.25">
      <c r="A137" s="15">
        <f>IF(AND(B137&lt;&gt;"",C137&lt;&gt;""),LARGE($A$14:$A136,1)+1,"")</f>
        <v>56</v>
      </c>
      <c r="B137" s="16" t="s">
        <v>4715</v>
      </c>
      <c r="C137" s="17" t="s">
        <v>5295</v>
      </c>
      <c r="D137" s="18" t="str">
        <f>IF(B137&amp;C137="","",VLOOKUP(B137&amp;C137,SERVIÇOS!C:F,2,0))</f>
        <v>Cobertura em policarbonato 20mm, sistema TOPGAL da Arkos, ou equivalente técnico. Fornecimento e Instalação</v>
      </c>
      <c r="E137" s="16" t="str">
        <f>IF(B137&amp;C137="","",VLOOKUP(B137&amp;C137,SERVIÇOS!C:F,3,0))</f>
        <v>m²</v>
      </c>
      <c r="F137" s="19">
        <v>30.64</v>
      </c>
      <c r="G137" s="20">
        <f>IF(B137&amp;C137="","",VLOOKUP(B137&amp;C137,SERVIÇOS!C:F,4,0))*1.1033</f>
        <v>590.695787</v>
      </c>
      <c r="H137" s="20">
        <f t="shared" ref="H137:H142" si="27">IF(G137="","",TRUNC(G137*F137,2))</f>
        <v>18098.91</v>
      </c>
    </row>
    <row r="138" spans="1:8" ht="47.25" customHeight="1" x14ac:dyDescent="0.25">
      <c r="A138" s="15">
        <f>IF(AND(B138&lt;&gt;"",C138&lt;&gt;""),LARGE($A$14:$A137,1)+1,"")</f>
        <v>57</v>
      </c>
      <c r="B138" s="231" t="s">
        <v>4704</v>
      </c>
      <c r="C138" s="337">
        <v>703095</v>
      </c>
      <c r="D138" s="18" t="str">
        <f>IF(B138&amp;C138="","",VLOOKUP(B138&amp;C138,SERVIÇOS!C:F,2,0))</f>
        <v>Telha de aço galvanizado chapa 0,5mm com sand. Poliuretan h=50mm sup. Trapez com inf. Plano com pintura faces aparente</v>
      </c>
      <c r="E138" s="16" t="str">
        <f>IF(B138&amp;C138="","",VLOOKUP(B138&amp;C138,SERVIÇOS!C:F,3,0))</f>
        <v>m²</v>
      </c>
      <c r="F138" s="19">
        <v>343.68</v>
      </c>
      <c r="G138" s="20">
        <f>IF(B138&amp;C138="","",VLOOKUP(B138&amp;C138,SERVIÇOS!C:F,4,0))*1.1033</f>
        <v>158.42284700000002</v>
      </c>
      <c r="H138" s="20">
        <f t="shared" si="27"/>
        <v>54446.76</v>
      </c>
    </row>
    <row r="139" spans="1:8" ht="30" x14ac:dyDescent="0.25">
      <c r="A139" s="15">
        <f>IF(AND(B139&lt;&gt;"",C139&lt;&gt;""),LARGE($A$14:$A138,1)+1,"")</f>
        <v>58</v>
      </c>
      <c r="B139" s="231" t="s">
        <v>4704</v>
      </c>
      <c r="C139" s="337">
        <v>704051</v>
      </c>
      <c r="D139" s="18" t="str">
        <f>IF(B139&amp;C139="","",VLOOKUP(B139&amp;C139,SERVIÇOS!C:F,2,0))</f>
        <v>Rufo liso de alumínio acab. Natural e=0,80mm corte até 0,16m</v>
      </c>
      <c r="E139" s="16" t="str">
        <f>IF(B139&amp;C139="","",VLOOKUP(B139&amp;C139,SERVIÇOS!C:F,3,0))</f>
        <v>m</v>
      </c>
      <c r="F139" s="19">
        <v>61.5</v>
      </c>
      <c r="G139" s="20">
        <f>IF(B139&amp;C139="","",VLOOKUP(B139&amp;C139,SERVIÇOS!C:F,4,0))*1.1033</f>
        <v>28.487206</v>
      </c>
      <c r="H139" s="20">
        <f t="shared" ref="H139" si="28">IF(G139="","",TRUNC(G139*F139,2))</f>
        <v>1751.96</v>
      </c>
    </row>
    <row r="140" spans="1:8" ht="30" x14ac:dyDescent="0.25">
      <c r="A140" s="15">
        <f>IF(AND(B140&lt;&gt;"",C140&lt;&gt;""),LARGE($A$14:$A139,1)+1,"")</f>
        <v>59</v>
      </c>
      <c r="B140" s="231" t="s">
        <v>4704</v>
      </c>
      <c r="C140" s="337">
        <v>704052</v>
      </c>
      <c r="D140" s="18" t="str">
        <f>IF(B140&amp;C140="","",VLOOKUP(B140&amp;C140,SERVIÇOS!C:F,2,0))</f>
        <v>Rufo liso de alumínio acab. Natural e=0,80mm corte  0,25m</v>
      </c>
      <c r="E140" s="16" t="str">
        <f>IF(B140&amp;C140="","",VLOOKUP(B140&amp;C140,SERVIÇOS!C:F,3,0))</f>
        <v>m</v>
      </c>
      <c r="F140" s="19">
        <v>62.34</v>
      </c>
      <c r="G140" s="20">
        <f>IF(B140&amp;C140="","",VLOOKUP(B140&amp;C140,SERVIÇOS!C:F,4,0))*1.1033</f>
        <v>33.573419000000001</v>
      </c>
      <c r="H140" s="20">
        <f t="shared" si="27"/>
        <v>2092.96</v>
      </c>
    </row>
    <row r="141" spans="1:8" ht="30" x14ac:dyDescent="0.25">
      <c r="A141" s="15">
        <f>IF(AND(B141&lt;&gt;"",C141&lt;&gt;""),LARGE($A$14:$A140,1)+1,"")</f>
        <v>60</v>
      </c>
      <c r="B141" s="231" t="s">
        <v>4704</v>
      </c>
      <c r="C141" s="337">
        <v>704053</v>
      </c>
      <c r="D141" s="18" t="str">
        <f>IF(B141&amp;C141="","",VLOOKUP(B141&amp;C141,SERVIÇOS!C:F,2,0))</f>
        <v>Rufo liso de alumínio acab. Natural e=0,80mm corte  0,33m</v>
      </c>
      <c r="E141" s="16" t="str">
        <f>IF(B141&amp;C141="","",VLOOKUP(B141&amp;C141,SERVIÇOS!C:F,3,0))</f>
        <v>m</v>
      </c>
      <c r="F141" s="19">
        <v>62.34</v>
      </c>
      <c r="G141" s="20">
        <f>IF(B141&amp;C141="","",VLOOKUP(B141&amp;C141,SERVIÇOS!C:F,4,0))*1.1033</f>
        <v>43.017666999999989</v>
      </c>
      <c r="H141" s="20">
        <f t="shared" ref="H141" si="29">IF(G141="","",TRUNC(G141*F141,2))</f>
        <v>2681.72</v>
      </c>
    </row>
    <row r="142" spans="1:8" ht="30" x14ac:dyDescent="0.25">
      <c r="A142" s="15">
        <f>IF(AND(B142&lt;&gt;"",C142&lt;&gt;""),LARGE($A$14:$A141,1)+1,"")</f>
        <v>61</v>
      </c>
      <c r="B142" s="231" t="s">
        <v>4704</v>
      </c>
      <c r="C142" s="337">
        <v>704054</v>
      </c>
      <c r="D142" s="18" t="str">
        <f>IF(B142&amp;C142="","",VLOOKUP(B142&amp;C142,SERVIÇOS!C:F,2,0))</f>
        <v>Rufo liso de alumínio acab. Natural e=0,80mm corte  0,50m</v>
      </c>
      <c r="E142" s="16" t="str">
        <f>IF(B142&amp;C142="","",VLOOKUP(B142&amp;C142,SERVIÇOS!C:F,3,0))</f>
        <v>m</v>
      </c>
      <c r="F142" s="19">
        <v>26.3</v>
      </c>
      <c r="G142" s="20">
        <f>IF(B142&amp;C142="","",VLOOKUP(B142&amp;C142,SERVIÇOS!C:F,4,0))*1.1033</f>
        <v>72.961228999999989</v>
      </c>
      <c r="H142" s="20">
        <f t="shared" si="27"/>
        <v>1918.88</v>
      </c>
    </row>
    <row r="143" spans="1:8" ht="30" x14ac:dyDescent="0.25">
      <c r="A143" s="15">
        <f>IF(AND(B143&lt;&gt;"",C143&lt;&gt;""),LARGE($A$14:$A142,1)+1,"")</f>
        <v>62</v>
      </c>
      <c r="B143" s="231" t="s">
        <v>4704</v>
      </c>
      <c r="C143" s="337">
        <v>704055</v>
      </c>
      <c r="D143" s="18" t="str">
        <f>IF(B143&amp;C143="","",VLOOKUP(B143&amp;C143,SERVIÇOS!C:F,2,0))</f>
        <v>Rufo liso de alumínio acab. Natural e=0,80mm corte  1,00m</v>
      </c>
      <c r="E143" s="16" t="str">
        <f>IF(B143&amp;C143="","",VLOOKUP(B143&amp;C143,SERVIÇOS!C:F,3,0))</f>
        <v>m</v>
      </c>
      <c r="F143" s="19">
        <v>6</v>
      </c>
      <c r="G143" s="20">
        <f>IF(B143&amp;C143="","",VLOOKUP(B143&amp;C143,SERVIÇOS!C:F,4,0))*1.1033</f>
        <v>121.340934</v>
      </c>
      <c r="H143" s="20">
        <f t="shared" ref="H143" si="30">IF(G143="","",TRUNC(G143*F143,2))</f>
        <v>728.04</v>
      </c>
    </row>
    <row r="144" spans="1:8" x14ac:dyDescent="0.25">
      <c r="A144" s="15">
        <f>IF(AND(B144&lt;&gt;"",C144&lt;&gt;""),LARGE($A$14:$A143,1)+1,"")</f>
        <v>63</v>
      </c>
      <c r="B144" s="231" t="s">
        <v>4704</v>
      </c>
      <c r="C144" s="337">
        <v>812097</v>
      </c>
      <c r="D144" s="18" t="str">
        <f>IF(B144&amp;C144="","",VLOOKUP(B144&amp;C144,SERVIÇOS!C:F,2,0))</f>
        <v>Calha de alumínio acab natural e=0,8mm corte 1,00m</v>
      </c>
      <c r="E144" s="16" t="str">
        <f>IF(B144&amp;C144="","",VLOOKUP(B144&amp;C144,SERVIÇOS!C:F,3,0))</f>
        <v>m</v>
      </c>
      <c r="F144" s="19">
        <v>14.4</v>
      </c>
      <c r="G144" s="20">
        <f>IF(B144&amp;C144="","",VLOOKUP(B144&amp;C144,SERVIÇOS!C:F,4,0))*1.1033</f>
        <v>119.112268</v>
      </c>
      <c r="H144" s="20">
        <f t="shared" ref="H144" si="31">IF(G144="","",TRUNC(G144*F144,2))</f>
        <v>1715.21</v>
      </c>
    </row>
    <row r="145" spans="1:8" ht="5.0999999999999996" customHeight="1" x14ac:dyDescent="0.25">
      <c r="A145" s="73"/>
      <c r="B145" s="2"/>
      <c r="C145" s="2"/>
      <c r="D145" s="21"/>
      <c r="E145" s="2"/>
      <c r="F145" s="2"/>
      <c r="G145" s="2"/>
      <c r="H145" s="74"/>
    </row>
    <row r="146" spans="1:8" x14ac:dyDescent="0.25">
      <c r="A146" s="9"/>
      <c r="B146" s="10" t="s">
        <v>4850</v>
      </c>
      <c r="C146" s="11"/>
      <c r="D146" s="37"/>
      <c r="E146" s="12"/>
      <c r="F146" s="13"/>
      <c r="G146" s="13"/>
      <c r="H146" s="14">
        <f>SUM(H147:H151)</f>
        <v>121824.21</v>
      </c>
    </row>
    <row r="147" spans="1:8" ht="117" customHeight="1" x14ac:dyDescent="0.25">
      <c r="A147" s="15">
        <f>IF(AND(B147&lt;&gt;"",C147&lt;&gt;""),LARGE($A$14:$A146,1)+1,"")</f>
        <v>64</v>
      </c>
      <c r="B147" s="16" t="s">
        <v>4715</v>
      </c>
      <c r="C147" s="17" t="s">
        <v>5077</v>
      </c>
      <c r="D147" s="18" t="str">
        <f>IF(B147&amp;C147="","",VLOOKUP(B147&amp;C147,SERVIÇOS!C:F,2,0))</f>
        <v>Piso de poliuretano autonivelante monolítico flexível com acabamento em sistema de pintura poliuretânica alifática, com alta resistência à abrasão, a derramamentos químicos e a raios U.V. E = 3 mm. Referência: Duracolor. 
Instalado sobre painéis com miolo de madeira contraplacado por lâminas de madeira e externamente por chapas em CRFS - espessura de 40 mm</v>
      </c>
      <c r="E147" s="16" t="str">
        <f>IF(B147&amp;C147="","",VLOOKUP(B147&amp;C147,SERVIÇOS!C:F,3,0))</f>
        <v>m²</v>
      </c>
      <c r="F147" s="19">
        <v>63.8</v>
      </c>
      <c r="G147" s="20">
        <f>IF(B147&amp;C147="","",VLOOKUP(B147&amp;C147,SERVIÇOS!C:F,4,0))*1.1033</f>
        <v>37.115012</v>
      </c>
      <c r="H147" s="20">
        <f t="shared" ref="H147" si="32">IF(G147="","",TRUNC(G147*F147,2))</f>
        <v>2367.9299999999998</v>
      </c>
    </row>
    <row r="148" spans="1:8" ht="30" x14ac:dyDescent="0.25">
      <c r="A148" s="15">
        <f>IF(AND(B148&lt;&gt;"",C148&lt;&gt;""),LARGE($A$14:$A133,1)+1,"")</f>
        <v>56</v>
      </c>
      <c r="B148" s="16" t="s">
        <v>4715</v>
      </c>
      <c r="C148" s="17" t="s">
        <v>5079</v>
      </c>
      <c r="D148" s="18" t="str">
        <f>IF(B148&amp;C148="","",VLOOKUP(B148&amp;C148,SERVIÇOS!C:F,2,0))</f>
        <v>Deck de madeira com pranchas de Pinus tratado em autoclave impermeabilizado, L = 100 mm e E = 20 mm</v>
      </c>
      <c r="E148" s="16" t="str">
        <f>IF(B148&amp;C148="","",VLOOKUP(B148&amp;C148,SERVIÇOS!C:F,3,0))</f>
        <v>m²</v>
      </c>
      <c r="F148" s="19">
        <v>133.16999999999999</v>
      </c>
      <c r="G148" s="20">
        <f>IF(B148&amp;C148="","",VLOOKUP(B148&amp;C148,SERVIÇOS!C:F,4,0))*1.1033</f>
        <v>290.09066899999993</v>
      </c>
      <c r="H148" s="20">
        <f t="shared" ref="H148:H150" si="33">IF(G148="","",TRUNC(G148*F148,2))</f>
        <v>38631.370000000003</v>
      </c>
    </row>
    <row r="149" spans="1:8" ht="90" x14ac:dyDescent="0.25">
      <c r="A149" s="15">
        <f>IF(AND(B149&lt;&gt;"",C149&lt;&gt;""),LARGE($A$14:$A133,1)+1,"")</f>
        <v>56</v>
      </c>
      <c r="B149" s="16" t="s">
        <v>4715</v>
      </c>
      <c r="C149" s="17" t="s">
        <v>5080</v>
      </c>
      <c r="D149" s="18" t="str">
        <f>IF(B149&amp;C149="","",VLOOKUP(B149&amp;C149,SERVIÇOS!C:F,2,0))</f>
        <v>Assoalho de madeira com pranchas de Pinus tratado em autoclave unidas com encaixe tipo macho-fêmea, L = 100 mm E = 20 mm
Instalado sobre painéis com miolo de madeira contraplacado por lâminas de madeira e externamente por chapas em CRFS - espessura de 40 mm</v>
      </c>
      <c r="E149" s="16" t="str">
        <f>IF(B149&amp;C149="","",VLOOKUP(B149&amp;C149,SERVIÇOS!C:F,3,0))</f>
        <v>m²</v>
      </c>
      <c r="F149" s="19">
        <v>114.26</v>
      </c>
      <c r="G149" s="20">
        <f>IF(B149&amp;C149="","",VLOOKUP(B149&amp;C149,SERVIÇOS!C:F,4,0))*1.1033</f>
        <v>274.76583199999999</v>
      </c>
      <c r="H149" s="20">
        <f t="shared" si="33"/>
        <v>31394.74</v>
      </c>
    </row>
    <row r="150" spans="1:8" ht="90" x14ac:dyDescent="0.25">
      <c r="A150" s="15">
        <f>IF(AND(B150&lt;&gt;"",C150&lt;&gt;""),LARGE($A$14:$A134,1)+1,"")</f>
        <v>56</v>
      </c>
      <c r="B150" s="16" t="s">
        <v>4715</v>
      </c>
      <c r="C150" s="17" t="s">
        <v>5081</v>
      </c>
      <c r="D150" s="18" t="str">
        <f>IF(B150&amp;C150="","",VLOOKUP(B150&amp;C150,SERVIÇOS!C:F,2,0))</f>
        <v xml:space="preserve">Deck de madeira com pranchas de Pinus tratado em autoclave impermeabilizado, L = 100 mm e E = 20 mm
Instalado sobre camada de impermeabilização e painéis com miolo de madeira contraplacado por lâminas de madeira e externamente por chapas em CRFS - espessura de 40 mm </v>
      </c>
      <c r="E150" s="16" t="str">
        <f>IF(B150&amp;C150="","",VLOOKUP(B150&amp;C150,SERVIÇOS!C:F,3,0))</f>
        <v>m²</v>
      </c>
      <c r="F150" s="19">
        <v>147.01</v>
      </c>
      <c r="G150" s="20">
        <f>IF(B150&amp;C150="","",VLOOKUP(B150&amp;C150,SERVIÇOS!C:F,4,0))*1.1033</f>
        <v>290.09066899999993</v>
      </c>
      <c r="H150" s="20">
        <f t="shared" si="33"/>
        <v>42646.22</v>
      </c>
    </row>
    <row r="151" spans="1:8" ht="30" customHeight="1" x14ac:dyDescent="0.25">
      <c r="A151" s="15">
        <f>IF(AND(B151&lt;&gt;"",C151&lt;&gt;""),LARGE($A$14:$A135,1)+1,"")</f>
        <v>56</v>
      </c>
      <c r="B151" s="16" t="s">
        <v>4715</v>
      </c>
      <c r="C151" s="17" t="s">
        <v>5294</v>
      </c>
      <c r="D151" s="18" t="str">
        <f>IF(B151&amp;C151="","",VLOOKUP(B151&amp;C151,SERVIÇOS!C:F,2,0))</f>
        <v>Piso tátil de alerta com elementos soltos de poliéster instalação parafusada - cor preta - largura 25cm</v>
      </c>
      <c r="E151" s="16" t="str">
        <f>IF(B151&amp;C151="","",VLOOKUP(B151&amp;C151,SERVIÇOS!C:F,3,0))</f>
        <v>m²</v>
      </c>
      <c r="F151" s="19">
        <f>10.2+12.6+6.1+8.3</f>
        <v>37.200000000000003</v>
      </c>
      <c r="G151" s="19">
        <f>IF(B151&amp;C151="","",VLOOKUP(B151&amp;C151,SERVIÇOS!C:F,4,0))*1.1033</f>
        <v>182.36445700000002</v>
      </c>
      <c r="H151" s="20">
        <f t="shared" ref="H151" si="34">IF(G151="","",TRUNC(G151*F151,2))</f>
        <v>6783.95</v>
      </c>
    </row>
    <row r="152" spans="1:8" ht="5.0999999999999996" customHeight="1" x14ac:dyDescent="0.25">
      <c r="A152" s="73"/>
      <c r="B152" s="2"/>
      <c r="C152" s="2"/>
      <c r="D152" s="21"/>
      <c r="E152" s="2"/>
      <c r="F152" s="2"/>
      <c r="G152" s="2"/>
      <c r="H152" s="74"/>
    </row>
    <row r="153" spans="1:8" x14ac:dyDescent="0.25">
      <c r="A153" s="9"/>
      <c r="B153" s="10" t="s">
        <v>4851</v>
      </c>
      <c r="C153" s="11"/>
      <c r="D153" s="37"/>
      <c r="E153" s="12"/>
      <c r="F153" s="13"/>
      <c r="G153" s="13"/>
      <c r="H153" s="14">
        <f>SUM(H154:H156)</f>
        <v>44994.139999999992</v>
      </c>
    </row>
    <row r="154" spans="1:8" ht="50.25" customHeight="1" x14ac:dyDescent="0.25">
      <c r="A154" s="15">
        <f>IF(AND(B154&lt;&gt;"",C154&lt;&gt;""),LARGE($A$14:$A153,1)+1,"")</f>
        <v>65</v>
      </c>
      <c r="B154" s="16" t="s">
        <v>4715</v>
      </c>
      <c r="C154" s="17" t="s">
        <v>5085</v>
      </c>
      <c r="D154" s="18" t="str">
        <f>IF(B154&amp;C154="","",VLOOKUP(B154&amp;C154,SERVIÇOS!C:F,2,0))</f>
        <v>Placas de MDF resistente à úmidade revestidas com laminado melamínico de alta pressão, texturizado, cor branca. Ref. Formica L 120 Branco TX</v>
      </c>
      <c r="E154" s="16" t="str">
        <f>IF(B154&amp;C154="","",VLOOKUP(B154&amp;C154,SERVIÇOS!C:F,3,0))</f>
        <v>m²</v>
      </c>
      <c r="F154" s="19">
        <v>376.6</v>
      </c>
      <c r="G154" s="19">
        <f>IF(B154&amp;C154="","",VLOOKUP(B154&amp;C154,SERVIÇOS!C:F,4,0))*1.1033</f>
        <v>106.865638</v>
      </c>
      <c r="H154" s="20">
        <f t="shared" ref="H154" si="35">IF(G154="","",TRUNC(G154*F154,2))</f>
        <v>40245.589999999997</v>
      </c>
    </row>
    <row r="155" spans="1:8" ht="45" x14ac:dyDescent="0.25">
      <c r="A155" s="15">
        <f>IF(AND(B155&lt;&gt;"",C155&lt;&gt;""),LARGE($A$14:$A154,1)+1,"")</f>
        <v>66</v>
      </c>
      <c r="B155" s="16" t="s">
        <v>4715</v>
      </c>
      <c r="C155" s="17" t="s">
        <v>5086</v>
      </c>
      <c r="D155" s="18" t="str">
        <f>IF(B155&amp;C155="","",VLOOKUP(B155&amp;C155,SERVIÇOS!C:F,2,0))</f>
        <v>Pintura com tinta epóxi cor branca aplicada sobre massa acrílica e placas cimentícias com tratamento de impermeabilização</v>
      </c>
      <c r="E155" s="16" t="str">
        <f>IF(B155&amp;C155="","",VLOOKUP(B155&amp;C155,SERVIÇOS!C:F,3,0))</f>
        <v>m²</v>
      </c>
      <c r="F155" s="19">
        <v>17.28</v>
      </c>
      <c r="G155" s="19">
        <f>IF(B155&amp;C155="","",VLOOKUP(B155&amp;C155,SERVIÇOS!C:F,4,0))*1.1033</f>
        <v>31.929501999999996</v>
      </c>
      <c r="H155" s="20">
        <f t="shared" ref="H155:H156" si="36">IF(G155="","",TRUNC(G155*F155,2))</f>
        <v>551.74</v>
      </c>
    </row>
    <row r="156" spans="1:8" ht="30" customHeight="1" x14ac:dyDescent="0.25">
      <c r="A156" s="15">
        <f>IF(AND(B156&lt;&gt;"",C156&lt;&gt;""),LARGE($A$14:$A155,1)+1,"")</f>
        <v>67</v>
      </c>
      <c r="B156" s="16" t="s">
        <v>4715</v>
      </c>
      <c r="C156" s="17" t="s">
        <v>5087</v>
      </c>
      <c r="D156" s="18" t="str">
        <f>IF(B156&amp;C156="","",VLOOKUP(B156&amp;C156,SERVIÇOS!C:F,2,0))</f>
        <v>Pintura com tinta epóxi cor branca aplicada sobre massa acrílica aplicada em placas de MDF resistente à úmidade</v>
      </c>
      <c r="E156" s="16" t="str">
        <f>IF(B156&amp;C156="","",VLOOKUP(B156&amp;C156,SERVIÇOS!C:F,3,0))</f>
        <v>m²</v>
      </c>
      <c r="F156" s="19">
        <v>131.44</v>
      </c>
      <c r="G156" s="19">
        <f>IF(B156&amp;C156="","",VLOOKUP(B156&amp;C156,SERVIÇOS!C:F,4,0))*1.1033</f>
        <v>31.929501999999996</v>
      </c>
      <c r="H156" s="20">
        <f t="shared" si="36"/>
        <v>4196.8100000000004</v>
      </c>
    </row>
    <row r="157" spans="1:8" ht="5.0999999999999996" customHeight="1" x14ac:dyDescent="0.25">
      <c r="A157" s="73"/>
      <c r="B157" s="2"/>
      <c r="C157" s="2"/>
      <c r="D157" s="21"/>
      <c r="E157" s="2"/>
      <c r="F157" s="2"/>
      <c r="G157" s="2"/>
      <c r="H157" s="74"/>
    </row>
    <row r="158" spans="1:8" x14ac:dyDescent="0.25">
      <c r="A158" s="9"/>
      <c r="B158" s="10" t="s">
        <v>4852</v>
      </c>
      <c r="C158" s="11"/>
      <c r="D158" s="37"/>
      <c r="E158" s="12"/>
      <c r="F158" s="13"/>
      <c r="G158" s="13"/>
      <c r="H158" s="14">
        <f>SUM(H159:H160)</f>
        <v>5325.4</v>
      </c>
    </row>
    <row r="159" spans="1:8" ht="45" customHeight="1" x14ac:dyDescent="0.25">
      <c r="A159" s="15">
        <f>IF(AND(B159&lt;&gt;"",C159&lt;&gt;""),LARGE($A$14:$A158,1)+1,"")</f>
        <v>68</v>
      </c>
      <c r="B159" s="16" t="s">
        <v>4715</v>
      </c>
      <c r="C159" s="17" t="s">
        <v>5088</v>
      </c>
      <c r="D159" s="18" t="str">
        <f>IF(B159&amp;C159="","",VLOOKUP(B159&amp;C159,SERVIÇOS!C:F,2,0))</f>
        <v>Pintura acrílica branca sobre fundo de painéis com miolo de madeira contraplacado por lâminas de madeira e externamente por chapas em CRFS</v>
      </c>
      <c r="E159" s="16" t="str">
        <f>IF(B159&amp;C159="","",VLOOKUP(B159&amp;C159,SERVIÇOS!C:F,3,0))</f>
        <v>m²</v>
      </c>
      <c r="F159" s="19">
        <v>240.94</v>
      </c>
      <c r="G159" s="19">
        <f>IF(B159&amp;C159="","",VLOOKUP(B159&amp;C159,SERVIÇOS!C:F,4,0))*1.1033</f>
        <v>17.851393999999999</v>
      </c>
      <c r="H159" s="20">
        <f t="shared" ref="H159:H160" si="37">IF(G159="","",TRUNC(G159*F159,2))</f>
        <v>4301.1099999999997</v>
      </c>
    </row>
    <row r="160" spans="1:8" ht="30" customHeight="1" x14ac:dyDescent="0.25">
      <c r="A160" s="15">
        <f>IF(AND(B160&lt;&gt;"",C160&lt;&gt;""),LARGE($A$14:$A159,1)+1,"")</f>
        <v>69</v>
      </c>
      <c r="B160" s="16" t="s">
        <v>4715</v>
      </c>
      <c r="C160" s="17" t="s">
        <v>5089</v>
      </c>
      <c r="D160" s="18" t="str">
        <f>IF(B160&amp;C160="","",VLOOKUP(B160&amp;C160,SERVIÇOS!C:F,2,0))</f>
        <v>Pintura com tinta epóxi cor branca sobre massa acrílica aplicada em placas de MDF resistente à úmidade</v>
      </c>
      <c r="E160" s="16" t="str">
        <f>IF(B160&amp;C160="","",VLOOKUP(B160&amp;C160,SERVIÇOS!C:F,3,0))</f>
        <v>m²</v>
      </c>
      <c r="F160" s="19">
        <v>32.08</v>
      </c>
      <c r="G160" s="19">
        <f>IF(B160&amp;C160="","",VLOOKUP(B160&amp;C160,SERVIÇOS!C:F,4,0))*1.1033</f>
        <v>31.929501999999996</v>
      </c>
      <c r="H160" s="20">
        <f t="shared" si="37"/>
        <v>1024.29</v>
      </c>
    </row>
    <row r="161" spans="1:8" ht="5.0999999999999996" customHeight="1" x14ac:dyDescent="0.25">
      <c r="A161" s="73"/>
      <c r="B161" s="2"/>
      <c r="C161" s="2"/>
      <c r="D161" s="21"/>
      <c r="E161" s="2"/>
      <c r="F161" s="2"/>
      <c r="G161" s="2"/>
      <c r="H161" s="74"/>
    </row>
    <row r="162" spans="1:8" x14ac:dyDescent="0.25">
      <c r="A162" s="9"/>
      <c r="B162" s="10" t="s">
        <v>4853</v>
      </c>
      <c r="C162" s="11"/>
      <c r="D162" s="37"/>
      <c r="E162" s="12"/>
      <c r="F162" s="13"/>
      <c r="G162" s="13"/>
      <c r="H162" s="14">
        <f>SUM(H164:H165)</f>
        <v>44023.1</v>
      </c>
    </row>
    <row r="163" spans="1:8" ht="5.0999999999999996" customHeight="1" x14ac:dyDescent="0.25">
      <c r="A163" s="73"/>
      <c r="B163" s="2"/>
      <c r="C163" s="2"/>
      <c r="D163" s="21"/>
      <c r="E163" s="2"/>
      <c r="F163" s="2"/>
      <c r="G163" s="2"/>
      <c r="H163" s="74"/>
    </row>
    <row r="164" spans="1:8" ht="45" x14ac:dyDescent="0.25">
      <c r="A164" s="15">
        <f>IF(AND(B164&lt;&gt;"",C164&lt;&gt;""),LARGE($A$14:$A162,1)+1,"")</f>
        <v>70</v>
      </c>
      <c r="B164" s="16" t="s">
        <v>4715</v>
      </c>
      <c r="C164" s="17" t="s">
        <v>5291</v>
      </c>
      <c r="D164" s="18" t="str">
        <f>IF(B164&amp;C164="","",VLOOKUP(B164&amp;C164,SERVIÇOS!C:F,2,0))</f>
        <v>GC-01 - Guarda-corpo de madeira com fechamento de tela galvanizada + corrimão duplo de aço galvanizado 1/12"</v>
      </c>
      <c r="E164" s="16" t="str">
        <f>IF(B164&amp;C164="","",VLOOKUP(B164&amp;C164,SERVIÇOS!C:F,3,0))</f>
        <v>m</v>
      </c>
      <c r="F164" s="19">
        <v>68.3</v>
      </c>
      <c r="G164" s="19">
        <f>IF(B164&amp;C164="","",VLOOKUP(B164&amp;C164,SERVIÇOS!C:F,4,0))*1.1033</f>
        <v>268.49908800000003</v>
      </c>
      <c r="H164" s="20">
        <f t="shared" ref="H164:H165" si="38">IF(G164="","",TRUNC(G164*F164,2))</f>
        <v>18338.48</v>
      </c>
    </row>
    <row r="165" spans="1:8" ht="30" x14ac:dyDescent="0.25">
      <c r="A165" s="15">
        <f>IF(AND(B165&lt;&gt;"",C165&lt;&gt;""),LARGE($A$14:$A164,1)+1,"")</f>
        <v>71</v>
      </c>
      <c r="B165" s="16" t="s">
        <v>4715</v>
      </c>
      <c r="C165" s="17" t="s">
        <v>5292</v>
      </c>
      <c r="D165" s="18" t="str">
        <f>IF(B165&amp;C165="","",VLOOKUP(B165&amp;C165,SERVIÇOS!C:F,2,0))</f>
        <v>GC-02 - Guarda-corpo de madeira com fechamento de tela galvanizada (rampas, escadas e decks externos)</v>
      </c>
      <c r="E165" s="16" t="str">
        <f>IF(B165&amp;C165="","",VLOOKUP(B165&amp;C165,SERVIÇOS!C:F,3,0))</f>
        <v>m</v>
      </c>
      <c r="F165" s="19">
        <f>64.7+30.96</f>
        <v>95.66</v>
      </c>
      <c r="G165" s="19">
        <f>IF(B165&amp;C165="","",VLOOKUP(B165&amp;C165,SERVIÇOS!C:F,4,0))*1.1033</f>
        <v>268.49908800000003</v>
      </c>
      <c r="H165" s="20">
        <f t="shared" si="38"/>
        <v>25684.62</v>
      </c>
    </row>
    <row r="166" spans="1:8" ht="5.0999999999999996" customHeight="1" x14ac:dyDescent="0.25">
      <c r="A166" s="73"/>
      <c r="B166" s="2"/>
      <c r="C166" s="2"/>
      <c r="D166" s="21"/>
      <c r="E166" s="2"/>
      <c r="F166" s="2"/>
      <c r="G166" s="2"/>
      <c r="H166" s="74"/>
    </row>
    <row r="167" spans="1:8" x14ac:dyDescent="0.25">
      <c r="A167" s="9"/>
      <c r="B167" s="10" t="s">
        <v>5494</v>
      </c>
      <c r="C167" s="11"/>
      <c r="D167" s="37"/>
      <c r="E167" s="12"/>
      <c r="F167" s="13"/>
      <c r="G167" s="13"/>
      <c r="H167" s="14">
        <f>SUM(H169:H170)</f>
        <v>10590.29</v>
      </c>
    </row>
    <row r="168" spans="1:8" ht="4.5" customHeight="1" x14ac:dyDescent="0.25">
      <c r="A168" s="73"/>
      <c r="B168" s="2"/>
      <c r="C168" s="2"/>
      <c r="D168" s="21"/>
      <c r="E168" s="2"/>
      <c r="F168" s="2"/>
      <c r="G168" s="2"/>
      <c r="H168" s="74"/>
    </row>
    <row r="169" spans="1:8" x14ac:dyDescent="0.25">
      <c r="A169" s="15">
        <f>IF(AND(B169&lt;&gt;"",C169&lt;&gt;""),LARGE($A$14:$A167,1)+1,"")</f>
        <v>72</v>
      </c>
      <c r="B169" s="16" t="s">
        <v>4398</v>
      </c>
      <c r="C169" s="17">
        <v>970219</v>
      </c>
      <c r="D169" s="18" t="str">
        <f>IF(B169&amp;C169="","",VLOOKUP(B169&amp;C169,SERVIÇOS!C:F,2,0))</f>
        <v>Placa de identificação em acrílico com texto em vinil</v>
      </c>
      <c r="E169" s="16" t="str">
        <f>IF(B169&amp;C169="","",VLOOKUP(B169&amp;C169,SERVIÇOS!C:F,3,0))</f>
        <v>m²</v>
      </c>
      <c r="F169" s="19">
        <v>0.67500000000000004</v>
      </c>
      <c r="G169" s="431">
        <v>777.04</v>
      </c>
      <c r="H169" s="20">
        <f t="shared" ref="H169:H170" si="39">IF(G169="","",TRUNC(G169*F169,2))</f>
        <v>524.5</v>
      </c>
    </row>
    <row r="170" spans="1:8" ht="33.75" customHeight="1" x14ac:dyDescent="0.25">
      <c r="A170" s="15">
        <f>IF(AND(B170&lt;&gt;"",C170&lt;&gt;""),LARGE($A$14:$A169,1)+1,"")</f>
        <v>73</v>
      </c>
      <c r="B170" s="231" t="s">
        <v>4704</v>
      </c>
      <c r="C170" s="17">
        <v>1618081</v>
      </c>
      <c r="D170" s="18" t="str">
        <f>IF(B170&amp;C170="","",VLOOKUP(B170&amp;C170,SERVIÇOS!C:F,2,0))</f>
        <v>Totem de Identificação</v>
      </c>
      <c r="E170" s="16" t="str">
        <f>IF(B170&amp;C170="","",VLOOKUP(B170&amp;C170,SERVIÇOS!C:F,3,0))</f>
        <v>un</v>
      </c>
      <c r="F170" s="19">
        <v>1</v>
      </c>
      <c r="G170" s="19">
        <f>IF(B170&amp;C170="","",VLOOKUP(B170&amp;C170,SERVIÇOS!C:F,4,0))*1.1033</f>
        <v>10065.792055</v>
      </c>
      <c r="H170" s="20">
        <f t="shared" si="39"/>
        <v>10065.790000000001</v>
      </c>
    </row>
    <row r="171" spans="1:8" ht="5.0999999999999996" customHeight="1" x14ac:dyDescent="0.25">
      <c r="A171" s="73"/>
      <c r="B171" s="2"/>
      <c r="C171" s="2"/>
      <c r="D171" s="21"/>
      <c r="E171" s="2"/>
      <c r="F171" s="2"/>
      <c r="G171" s="2"/>
      <c r="H171" s="74"/>
    </row>
    <row r="172" spans="1:8" x14ac:dyDescent="0.25">
      <c r="A172" s="9"/>
      <c r="B172" s="10" t="s">
        <v>4712</v>
      </c>
      <c r="C172" s="11"/>
      <c r="D172" s="37"/>
      <c r="E172" s="12"/>
      <c r="F172" s="13"/>
      <c r="G172" s="13"/>
      <c r="H172" s="14">
        <f>SUM(H174:H202)</f>
        <v>46804.289999999994</v>
      </c>
    </row>
    <row r="173" spans="1:8" ht="4.5" customHeight="1" x14ac:dyDescent="0.25">
      <c r="A173" s="73"/>
      <c r="B173" s="2"/>
      <c r="C173" s="2"/>
      <c r="D173" s="21"/>
      <c r="E173" s="2"/>
      <c r="F173" s="2"/>
      <c r="G173" s="2"/>
      <c r="H173" s="74"/>
    </row>
    <row r="174" spans="1:8" x14ac:dyDescent="0.25">
      <c r="A174" s="15">
        <f>IF(AND(B174&lt;&gt;"",C174&lt;&gt;""),LARGE($A$14:$A173,1)+1,"")</f>
        <v>74</v>
      </c>
      <c r="B174" s="16" t="s">
        <v>4398</v>
      </c>
      <c r="C174" s="337">
        <v>440105</v>
      </c>
      <c r="D174" s="336" t="str">
        <f>IF(B174&amp;C174="","",VLOOKUP(B174&amp;C174,SERVIÇOS!C:F,2,0))</f>
        <v>Bacia sifonada de louça sem tampa - 6 litros</v>
      </c>
      <c r="E174" s="338" t="str">
        <f>IF(B174&amp;C174="","",VLOOKUP(B174&amp;C174,SERVIÇOS!C:F,3,0))</f>
        <v>un</v>
      </c>
      <c r="F174" s="19">
        <v>2</v>
      </c>
      <c r="G174" s="431">
        <v>187.41</v>
      </c>
      <c r="H174" s="20">
        <f t="shared" ref="H174:H198" si="40">IF(G174="","",TRUNC(G174*F174,2))</f>
        <v>374.82</v>
      </c>
    </row>
    <row r="175" spans="1:8" ht="30" x14ac:dyDescent="0.25">
      <c r="A175" s="15">
        <f>IF(AND(B175&lt;&gt;"",C175&lt;&gt;""),LARGE($A$14:$A174,1)+1,"")</f>
        <v>75</v>
      </c>
      <c r="B175" s="16" t="s">
        <v>4398</v>
      </c>
      <c r="C175" s="337">
        <v>300806</v>
      </c>
      <c r="D175" s="336" t="str">
        <f>IF(B175&amp;C175="","",VLOOKUP(B175&amp;C175,SERVIÇOS!C:F,2,0))</f>
        <v>Bacia sifonada de louça para pessoas com mobilidade reduzida - 6 litros</v>
      </c>
      <c r="E175" s="338" t="str">
        <f>IF(B175&amp;C175="","",VLOOKUP(B175&amp;C175,SERVIÇOS!C:F,3,0))</f>
        <v>un</v>
      </c>
      <c r="F175" s="19">
        <v>4</v>
      </c>
      <c r="G175" s="431">
        <v>493.41</v>
      </c>
      <c r="H175" s="20">
        <f t="shared" ref="H175:H197" si="41">IF(G175="","",TRUNC(G175*F175,2))</f>
        <v>1973.64</v>
      </c>
    </row>
    <row r="176" spans="1:8" ht="30" x14ac:dyDescent="0.25">
      <c r="A176" s="15">
        <f>IF(AND(B176&lt;&gt;"",C176&lt;&gt;""),LARGE($A$14:$A175,1)+1,"")</f>
        <v>76</v>
      </c>
      <c r="B176" s="16" t="s">
        <v>4398</v>
      </c>
      <c r="C176" s="337">
        <v>440116</v>
      </c>
      <c r="D176" s="336" t="str">
        <f>IF(B176&amp;C176="","",VLOOKUP(B176&amp;C176,SERVIÇOS!C:F,2,0))</f>
        <v>Lavatório de louça pequeno com coluna suspensa - linha especial</v>
      </c>
      <c r="E176" s="338" t="str">
        <f>IF(B176&amp;C176="","",VLOOKUP(B176&amp;C176,SERVIÇOS!C:F,3,0))</f>
        <v>un</v>
      </c>
      <c r="F176" s="19">
        <v>4</v>
      </c>
      <c r="G176" s="431">
        <v>440.13</v>
      </c>
      <c r="H176" s="20">
        <f t="shared" si="41"/>
        <v>1760.52</v>
      </c>
    </row>
    <row r="177" spans="1:8" ht="30" customHeight="1" x14ac:dyDescent="0.25">
      <c r="A177" s="15">
        <f>IF(AND(B177&lt;&gt;"",C177&lt;&gt;""),LARGE($A$14:$A176,1)+1,"")</f>
        <v>77</v>
      </c>
      <c r="B177" s="16" t="s">
        <v>4715</v>
      </c>
      <c r="C177" s="239" t="s">
        <v>4716</v>
      </c>
      <c r="D177" s="336" t="str">
        <f>IF(B177&amp;C177="","",VLOOKUP(B177&amp;C177,SERVIÇOS!C:F,2,0))</f>
        <v>Cuba de semi encaixe quadrada com mesa em louça branca ref. Deca L.830.17 ou equivalente</v>
      </c>
      <c r="E177" s="338" t="str">
        <f>IF(B177&amp;C177="","",VLOOKUP(B177&amp;C177,SERVIÇOS!C:F,3,0))</f>
        <v>un</v>
      </c>
      <c r="F177" s="19">
        <v>4</v>
      </c>
      <c r="G177" s="20">
        <f>IF(B177&amp;C177="","",VLOOKUP(B177&amp;C177,SERVIÇOS!C:F,4,0))*1.1033</f>
        <v>554.56271199999992</v>
      </c>
      <c r="H177" s="20">
        <f t="shared" si="41"/>
        <v>2218.25</v>
      </c>
    </row>
    <row r="178" spans="1:8" ht="30" customHeight="1" x14ac:dyDescent="0.25">
      <c r="A178" s="15">
        <f>IF(AND(B178&lt;&gt;"",C178&lt;&gt;""),LARGE($A$14:$A177,1)+1,"")</f>
        <v>78</v>
      </c>
      <c r="B178" s="16" t="s">
        <v>4398</v>
      </c>
      <c r="C178" s="337">
        <v>440636</v>
      </c>
      <c r="D178" s="336" t="str">
        <f>IF(B178&amp;C178="","",VLOOKUP(B178&amp;C178,SERVIÇOS!C:F,2,0))</f>
        <v>Cuba em aço inoxidável simples de 500x400x200mm</v>
      </c>
      <c r="E178" s="338" t="str">
        <f>IF(B178&amp;C178="","",VLOOKUP(B178&amp;C178,SERVIÇOS!C:F,3,0))</f>
        <v>un</v>
      </c>
      <c r="F178" s="19">
        <v>2</v>
      </c>
      <c r="G178" s="431">
        <v>358.91</v>
      </c>
      <c r="H178" s="20">
        <f t="shared" ref="H178" si="42">IF(G178="","",TRUNC(G178*F178,2))</f>
        <v>717.82</v>
      </c>
    </row>
    <row r="179" spans="1:8" ht="30" customHeight="1" x14ac:dyDescent="0.25">
      <c r="A179" s="15">
        <f>IF(AND(B179&lt;&gt;"",C179&lt;&gt;""),LARGE($A$14:$A178,1)+1,"")</f>
        <v>79</v>
      </c>
      <c r="B179" s="16" t="s">
        <v>4398</v>
      </c>
      <c r="C179" s="337">
        <v>440110</v>
      </c>
      <c r="D179" s="336" t="str">
        <f>IF(B179&amp;C179="","",VLOOKUP(B179&amp;C179,SERVIÇOS!C:F,2,0))</f>
        <v>Lavatório de louça sem coluna</v>
      </c>
      <c r="E179" s="338" t="str">
        <f>IF(B179&amp;C179="","",VLOOKUP(B179&amp;C179,SERVIÇOS!C:F,3,0))</f>
        <v>un</v>
      </c>
      <c r="F179" s="19">
        <v>2</v>
      </c>
      <c r="G179" s="431">
        <v>106.77</v>
      </c>
      <c r="H179" s="20">
        <f t="shared" ref="H179" si="43">IF(G179="","",TRUNC(G179*F179,2))</f>
        <v>213.54</v>
      </c>
    </row>
    <row r="180" spans="1:8" ht="30" customHeight="1" x14ac:dyDescent="0.25">
      <c r="A180" s="15">
        <f>IF(AND(B180&lt;&gt;"",C180&lt;&gt;""),LARGE($A$14:$A179,1)+1,"")</f>
        <v>80</v>
      </c>
      <c r="B180" s="16" t="s">
        <v>4398</v>
      </c>
      <c r="C180" s="337">
        <v>440131</v>
      </c>
      <c r="D180" s="336" t="str">
        <f>IF(B180&amp;C180="","",VLOOKUP(B180&amp;C180,SERVIÇOS!C:F,2,0))</f>
        <v>Tanque de louça com coluna de 30 litros</v>
      </c>
      <c r="E180" s="338" t="str">
        <f>IF(B180&amp;C180="","",VLOOKUP(B180&amp;C180,SERVIÇOS!C:F,3,0))</f>
        <v>un</v>
      </c>
      <c r="F180" s="19">
        <v>1</v>
      </c>
      <c r="G180" s="431">
        <v>489.73</v>
      </c>
      <c r="H180" s="20">
        <f t="shared" ref="H180" si="44">IF(G180="","",TRUNC(G180*F180,2))</f>
        <v>489.73</v>
      </c>
    </row>
    <row r="181" spans="1:8" ht="30" customHeight="1" x14ac:dyDescent="0.25">
      <c r="A181" s="15">
        <f>IF(AND(B181&lt;&gt;"",C181&lt;&gt;""),LARGE($A$14:$A180,1)+1,"")</f>
        <v>81</v>
      </c>
      <c r="B181" s="16" t="s">
        <v>4398</v>
      </c>
      <c r="C181" s="337">
        <v>440331</v>
      </c>
      <c r="D181" s="336" t="str">
        <f>IF(B181&amp;C181="","",VLOOKUP(B181&amp;C181,SERVIÇOS!C:F,2,0))</f>
        <v>Torneira de mesa para lavatório, acionamento hidromecânico, com registro integrado regulador de vazão, em latão cromado, DN= 1/2´</v>
      </c>
      <c r="E181" s="338" t="str">
        <f>IF(B181&amp;C181="","",VLOOKUP(B181&amp;C181,SERVIÇOS!C:F,3,0))</f>
        <v>un</v>
      </c>
      <c r="F181" s="19">
        <v>9</v>
      </c>
      <c r="G181" s="431">
        <v>484.42</v>
      </c>
      <c r="H181" s="20">
        <f t="shared" si="41"/>
        <v>4359.78</v>
      </c>
    </row>
    <row r="182" spans="1:8" ht="30" customHeight="1" x14ac:dyDescent="0.25">
      <c r="A182" s="15">
        <f>IF(AND(B182&lt;&gt;"",C182&lt;&gt;""),LARGE($A$14:$A181,1)+1,"")</f>
        <v>82</v>
      </c>
      <c r="B182" s="16" t="s">
        <v>4398</v>
      </c>
      <c r="C182" s="337">
        <v>440348</v>
      </c>
      <c r="D182" s="336" t="str">
        <f>IF(B182&amp;C182="","",VLOOKUP(B182&amp;C182,SERVIÇOS!C:F,2,0))</f>
        <v>Torneira de mesa para lavatório compacta, acionamento hidromecânico, em latão cromado, DN= 1/2´</v>
      </c>
      <c r="E182" s="338" t="str">
        <f>IF(B182&amp;C182="","",VLOOKUP(B182&amp;C182,SERVIÇOS!C:F,3,0))</f>
        <v>un</v>
      </c>
      <c r="F182" s="19">
        <v>1</v>
      </c>
      <c r="G182" s="431">
        <v>201.7</v>
      </c>
      <c r="H182" s="20">
        <f t="shared" ref="H182" si="45">IF(G182="","",TRUNC(G182*F182,2))</f>
        <v>201.7</v>
      </c>
    </row>
    <row r="183" spans="1:8" ht="30" customHeight="1" x14ac:dyDescent="0.25">
      <c r="A183" s="15">
        <f>IF(AND(B183&lt;&gt;"",C183&lt;&gt;""),LARGE($A$14:$A182,1)+1,"")</f>
        <v>83</v>
      </c>
      <c r="B183" s="16" t="s">
        <v>4398</v>
      </c>
      <c r="C183" s="337">
        <v>440359</v>
      </c>
      <c r="D183" s="336" t="str">
        <f>IF(B183&amp;C183="","",VLOOKUP(B183&amp;C183,SERVIÇOS!C:F,2,0))</f>
        <v>Torneira de mesa para pia com bica móvel e arejador em latão fundido cromado</v>
      </c>
      <c r="E183" s="338" t="str">
        <f>IF(B183&amp;C183="","",VLOOKUP(B183&amp;C183,SERVIÇOS!C:F,3,0))</f>
        <v>un</v>
      </c>
      <c r="F183" s="19">
        <v>3</v>
      </c>
      <c r="G183" s="431">
        <v>120.89</v>
      </c>
      <c r="H183" s="20">
        <f t="shared" ref="H183:H187" si="46">IF(G183="","",TRUNC(G183*F183,2))</f>
        <v>362.67</v>
      </c>
    </row>
    <row r="184" spans="1:8" ht="30" customHeight="1" x14ac:dyDescent="0.25">
      <c r="A184" s="15">
        <f>IF(AND(B184&lt;&gt;"",C184&lt;&gt;""),LARGE($A$14:$A183,1)+1,"")</f>
        <v>84</v>
      </c>
      <c r="B184" s="16" t="s">
        <v>4398</v>
      </c>
      <c r="C184" s="337">
        <v>440309</v>
      </c>
      <c r="D184" s="336" t="str">
        <f>IF(B184&amp;C184="","",VLOOKUP(B184&amp;C184,SERVIÇOS!C:F,2,0))</f>
        <v>Cabide cromado para banheiro</v>
      </c>
      <c r="E184" s="338" t="str">
        <f>IF(B184&amp;C184="","",VLOOKUP(B184&amp;C184,SERVIÇOS!C:F,3,0))</f>
        <v>un</v>
      </c>
      <c r="F184" s="19">
        <v>2</v>
      </c>
      <c r="G184" s="431">
        <v>33.090000000000003</v>
      </c>
      <c r="H184" s="20">
        <f t="shared" si="46"/>
        <v>66.180000000000007</v>
      </c>
    </row>
    <row r="185" spans="1:8" ht="30" customHeight="1" x14ac:dyDescent="0.25">
      <c r="A185" s="15">
        <f>IF(AND(B185&lt;&gt;"",C185&lt;&gt;""),LARGE($A$14:$A184,1)+1,"")</f>
        <v>85</v>
      </c>
      <c r="B185" s="16" t="s">
        <v>4398</v>
      </c>
      <c r="C185" s="337">
        <v>440305</v>
      </c>
      <c r="D185" s="336" t="str">
        <f>IF(B185&amp;C185="","",VLOOKUP(B185&amp;C185,SERVIÇOS!C:F,2,0))</f>
        <v>Dispenser papel higienico em ABS para rolão 300/600m, com visor</v>
      </c>
      <c r="E185" s="338" t="str">
        <f>IF(B185&amp;C185="","",VLOOKUP(B185&amp;C185,SERVIÇOS!C:F,3,0))</f>
        <v>un</v>
      </c>
      <c r="F185" s="19">
        <v>6</v>
      </c>
      <c r="G185" s="431">
        <v>42.2</v>
      </c>
      <c r="H185" s="20">
        <f t="shared" si="46"/>
        <v>253.2</v>
      </c>
    </row>
    <row r="186" spans="1:8" ht="30" customHeight="1" x14ac:dyDescent="0.25">
      <c r="A186" s="15">
        <f>IF(AND(B186&lt;&gt;"",C186&lt;&gt;""),LARGE($A$14:$A185,1)+1,"")</f>
        <v>86</v>
      </c>
      <c r="B186" s="16" t="s">
        <v>4398</v>
      </c>
      <c r="C186" s="337">
        <v>440303</v>
      </c>
      <c r="D186" s="336" t="str">
        <f>IF(B186&amp;C186="","",VLOOKUP(B186&amp;C186,SERVIÇOS!C:F,2,0))</f>
        <v>Dispenser toalheiro metálico esmaltado para bobina de 25cm x 50m, sem alavanca</v>
      </c>
      <c r="E186" s="338" t="str">
        <f>IF(B186&amp;C186="","",VLOOKUP(B186&amp;C186,SERVIÇOS!C:F,3,0))</f>
        <v>un</v>
      </c>
      <c r="F186" s="19">
        <v>6</v>
      </c>
      <c r="G186" s="431">
        <v>44.76</v>
      </c>
      <c r="H186" s="20">
        <f t="shared" si="46"/>
        <v>268.56</v>
      </c>
    </row>
    <row r="187" spans="1:8" ht="30" customHeight="1" x14ac:dyDescent="0.25">
      <c r="A187" s="15">
        <f>IF(AND(B187&lt;&gt;"",C187&lt;&gt;""),LARGE($A$14:$A186,1)+1,"")</f>
        <v>87</v>
      </c>
      <c r="B187" s="16" t="s">
        <v>4398</v>
      </c>
      <c r="C187" s="337">
        <v>440313</v>
      </c>
      <c r="D187" s="336" t="str">
        <f>IF(B187&amp;C187="","",VLOOKUP(B187&amp;C187,SERVIÇOS!C:F,2,0))</f>
        <v>Saboneteira tipo dispenser, para refil de 800 ml</v>
      </c>
      <c r="E187" s="338" t="str">
        <f>IF(B187&amp;C187="","",VLOOKUP(B187&amp;C187,SERVIÇOS!C:F,3,0))</f>
        <v>un</v>
      </c>
      <c r="F187" s="19">
        <v>8</v>
      </c>
      <c r="G187" s="431">
        <v>26</v>
      </c>
      <c r="H187" s="20">
        <f t="shared" si="46"/>
        <v>208</v>
      </c>
    </row>
    <row r="188" spans="1:8" ht="30" customHeight="1" x14ac:dyDescent="0.25">
      <c r="A188" s="15">
        <f>IF(AND(B188&lt;&gt;"",C188&lt;&gt;""),LARGE($A$14:$A187,1)+1,"")</f>
        <v>88</v>
      </c>
      <c r="B188" s="16" t="s">
        <v>4398</v>
      </c>
      <c r="C188" s="337">
        <v>300103</v>
      </c>
      <c r="D188" s="336" t="str">
        <f>IF(B188&amp;C188="","",VLOOKUP(B188&amp;C188,SERVIÇOS!C:F,2,0))</f>
        <v>Barra de apoio reta, para pessoas com mobilidade reduzida, em tubo de aço inoxidável de 1 1/2´ x 800 mm</v>
      </c>
      <c r="E188" s="338" t="str">
        <f>IF(B188&amp;C188="","",VLOOKUP(B188&amp;C188,SERVIÇOS!C:F,3,0))</f>
        <v>un</v>
      </c>
      <c r="F188" s="19">
        <v>12</v>
      </c>
      <c r="G188" s="431">
        <v>129.38</v>
      </c>
      <c r="H188" s="20">
        <f t="shared" si="41"/>
        <v>1552.56</v>
      </c>
    </row>
    <row r="189" spans="1:8" ht="30" customHeight="1" x14ac:dyDescent="0.25">
      <c r="A189" s="15">
        <f>IF(AND(B189&lt;&gt;"",C189&lt;&gt;""),LARGE($A$14:$A188,1)+1,"")</f>
        <v>89</v>
      </c>
      <c r="B189" s="16" t="s">
        <v>4398</v>
      </c>
      <c r="C189" s="337">
        <v>300113</v>
      </c>
      <c r="D189" s="336" t="str">
        <f>IF(B189&amp;C189="","",VLOOKUP(B189&amp;C189,SERVIÇOS!C:F,2,0))</f>
        <v>Barra de proteção para lavatório, para pessoas com mobilidade reduzida, em tubo de alumínio acabamento com pintura epóxi</v>
      </c>
      <c r="E189" s="338" t="str">
        <f>IF(B189&amp;C189="","",VLOOKUP(B189&amp;C189,SERVIÇOS!C:F,3,0))</f>
        <v>un</v>
      </c>
      <c r="F189" s="19">
        <v>8</v>
      </c>
      <c r="G189" s="431">
        <v>270.11</v>
      </c>
      <c r="H189" s="20">
        <f t="shared" si="41"/>
        <v>2160.88</v>
      </c>
    </row>
    <row r="190" spans="1:8" ht="30" customHeight="1" x14ac:dyDescent="0.25">
      <c r="A190" s="15">
        <f>IF(AND(B190&lt;&gt;"",C190&lt;&gt;""),LARGE($A$14:$A189,1)+1,"")</f>
        <v>90</v>
      </c>
      <c r="B190" s="16" t="s">
        <v>4398</v>
      </c>
      <c r="C190" s="337">
        <v>440367</v>
      </c>
      <c r="D190" s="336" t="str">
        <f>IF(B190&amp;C190="","",VLOOKUP(B190&amp;C190,SERVIÇOS!C:F,2,0))</f>
        <v>Caixa de descarga de embutir, acionamento frontal, completa</v>
      </c>
      <c r="E190" s="338" t="str">
        <f>IF(B190&amp;C190="","",VLOOKUP(B190&amp;C190,SERVIÇOS!C:F,3,0))</f>
        <v>cj</v>
      </c>
      <c r="F190" s="19">
        <v>6</v>
      </c>
      <c r="G190" s="431">
        <v>548.82000000000005</v>
      </c>
      <c r="H190" s="20">
        <f t="shared" ref="H190" si="47">IF(G190="","",TRUNC(G190*F190,2))</f>
        <v>3292.92</v>
      </c>
    </row>
    <row r="191" spans="1:8" ht="30" customHeight="1" x14ac:dyDescent="0.25">
      <c r="A191" s="15">
        <f>IF(AND(B191&lt;&gt;"",C191&lt;&gt;""),LARGE($A$14:$A190,1)+1,"")</f>
        <v>91</v>
      </c>
      <c r="B191" s="16" t="s">
        <v>4398</v>
      </c>
      <c r="C191" s="337">
        <v>430217</v>
      </c>
      <c r="D191" s="336" t="str">
        <f>IF(B191&amp;C191="","",VLOOKUP(B191&amp;C191,SERVIÇOS!C:F,2,0))</f>
        <v>Chuveiro elétrico de 7.500 W - 220 V, com resistência blindada</v>
      </c>
      <c r="E191" s="338" t="str">
        <f>IF(B191&amp;C191="","",VLOOKUP(B191&amp;C191,SERVIÇOS!C:F,3,0))</f>
        <v>un</v>
      </c>
      <c r="F191" s="19">
        <v>2</v>
      </c>
      <c r="G191" s="431">
        <v>315.97000000000003</v>
      </c>
      <c r="H191" s="20">
        <f t="shared" si="41"/>
        <v>631.94000000000005</v>
      </c>
    </row>
    <row r="192" spans="1:8" ht="30" customHeight="1" x14ac:dyDescent="0.25">
      <c r="A192" s="15">
        <f>IF(AND(B192&lt;&gt;"",C192&lt;&gt;""),LARGE($A$14:$A191,1)+1,"")</f>
        <v>92</v>
      </c>
      <c r="B192" s="16" t="s">
        <v>4715</v>
      </c>
      <c r="C192" s="337" t="s">
        <v>5482</v>
      </c>
      <c r="D192" s="336" t="str">
        <f>IF(B192&amp;C192="","",VLOOKUP(B192&amp;C192,SERVIÇOS!C:F,2,0))</f>
        <v>Espelho colado sobre suporte de madeira e =2cm</v>
      </c>
      <c r="E192" s="338" t="str">
        <f>IF(B192&amp;C192="","",VLOOKUP(B192&amp;C192,SERVIÇOS!C:F,3,0))</f>
        <v>m²</v>
      </c>
      <c r="F192" s="19">
        <v>6</v>
      </c>
      <c r="G192" s="20">
        <f>IF(B192&amp;C192="","",VLOOKUP(B192&amp;C192,SERVIÇOS!C:F,4,0))*1.1033</f>
        <v>364.089</v>
      </c>
      <c r="H192" s="20">
        <f t="shared" ref="H192:H196" si="48">IF(G192="","",TRUNC(G192*F192,2))</f>
        <v>2184.5300000000002</v>
      </c>
    </row>
    <row r="193" spans="1:8" ht="60" customHeight="1" x14ac:dyDescent="0.25">
      <c r="A193" s="15">
        <f>IF(AND(B193&lt;&gt;"",C193&lt;&gt;""),LARGE($A$14:$A192,1)+1,"")</f>
        <v>93</v>
      </c>
      <c r="B193" s="16" t="s">
        <v>4715</v>
      </c>
      <c r="C193" s="239" t="s">
        <v>4738</v>
      </c>
      <c r="D193" s="336" t="str">
        <f>IF(B193&amp;C193="","",VLOOKUP(B193&amp;C193,SERVIÇOS!C:F,2,0))</f>
        <v>Bancada em painel com miolo de madeira contraplacado por lâminas de madeira e externamente por chapas em CRFS, para piso, ref. Eternit ou equivalente. Com pintura epóxi cor branca</v>
      </c>
      <c r="E193" s="338" t="str">
        <f>IF(B193&amp;C193="","",VLOOKUP(B193&amp;C193,SERVIÇOS!C:F,3,0))</f>
        <v>m²</v>
      </c>
      <c r="F193" s="19">
        <v>2.2666666666666666</v>
      </c>
      <c r="G193" s="20">
        <f>IF(B193&amp;C193="","",VLOOKUP(B193&amp;C193,SERVIÇOS!C:F,4,0))*1.1033</f>
        <v>283.08471400000002</v>
      </c>
      <c r="H193" s="20">
        <f t="shared" si="48"/>
        <v>641.65</v>
      </c>
    </row>
    <row r="194" spans="1:8" ht="60" customHeight="1" x14ac:dyDescent="0.25">
      <c r="A194" s="15">
        <f>IF(AND(B194&lt;&gt;"",C194&lt;&gt;""),LARGE($A$14:$A193,1)+1,"")</f>
        <v>94</v>
      </c>
      <c r="B194" s="16" t="s">
        <v>4715</v>
      </c>
      <c r="C194" s="239" t="s">
        <v>5062</v>
      </c>
      <c r="D194" s="336" t="str">
        <f>IF(B194&amp;C194="","",VLOOKUP(B194&amp;C194,SERVIÇOS!C:F,2,0))</f>
        <v>Prateleira em painel com miolo de madeira contraplacado por lâminas de madeira e externamente por chapas em CRFS, para piso, ref. Eternit ou equivalente. Com pintura epóxi cor branca</v>
      </c>
      <c r="E194" s="338" t="str">
        <f>IF(B194&amp;C194="","",VLOOKUP(B194&amp;C194,SERVIÇOS!C:F,3,0))</f>
        <v>m²</v>
      </c>
      <c r="F194" s="19">
        <v>13.333333333333334</v>
      </c>
      <c r="G194" s="20">
        <f>IF(B194&amp;C194="","",VLOOKUP(B194&amp;C194,SERVIÇOS!C:F,4,0))*1.1033</f>
        <v>253.15218499999997</v>
      </c>
      <c r="H194" s="20">
        <f t="shared" si="48"/>
        <v>3375.36</v>
      </c>
    </row>
    <row r="195" spans="1:8" ht="60" customHeight="1" x14ac:dyDescent="0.25">
      <c r="A195" s="15">
        <f>IF(AND(B195&lt;&gt;"",C195&lt;&gt;""),LARGE($A$14:$A194,1)+1,"")</f>
        <v>95</v>
      </c>
      <c r="B195" s="16" t="s">
        <v>4715</v>
      </c>
      <c r="C195" s="239" t="s">
        <v>5071</v>
      </c>
      <c r="D195" s="336" t="str">
        <f>IF(B195&amp;C195="","",VLOOKUP(B195&amp;C195,SERVIÇOS!C:F,2,0))</f>
        <v>Divisória em painel com miolo de madeira contraplacado por lâminas de madeira e externamente por chapas em CRFS, para piso, ref. Eternit ou equivalente. Com pintura epóxi cor branca</v>
      </c>
      <c r="E195" s="338" t="str">
        <f>IF(B195&amp;C195="","",VLOOKUP(B195&amp;C195,SERVIÇOS!C:F,3,0))</f>
        <v>m²</v>
      </c>
      <c r="F195" s="19">
        <v>22.88</v>
      </c>
      <c r="G195" s="20">
        <f>IF(B195&amp;C195="","",VLOOKUP(B195&amp;C195,SERVIÇOS!C:F,4,0))*1.1033</f>
        <v>651.58691399999998</v>
      </c>
      <c r="H195" s="20">
        <f t="shared" si="48"/>
        <v>14908.3</v>
      </c>
    </row>
    <row r="196" spans="1:8" ht="30" x14ac:dyDescent="0.25">
      <c r="A196" s="15">
        <f>IF(AND(B196&lt;&gt;"",C196&lt;&gt;""),LARGE($A$14:$A195,1)+1,"")</f>
        <v>96</v>
      </c>
      <c r="B196" s="16" t="s">
        <v>4398</v>
      </c>
      <c r="C196" s="337">
        <v>230408</v>
      </c>
      <c r="D196" s="336" t="str">
        <f>IF(B196&amp;C196="","",VLOOKUP(B196&amp;C196,SERVIÇOS!C:F,2,0))</f>
        <v>Porta em laminado fenólico melamínico com batente em alumínio - 62 x 160 cm</v>
      </c>
      <c r="E196" s="338" t="str">
        <f>IF(B196&amp;C196="","",VLOOKUP(B196&amp;C196,SERVIÇOS!C:F,3,0))</f>
        <v>un</v>
      </c>
      <c r="F196" s="19">
        <v>4</v>
      </c>
      <c r="G196" s="431">
        <v>749.01</v>
      </c>
      <c r="H196" s="20">
        <f t="shared" si="48"/>
        <v>2996.04</v>
      </c>
    </row>
    <row r="197" spans="1:8" ht="30" x14ac:dyDescent="0.25">
      <c r="A197" s="15">
        <f>IF(AND(B197&lt;&gt;"",C197&lt;&gt;""),LARGE($A$14:$A196,1)+1,"")</f>
        <v>97</v>
      </c>
      <c r="B197" s="16" t="s">
        <v>4398</v>
      </c>
      <c r="C197" s="337">
        <v>470220</v>
      </c>
      <c r="D197" s="336" t="str">
        <f>IF(B197&amp;C197="","",VLOOKUP(B197&amp;C197,SERVIÇOS!C:F,2,0))</f>
        <v>Registro regulador de vazão para chuveiro e ducha em latão cromado com canopla, DN= 1/2´</v>
      </c>
      <c r="E197" s="338" t="str">
        <f>IF(B197&amp;C197="","",VLOOKUP(B197&amp;C197,SERVIÇOS!C:F,3,0))</f>
        <v>un</v>
      </c>
      <c r="F197" s="19">
        <f>F191</f>
        <v>2</v>
      </c>
      <c r="G197" s="431">
        <v>52.19</v>
      </c>
      <c r="H197" s="20">
        <f t="shared" si="41"/>
        <v>104.38</v>
      </c>
    </row>
    <row r="198" spans="1:8" x14ac:dyDescent="0.25">
      <c r="A198" s="15">
        <f>IF(AND(B198&lt;&gt;"",C198&lt;&gt;""),LARGE($A$14:$A197,1)+1,"")</f>
        <v>98</v>
      </c>
      <c r="B198" s="16" t="s">
        <v>4398</v>
      </c>
      <c r="C198" s="337">
        <v>442020</v>
      </c>
      <c r="D198" s="336" t="str">
        <f>IF(B198&amp;C198="","",VLOOKUP(B198&amp;C198,SERVIÇOS!C:F,2,0))</f>
        <v>Sifão de metal cromado de 1 1/2´ x 2´</v>
      </c>
      <c r="E198" s="338" t="str">
        <f>IF(B198&amp;C198="","",VLOOKUP(B198&amp;C198,SERVIÇOS!C:F,3,0))</f>
        <v>un</v>
      </c>
      <c r="F198" s="19">
        <f>SUM(F177:F180)</f>
        <v>9</v>
      </c>
      <c r="G198" s="431">
        <v>120.93</v>
      </c>
      <c r="H198" s="20">
        <f t="shared" si="40"/>
        <v>1088.3699999999999</v>
      </c>
    </row>
    <row r="199" spans="1:8" ht="30" x14ac:dyDescent="0.25">
      <c r="A199" s="15">
        <f>IF(AND(B199&lt;&gt;"",C199&lt;&gt;""),LARGE($A$14:$A198,1)+1,"")</f>
        <v>99</v>
      </c>
      <c r="B199" s="16" t="s">
        <v>4398</v>
      </c>
      <c r="C199" s="337">
        <v>440340</v>
      </c>
      <c r="D199" s="336" t="str">
        <f>IF(B199&amp;C199="","",VLOOKUP(B199&amp;C199,SERVIÇOS!C:F,2,0))</f>
        <v>Torneira curta com rosca para uso geral, em latão fundido cromado, DN= 3/4´</v>
      </c>
      <c r="E199" s="338" t="str">
        <f>IF(B199&amp;C199="","",VLOOKUP(B199&amp;C199,SERVIÇOS!C:F,3,0))</f>
        <v>un</v>
      </c>
      <c r="F199" s="19">
        <f>F180</f>
        <v>1</v>
      </c>
      <c r="G199" s="431">
        <v>34.93</v>
      </c>
      <c r="H199" s="20">
        <f t="shared" ref="H199:H201" si="49">IF(G199="","",TRUNC(G199*F199,2))</f>
        <v>34.93</v>
      </c>
    </row>
    <row r="200" spans="1:8" x14ac:dyDescent="0.25">
      <c r="A200" s="15">
        <f>IF(AND(B200&lt;&gt;"",C200&lt;&gt;""),LARGE($A$14:$A199,1)+1,"")</f>
        <v>100</v>
      </c>
      <c r="B200" s="16" t="s">
        <v>4398</v>
      </c>
      <c r="C200" s="337">
        <v>442010</v>
      </c>
      <c r="D200" s="336" t="str">
        <f>IF(B200&amp;C200="","",VLOOKUP(B200&amp;C200,SERVIÇOS!C:F,2,0))</f>
        <v>Engate flexível metálico DN= 1/2´</v>
      </c>
      <c r="E200" s="338" t="str">
        <f>IF(B200&amp;C200="","",VLOOKUP(B200&amp;C200,SERVIÇOS!C:F,3,0))</f>
        <v>un</v>
      </c>
      <c r="F200" s="19">
        <f>F180</f>
        <v>1</v>
      </c>
      <c r="G200" s="431">
        <v>31.32</v>
      </c>
      <c r="H200" s="20">
        <f t="shared" si="49"/>
        <v>31.32</v>
      </c>
    </row>
    <row r="201" spans="1:8" x14ac:dyDescent="0.25">
      <c r="A201" s="15">
        <f>IF(AND(B201&lt;&gt;"",C201&lt;&gt;""),LARGE($A$14:$A200,1)+1,"")</f>
        <v>101</v>
      </c>
      <c r="B201" s="16" t="s">
        <v>4398</v>
      </c>
      <c r="C201" s="337">
        <v>442064</v>
      </c>
      <c r="D201" s="336" t="str">
        <f>IF(B201&amp;C201="","",VLOOKUP(B201&amp;C201,SERVIÇOS!C:F,2,0))</f>
        <v>Válvula de metal cromado de 1 1/2´</v>
      </c>
      <c r="E201" s="338" t="str">
        <f>IF(B201&amp;C201="","",VLOOKUP(B201&amp;C201,SERVIÇOS!C:F,3,0))</f>
        <v>un</v>
      </c>
      <c r="F201" s="19">
        <f>F180</f>
        <v>1</v>
      </c>
      <c r="G201" s="431">
        <v>61.82</v>
      </c>
      <c r="H201" s="20">
        <f t="shared" si="49"/>
        <v>61.82</v>
      </c>
    </row>
    <row r="202" spans="1:8" x14ac:dyDescent="0.25">
      <c r="A202" s="15">
        <f>IF(AND(B202&lt;&gt;"",C202&lt;&gt;""),LARGE($A$14:$A201,1)+1,"")</f>
        <v>102</v>
      </c>
      <c r="B202" s="16" t="s">
        <v>4398</v>
      </c>
      <c r="C202" s="337">
        <v>442065</v>
      </c>
      <c r="D202" s="336" t="str">
        <f>IF(B202&amp;C202="","",VLOOKUP(B202&amp;C202,SERVIÇOS!C:F,2,0))</f>
        <v>Válvula de metal cromado de 1´</v>
      </c>
      <c r="E202" s="338" t="str">
        <f>IF(B202&amp;C202="","",VLOOKUP(B202&amp;C202,SERVIÇOS!C:F,3,0))</f>
        <v>un</v>
      </c>
      <c r="F202" s="19">
        <f>SUM(F177:F179)</f>
        <v>8</v>
      </c>
      <c r="G202" s="431">
        <v>33.86</v>
      </c>
      <c r="H202" s="20">
        <f t="shared" ref="H202" si="50">IF(G202="","",TRUNC(G202*F202,2))</f>
        <v>270.88</v>
      </c>
    </row>
    <row r="203" spans="1:8" ht="5.0999999999999996" customHeight="1" x14ac:dyDescent="0.25">
      <c r="A203" s="73"/>
      <c r="B203" s="2"/>
      <c r="C203" s="2"/>
      <c r="D203" s="21"/>
      <c r="E203" s="2"/>
      <c r="F203" s="2"/>
      <c r="G203" s="2"/>
      <c r="H203" s="74"/>
    </row>
    <row r="204" spans="1:8" x14ac:dyDescent="0.25">
      <c r="A204" s="3"/>
      <c r="B204" s="4" t="s">
        <v>5044</v>
      </c>
      <c r="C204" s="5"/>
      <c r="D204" s="29"/>
      <c r="E204" s="6"/>
      <c r="F204" s="7"/>
      <c r="G204" s="7"/>
      <c r="H204" s="8">
        <f>SUM(H206:H211)</f>
        <v>28535.46</v>
      </c>
    </row>
    <row r="205" spans="1:8" ht="5.0999999999999996" customHeight="1" x14ac:dyDescent="0.25">
      <c r="A205" s="73"/>
      <c r="B205" s="2"/>
      <c r="C205" s="2"/>
      <c r="D205" s="21"/>
      <c r="E205" s="2"/>
      <c r="F205" s="2"/>
      <c r="G205" s="2"/>
      <c r="H205" s="74"/>
    </row>
    <row r="206" spans="1:8" ht="30" x14ac:dyDescent="0.25">
      <c r="A206" s="15">
        <f>IF(AND(B206&lt;&gt;"",C206&lt;&gt;""),LARGE($A$14:$A205,1)+1,"")</f>
        <v>103</v>
      </c>
      <c r="B206" s="16" t="s">
        <v>4715</v>
      </c>
      <c r="C206" s="17" t="s">
        <v>5043</v>
      </c>
      <c r="D206" s="336" t="str">
        <f>IF(B206&amp;C206="","",VLOOKUP(B206&amp;C206,SERVIÇOS!C:F,2,0))</f>
        <v>Fornecimento e plantio de Monstera adansonii - Monstera do amazonas</v>
      </c>
      <c r="E206" s="16" t="str">
        <f>IF(B206&amp;C206="","",VLOOKUP(B206&amp;C206,SERVIÇOS!C:F,3,0))</f>
        <v>un</v>
      </c>
      <c r="F206" s="19">
        <v>44</v>
      </c>
      <c r="G206" s="20">
        <f>IF(B206&amp;C206="","",VLOOKUP(B206&amp;C206,SERVIÇOS!C:F,4,0))*1.1033</f>
        <v>45.22426699999999</v>
      </c>
      <c r="H206" s="20">
        <f t="shared" ref="H206" si="51">IF(G206="","",TRUNC(G206*F206,2))</f>
        <v>1989.86</v>
      </c>
    </row>
    <row r="207" spans="1:8" ht="30" x14ac:dyDescent="0.25">
      <c r="A207" s="15">
        <f>IF(AND(B207&lt;&gt;"",C207&lt;&gt;""),LARGE($A$14:$A206,1)+1,"")</f>
        <v>104</v>
      </c>
      <c r="B207" s="16" t="s">
        <v>4715</v>
      </c>
      <c r="C207" s="17" t="s">
        <v>5045</v>
      </c>
      <c r="D207" s="336" t="str">
        <f>IF(B207&amp;C207="","",VLOOKUP(B207&amp;C207,SERVIÇOS!C:F,2,0))</f>
        <v>Fornecimento e plantio de Philodendron bipinnatifidum - Guaimbê</v>
      </c>
      <c r="E207" s="16" t="str">
        <f>IF(B207&amp;C207="","",VLOOKUP(B207&amp;C207,SERVIÇOS!C:F,3,0))</f>
        <v>un</v>
      </c>
      <c r="F207" s="19">
        <v>54</v>
      </c>
      <c r="G207" s="20">
        <f>IF(B207&amp;C207="","",VLOOKUP(B207&amp;C207,SERVIÇOS!C:F,4,0))*1.1033</f>
        <v>78.786652999999987</v>
      </c>
      <c r="H207" s="20">
        <f t="shared" ref="H207:H211" si="52">IF(G207="","",TRUNC(G207*F207,2))</f>
        <v>4254.47</v>
      </c>
    </row>
    <row r="208" spans="1:8" ht="30" x14ac:dyDescent="0.25">
      <c r="A208" s="15">
        <f>IF(AND(B208&lt;&gt;"",C208&lt;&gt;""),LARGE($A$14:$A207,1)+1,"")</f>
        <v>105</v>
      </c>
      <c r="B208" s="16" t="s">
        <v>4715</v>
      </c>
      <c r="C208" s="17" t="s">
        <v>5057</v>
      </c>
      <c r="D208" s="336" t="str">
        <f>IF(B208&amp;C208="","",VLOOKUP(B208&amp;C208,SERVIÇOS!C:F,2,0))</f>
        <v>Fornecimento e plantio de Quesnelia humilis  - Bromélia</v>
      </c>
      <c r="E208" s="16" t="str">
        <f>IF(B208&amp;C208="","",VLOOKUP(B208&amp;C208,SERVIÇOS!C:F,3,0))</f>
        <v>un</v>
      </c>
      <c r="F208" s="19">
        <v>105</v>
      </c>
      <c r="G208" s="20">
        <f>IF(B208&amp;C208="","",VLOOKUP(B208&amp;C208,SERVIÇOS!C:F,4,0))*1.1033</f>
        <v>54.028600999999988</v>
      </c>
      <c r="H208" s="20">
        <f t="shared" si="52"/>
        <v>5673</v>
      </c>
    </row>
    <row r="209" spans="1:8" ht="30" x14ac:dyDescent="0.25">
      <c r="A209" s="15">
        <f>IF(AND(B209&lt;&gt;"",C209&lt;&gt;""),LARGE($A$14:$A208,1)+1,"")</f>
        <v>106</v>
      </c>
      <c r="B209" s="16" t="s">
        <v>4715</v>
      </c>
      <c r="C209" s="17" t="s">
        <v>5058</v>
      </c>
      <c r="D209" s="336" t="str">
        <f>IF(B209&amp;C209="","",VLOOKUP(B209&amp;C209,SERVIÇOS!C:F,2,0))</f>
        <v>Fornecimento e plantio de Anthurium jureianum - Antúrio</v>
      </c>
      <c r="E209" s="16" t="str">
        <f>IF(B209&amp;C209="","",VLOOKUP(B209&amp;C209,SERVIÇOS!C:F,3,0))</f>
        <v>un</v>
      </c>
      <c r="F209" s="19">
        <v>180</v>
      </c>
      <c r="G209" s="20">
        <f>IF(B209&amp;C209="","",VLOOKUP(B209&amp;C209,SERVIÇOS!C:F,4,0))*1.1033</f>
        <v>54.028600999999988</v>
      </c>
      <c r="H209" s="20">
        <f t="shared" si="52"/>
        <v>9725.14</v>
      </c>
    </row>
    <row r="210" spans="1:8" x14ac:dyDescent="0.25">
      <c r="A210" s="15">
        <f>IF(AND(B210&lt;&gt;"",C210&lt;&gt;""),LARGE($A$14:$A209,1)+1,"")</f>
        <v>107</v>
      </c>
      <c r="B210" s="16" t="s">
        <v>4715</v>
      </c>
      <c r="C210" s="17" t="s">
        <v>5059</v>
      </c>
      <c r="D210" s="336" t="str">
        <f>IF(B210&amp;C210="","",VLOOKUP(B210&amp;C210,SERVIÇOS!C:F,2,0))</f>
        <v xml:space="preserve">Fornecimento e plantio de Begonia jureiensis - Begônia </v>
      </c>
      <c r="E210" s="16" t="str">
        <f>IF(B210&amp;C210="","",VLOOKUP(B210&amp;C210,SERVIÇOS!C:F,3,0))</f>
        <v>un</v>
      </c>
      <c r="F210" s="19">
        <v>131</v>
      </c>
      <c r="G210" s="20">
        <f>IF(B210&amp;C210="","",VLOOKUP(B210&amp;C210,SERVIÇOS!C:F,4,0))*1.1033</f>
        <v>26.501266000000001</v>
      </c>
      <c r="H210" s="20">
        <f t="shared" si="52"/>
        <v>3471.66</v>
      </c>
    </row>
    <row r="211" spans="1:8" x14ac:dyDescent="0.25">
      <c r="A211" s="15">
        <f>IF(AND(B211&lt;&gt;"",C211&lt;&gt;""),LARGE($A$14:$A210,1)+1,"")</f>
        <v>108</v>
      </c>
      <c r="B211" s="16" t="s">
        <v>4715</v>
      </c>
      <c r="C211" s="17" t="s">
        <v>5060</v>
      </c>
      <c r="D211" s="336" t="str">
        <f>IF(B211&amp;C211="","",VLOOKUP(B211&amp;C211,SERVIÇOS!C:F,2,0))</f>
        <v>Fornecimento e plantio de Sinningia micans - Siníngia</v>
      </c>
      <c r="E211" s="16" t="str">
        <f>IF(B211&amp;C211="","",VLOOKUP(B211&amp;C211,SERVIÇOS!C:F,3,0))</f>
        <v>un</v>
      </c>
      <c r="F211" s="19">
        <v>100</v>
      </c>
      <c r="G211" s="20">
        <f>IF(B211&amp;C211="","",VLOOKUP(B211&amp;C211,SERVIÇOS!C:F,4,0))*1.1033</f>
        <v>34.213332999999999</v>
      </c>
      <c r="H211" s="20">
        <f t="shared" si="52"/>
        <v>3421.33</v>
      </c>
    </row>
    <row r="212" spans="1:8" ht="5.0999999999999996" customHeight="1" x14ac:dyDescent="0.25">
      <c r="A212" s="73"/>
      <c r="B212" s="2"/>
      <c r="C212" s="2"/>
      <c r="D212" s="21"/>
      <c r="E212" s="2"/>
      <c r="F212" s="2"/>
      <c r="G212" s="2"/>
      <c r="H212" s="74"/>
    </row>
    <row r="213" spans="1:8" x14ac:dyDescent="0.25">
      <c r="A213" s="3"/>
      <c r="B213" s="4" t="s">
        <v>4695</v>
      </c>
      <c r="C213" s="5"/>
      <c r="D213" s="29"/>
      <c r="E213" s="6"/>
      <c r="F213" s="7"/>
      <c r="G213" s="7"/>
      <c r="H213" s="8">
        <f>H215+H238+H244+H254+H262</f>
        <v>170182.68</v>
      </c>
    </row>
    <row r="214" spans="1:8" ht="5.0999999999999996" customHeight="1" x14ac:dyDescent="0.25">
      <c r="A214" s="73"/>
      <c r="B214" s="2"/>
      <c r="C214" s="2"/>
      <c r="D214" s="21"/>
      <c r="E214" s="2"/>
      <c r="F214" s="2"/>
      <c r="G214" s="2"/>
      <c r="H214" s="74"/>
    </row>
    <row r="215" spans="1:8" x14ac:dyDescent="0.25">
      <c r="A215" s="9"/>
      <c r="B215" s="10" t="s">
        <v>5098</v>
      </c>
      <c r="C215" s="11"/>
      <c r="D215" s="37"/>
      <c r="E215" s="12"/>
      <c r="F215" s="13"/>
      <c r="G215" s="13"/>
      <c r="H215" s="14">
        <f>SUM(H217:H236)</f>
        <v>130129.19</v>
      </c>
    </row>
    <row r="216" spans="1:8" ht="5.0999999999999996" customHeight="1" x14ac:dyDescent="0.25">
      <c r="A216" s="73"/>
      <c r="B216" s="2"/>
      <c r="C216" s="2"/>
      <c r="D216" s="21"/>
      <c r="E216" s="2"/>
      <c r="F216" s="2"/>
      <c r="G216" s="2"/>
      <c r="H216" s="74"/>
    </row>
    <row r="217" spans="1:8" ht="45" x14ac:dyDescent="0.25">
      <c r="A217" s="208">
        <f>IF(AND(B217&lt;&gt;"",C217&lt;&gt;""),LARGE($A$14:$A216,1)+1,"")</f>
        <v>109</v>
      </c>
      <c r="B217" s="16" t="s">
        <v>4398</v>
      </c>
      <c r="C217" s="337">
        <v>500526</v>
      </c>
      <c r="D217" s="18" t="str">
        <f>IF(B217&amp;C217="","",VLOOKUP(B217&amp;C217,SERVIÇOS!C:F,2,0))</f>
        <v>Bloco autônomo de iluminação de emergência com autonomia mínima de 1 hora, equipado com 2 lâmpadas de 11 W</v>
      </c>
      <c r="E217" s="16" t="str">
        <f>IF(B217&amp;C217="","",VLOOKUP(B217&amp;C217,SERVIÇOS!C:F,3,0))</f>
        <v>un</v>
      </c>
      <c r="F217" s="19">
        <v>8</v>
      </c>
      <c r="G217" s="431">
        <v>225.75</v>
      </c>
      <c r="H217" s="20">
        <f t="shared" ref="H217:H227" si="53">IF(G217="","",TRUNC(G217*F217,2))</f>
        <v>1806</v>
      </c>
    </row>
    <row r="218" spans="1:8" x14ac:dyDescent="0.25">
      <c r="A218" s="208">
        <f>IF(AND(B218&lt;&gt;"",C218&lt;&gt;""),LARGE($A$14:$A217,1)+1,"")</f>
        <v>110</v>
      </c>
      <c r="B218" s="16" t="s">
        <v>4398</v>
      </c>
      <c r="C218" s="337">
        <v>402024</v>
      </c>
      <c r="D218" s="18" t="str">
        <f>IF(B218&amp;C218="","",VLOOKUP(B218&amp;C218,SERVIÇOS!C:F,2,0))</f>
        <v>Plugue com 2P+T de 10A, 250V</v>
      </c>
      <c r="E218" s="16" t="str">
        <f>IF(B218&amp;C218="","",VLOOKUP(B218&amp;C218,SERVIÇOS!C:F,3,0))</f>
        <v>un</v>
      </c>
      <c r="F218" s="19">
        <v>126</v>
      </c>
      <c r="G218" s="431">
        <v>11.87</v>
      </c>
      <c r="H218" s="20">
        <f t="shared" si="53"/>
        <v>1495.62</v>
      </c>
    </row>
    <row r="219" spans="1:8" ht="30" customHeight="1" x14ac:dyDescent="0.25">
      <c r="A219" s="208">
        <f>IF(AND(B219&lt;&gt;"",C219&lt;&gt;""),LARGE($A$14:$A218,1)+1,"")</f>
        <v>111</v>
      </c>
      <c r="B219" s="16" t="s">
        <v>4398</v>
      </c>
      <c r="C219" s="337">
        <v>391253</v>
      </c>
      <c r="D219" s="18" t="str">
        <f>IF(B219&amp;C219="","",VLOOKUP(B219&amp;C219,SERVIÇOS!C:F,2,0))</f>
        <v>Cabo de cobre flexível blindado de 2 x 2,5 mm², tensão de isolação 600V, isolação termoplástico em VC/E 105°C - classe 4, para detecção de incêndio</v>
      </c>
      <c r="E219" s="16" t="str">
        <f>IF(B219&amp;C219="","",VLOOKUP(B219&amp;C219,SERVIÇOS!C:F,3,0))</f>
        <v>m</v>
      </c>
      <c r="F219" s="19">
        <v>118</v>
      </c>
      <c r="G219" s="431">
        <v>6.72</v>
      </c>
      <c r="H219" s="20">
        <f t="shared" si="53"/>
        <v>792.96</v>
      </c>
    </row>
    <row r="220" spans="1:8" x14ac:dyDescent="0.25">
      <c r="A220" s="208">
        <f>IF(AND(B220&lt;&gt;"",C220&lt;&gt;""),LARGE($A$14:$A219,1)+1,"")</f>
        <v>112</v>
      </c>
      <c r="B220" s="16" t="s">
        <v>4398</v>
      </c>
      <c r="C220" s="337">
        <v>400502</v>
      </c>
      <c r="D220" s="18" t="str">
        <f>IF(B220&amp;C220="","",VLOOKUP(B220&amp;C220,SERVIÇOS!C:F,2,0))</f>
        <v>Interruptor com 1 tecla simples e placa</v>
      </c>
      <c r="E220" s="16" t="str">
        <f>IF(B220&amp;C220="","",VLOOKUP(B220&amp;C220,SERVIÇOS!C:F,3,0))</f>
        <v>cj</v>
      </c>
      <c r="F220" s="19">
        <v>22</v>
      </c>
      <c r="G220" s="431">
        <v>17.04</v>
      </c>
      <c r="H220" s="20">
        <f t="shared" si="53"/>
        <v>374.88</v>
      </c>
    </row>
    <row r="221" spans="1:8" x14ac:dyDescent="0.25">
      <c r="A221" s="208">
        <f>IF(AND(B221&lt;&gt;"",C221&lt;&gt;""),LARGE($A$14:$A220,1)+1,"")</f>
        <v>113</v>
      </c>
      <c r="B221" s="16" t="s">
        <v>4398</v>
      </c>
      <c r="C221" s="337">
        <v>400508</v>
      </c>
      <c r="D221" s="18" t="str">
        <f>IF(B221&amp;C221="","",VLOOKUP(B221&amp;C221,SERVIÇOS!C:F,2,0))</f>
        <v>Interruptor com 1 tecla paralelo e placa</v>
      </c>
      <c r="E221" s="16" t="str">
        <f>IF(B221&amp;C221="","",VLOOKUP(B221&amp;C221,SERVIÇOS!C:F,3,0))</f>
        <v>cj</v>
      </c>
      <c r="F221" s="19">
        <v>6</v>
      </c>
      <c r="G221" s="431">
        <v>16.68</v>
      </c>
      <c r="H221" s="20">
        <f t="shared" si="53"/>
        <v>100.08</v>
      </c>
    </row>
    <row r="222" spans="1:8" x14ac:dyDescent="0.25">
      <c r="A222" s="208">
        <f>IF(AND(B222&lt;&gt;"",C222&lt;&gt;""),LARGE($A$14:$A221,1)+1,"")</f>
        <v>114</v>
      </c>
      <c r="B222" s="16" t="s">
        <v>4398</v>
      </c>
      <c r="C222" s="337">
        <v>400446</v>
      </c>
      <c r="D222" s="18" t="str">
        <f>IF(B222&amp;C222="","",VLOOKUP(B222&amp;C222,SERVIÇOS!C:F,2,0))</f>
        <v>Tomada 2P+T de 20 A - 250 V, completa</v>
      </c>
      <c r="E222" s="16" t="str">
        <f>IF(B222&amp;C222="","",VLOOKUP(B222&amp;C222,SERVIÇOS!C:F,3,0))</f>
        <v>cj</v>
      </c>
      <c r="F222" s="19">
        <v>187</v>
      </c>
      <c r="G222" s="431">
        <v>21.45</v>
      </c>
      <c r="H222" s="20">
        <f t="shared" ref="H222:H224" si="54">IF(G222="","",TRUNC(G222*F222,2))</f>
        <v>4011.15</v>
      </c>
    </row>
    <row r="223" spans="1:8" x14ac:dyDescent="0.25">
      <c r="A223" s="208">
        <f>IF(AND(B223&lt;&gt;"",C223&lt;&gt;""),LARGE($A$14:$A222,1)+1,"")</f>
        <v>115</v>
      </c>
      <c r="B223" s="16" t="s">
        <v>4398</v>
      </c>
      <c r="C223" s="337">
        <v>400604</v>
      </c>
      <c r="D223" s="18" t="str">
        <f>IF(B223&amp;C223="","",VLOOKUP(B223&amp;C223,SERVIÇOS!C:F,2,0))</f>
        <v>Condulete metálico de 3/4´</v>
      </c>
      <c r="E223" s="16" t="str">
        <f>IF(B223&amp;C223="","",VLOOKUP(B223&amp;C223,SERVIÇOS!C:F,3,0))</f>
        <v>cj</v>
      </c>
      <c r="F223" s="19">
        <f>187+21+1+6+2+33</f>
        <v>250</v>
      </c>
      <c r="G223" s="431">
        <v>33.909999999999997</v>
      </c>
      <c r="H223" s="20">
        <f t="shared" si="54"/>
        <v>8477.5</v>
      </c>
    </row>
    <row r="224" spans="1:8" ht="30" x14ac:dyDescent="0.25">
      <c r="A224" s="208">
        <f>IF(AND(B224&lt;&gt;"",C224&lt;&gt;""),LARGE($A$14:$A223,1)+1,"")</f>
        <v>116</v>
      </c>
      <c r="B224" s="16" t="s">
        <v>4398</v>
      </c>
      <c r="C224" s="337">
        <v>382112</v>
      </c>
      <c r="D224" s="18" t="str">
        <f>IF(B224&amp;C224="","",VLOOKUP(B224&amp;C224,SERVIÇOS!C:F,2,0))</f>
        <v>Eletrocalha lisa galvanizada a fogo, 100 x 50 mm, com acessórios</v>
      </c>
      <c r="E224" s="16" t="str">
        <f>IF(B224&amp;C224="","",VLOOKUP(B224&amp;C224,SERVIÇOS!C:F,3,0))</f>
        <v>m</v>
      </c>
      <c r="F224" s="19">
        <f>32+4+3</f>
        <v>39</v>
      </c>
      <c r="G224" s="431">
        <v>40.92</v>
      </c>
      <c r="H224" s="20">
        <f t="shared" si="54"/>
        <v>1595.88</v>
      </c>
    </row>
    <row r="225" spans="1:8" ht="30" x14ac:dyDescent="0.25">
      <c r="A225" s="208">
        <f>IF(AND(B225&lt;&gt;"",C225&lt;&gt;""),LARGE($A$14:$A224,1)+1,"")</f>
        <v>117</v>
      </c>
      <c r="B225" s="16" t="s">
        <v>4398</v>
      </c>
      <c r="C225" s="337">
        <v>380406</v>
      </c>
      <c r="D225" s="18" t="str">
        <f>IF(B225&amp;C225="","",VLOOKUP(B225&amp;C225,SERVIÇOS!C:F,2,0))</f>
        <v>Eletroduto de ferro galvanizado, médio de 1´ - com acessórios</v>
      </c>
      <c r="E225" s="16" t="str">
        <f>IF(B225&amp;C225="","",VLOOKUP(B225&amp;C225,SERVIÇOS!C:F,3,0))</f>
        <v>m</v>
      </c>
      <c r="F225" s="19">
        <v>16</v>
      </c>
      <c r="G225" s="431">
        <v>31.79</v>
      </c>
      <c r="H225" s="20">
        <f t="shared" ref="H225:H226" si="55">IF(G225="","",TRUNC(G225*F225,2))</f>
        <v>508.64</v>
      </c>
    </row>
    <row r="226" spans="1:8" ht="30" x14ac:dyDescent="0.25">
      <c r="A226" s="208">
        <f>IF(AND(B226&lt;&gt;"",C226&lt;&gt;""),LARGE($A$14:$A225,1)+1,"")</f>
        <v>118</v>
      </c>
      <c r="B226" s="16" t="s">
        <v>4398</v>
      </c>
      <c r="C226" s="337">
        <v>380504</v>
      </c>
      <c r="D226" s="18" t="str">
        <f>IF(B226&amp;C226="","",VLOOKUP(B226&amp;C226,SERVIÇOS!C:F,2,0))</f>
        <v>Eletroduto de ferro galvanizado, pesado de 3/4´ - com acessórios</v>
      </c>
      <c r="E226" s="16" t="str">
        <f>IF(B226&amp;C226="","",VLOOKUP(B226&amp;C226,SERVIÇOS!C:F,3,0))</f>
        <v>m</v>
      </c>
      <c r="F226" s="19">
        <v>475</v>
      </c>
      <c r="G226" s="431">
        <v>29.44</v>
      </c>
      <c r="H226" s="20">
        <f t="shared" si="55"/>
        <v>13984</v>
      </c>
    </row>
    <row r="227" spans="1:8" ht="30" x14ac:dyDescent="0.25">
      <c r="A227" s="208">
        <f>IF(AND(B227&lt;&gt;"",C227&lt;&gt;""),LARGE($A$14:$A226,1)+1,"")</f>
        <v>119</v>
      </c>
      <c r="B227" s="16" t="s">
        <v>4398</v>
      </c>
      <c r="C227" s="337">
        <v>390303</v>
      </c>
      <c r="D227" s="18" t="str">
        <f>IF(B227&amp;C227="","",VLOOKUP(B227&amp;C227,SERVIÇOS!C:F,2,0))</f>
        <v>Cabo de cobre de 6 mm², isolamento 0,6/1 kV - isolação em PVC 70°C</v>
      </c>
      <c r="E227" s="16" t="str">
        <f>IF(B227&amp;C227="","",VLOOKUP(B227&amp;C227,SERVIÇOS!C:F,3,0))</f>
        <v>m</v>
      </c>
      <c r="F227" s="19">
        <v>129</v>
      </c>
      <c r="G227" s="20">
        <f>IF(B227&amp;C227="","",VLOOKUP(B227&amp;C227,SERVIÇOS!C:F,4,0))</f>
        <v>4.49</v>
      </c>
      <c r="H227" s="20">
        <f t="shared" si="53"/>
        <v>579.21</v>
      </c>
    </row>
    <row r="228" spans="1:8" ht="30" x14ac:dyDescent="0.25">
      <c r="A228" s="208">
        <f>IF(AND(B228&lt;&gt;"",C228&lt;&gt;""),LARGE($A$14:$A227,1)+1,"")</f>
        <v>120</v>
      </c>
      <c r="B228" s="16" t="s">
        <v>4398</v>
      </c>
      <c r="C228" s="337">
        <v>390317</v>
      </c>
      <c r="D228" s="18" t="str">
        <f>IF(B228&amp;C228="","",VLOOKUP(B228&amp;C228,SERVIÇOS!C:F,2,0))</f>
        <v>Cabo de cobre de 2,5 mm², isolamento 0,6/1 kV - isolação em PVC 70°C</v>
      </c>
      <c r="E228" s="16" t="str">
        <f>IF(B228&amp;C228="","",VLOOKUP(B228&amp;C228,SERVIÇOS!C:F,3,0))</f>
        <v>m</v>
      </c>
      <c r="F228" s="19">
        <v>2729</v>
      </c>
      <c r="G228" s="431">
        <v>2.95</v>
      </c>
      <c r="H228" s="20">
        <f t="shared" ref="H228:H236" si="56">IF(G228="","",TRUNC(G228*F228,2))</f>
        <v>8050.55</v>
      </c>
    </row>
    <row r="229" spans="1:8" ht="90" x14ac:dyDescent="0.25">
      <c r="A229" s="208">
        <f>IF(AND(B229&lt;&gt;"",C229&lt;&gt;""),LARGE($A$14:$A228,1)+1,"")</f>
        <v>121</v>
      </c>
      <c r="B229" s="338" t="s">
        <v>4715</v>
      </c>
      <c r="C229" s="337" t="s">
        <v>5471</v>
      </c>
      <c r="D229" s="18" t="str">
        <f>IF(B229&amp;C229="","",VLOOKUP(B229&amp;C229,SERVIÇOS!C:F,2,0))</f>
        <v>Quadro de distribuição de luz e força do tipo de sobrepor com barramento interno 3F + N + T, proteção geral de 15 kA e disjuntores parciais de 5kA, placa de fixação independente, fechadura com chave Yale de acordo com ABNT 60439-1 - ref. GIMI ou equivalente, conforme diagramas de projeto (sede)</v>
      </c>
      <c r="E229" s="16" t="str">
        <f>IF(B229&amp;C229="","",VLOOKUP(B229&amp;C229,SERVIÇOS!C:F,3,0))</f>
        <v>cj</v>
      </c>
      <c r="F229" s="19">
        <v>1</v>
      </c>
      <c r="G229" s="20">
        <f>IF(B229&amp;C229="","",VLOOKUP(B229&amp;C229,SERVIÇOS!C:F,4,0))*1.1033</f>
        <v>6006.3651999999993</v>
      </c>
      <c r="H229" s="20">
        <f t="shared" ref="H229" si="57">IF(G229="","",TRUNC(G229*F229,2))</f>
        <v>6006.36</v>
      </c>
    </row>
    <row r="230" spans="1:8" ht="60" x14ac:dyDescent="0.25">
      <c r="A230" s="208">
        <f>IF(AND(B230&lt;&gt;"",C230&lt;&gt;""),LARGE($A$14:$A229,1)+1,"")</f>
        <v>122</v>
      </c>
      <c r="B230" s="338" t="s">
        <v>4715</v>
      </c>
      <c r="C230" s="339" t="s">
        <v>5356</v>
      </c>
      <c r="D230" s="336" t="str">
        <f>IF(B230&amp;C230="","",VLOOKUP(B230&amp;C230,SERVIÇOS!C:F,2,0))</f>
        <v>Luminária tipo Spot com  foco orientável, corpo em alumínio pintado, refletor em alumínio anodizado, para uma lâmpada LED COB 15 W, abertura 50º, temperatura de cor 3000K.</v>
      </c>
      <c r="E230" s="338" t="str">
        <f>IF(B230&amp;C230="","",VLOOKUP(B230&amp;C230,SERVIÇOS!C:F,3,0))</f>
        <v>un</v>
      </c>
      <c r="F230" s="19">
        <v>51</v>
      </c>
      <c r="G230" s="19">
        <f>IF(B230&amp;C230="","",VLOOKUP(B230&amp;C230,SERVIÇOS!C:F,4,0))*1.1033</f>
        <v>753.44357000000002</v>
      </c>
      <c r="H230" s="19">
        <f t="shared" si="56"/>
        <v>38425.620000000003</v>
      </c>
    </row>
    <row r="231" spans="1:8" ht="45" x14ac:dyDescent="0.25">
      <c r="A231" s="208">
        <f>IF(AND(B231&lt;&gt;"",C231&lt;&gt;""),LARGE($A$14:$A230,1)+1,"")</f>
        <v>123</v>
      </c>
      <c r="B231" s="338" t="s">
        <v>4715</v>
      </c>
      <c r="C231" s="339" t="s">
        <v>5357</v>
      </c>
      <c r="D231" s="336" t="str">
        <f>IF(B231&amp;C231="","",VLOOKUP(B231&amp;C231,SERVIÇOS!C:F,2,0))</f>
        <v>Luminária circular de embutir com foco orbital. Corpo e Orbital em alumínio injetado. Lâmpada LED 15W ângulo de abertura 20 graus, temperatura de cor 3000K.</v>
      </c>
      <c r="E231" s="338" t="str">
        <f>IF(B231&amp;C231="","",VLOOKUP(B231&amp;C231,SERVIÇOS!C:F,3,0))</f>
        <v>un</v>
      </c>
      <c r="F231" s="19">
        <v>16</v>
      </c>
      <c r="G231" s="19">
        <f>IF(B231&amp;C231="","",VLOOKUP(B231&amp;C231,SERVIÇOS!C:F,4,0))*1.1033</f>
        <v>688.47023300000001</v>
      </c>
      <c r="H231" s="19">
        <f t="shared" si="56"/>
        <v>11015.52</v>
      </c>
    </row>
    <row r="232" spans="1:8" ht="60" x14ac:dyDescent="0.25">
      <c r="A232" s="208">
        <f>IF(AND(B232&lt;&gt;"",C232&lt;&gt;""),LARGE($A$14:$A231,1)+1,"")</f>
        <v>124</v>
      </c>
      <c r="B232" s="338" t="s">
        <v>4715</v>
      </c>
      <c r="C232" s="339" t="s">
        <v>5358</v>
      </c>
      <c r="D232" s="336" t="str">
        <f>IF(B232&amp;C232="","",VLOOKUP(B232&amp;C232,SERVIÇOS!C:F,2,0))</f>
        <v>Luminária de embutir com corpo em alumínio injetado com acabamento em pintura na cor branca. Difusor recuado translúcido. Dissipador de calor em alumínio injetado na cor titânio. Temperatura de cor 3000K.</v>
      </c>
      <c r="E232" s="338" t="str">
        <f>IF(B232&amp;C232="","",VLOOKUP(B232&amp;C232,SERVIÇOS!C:F,3,0))</f>
        <v>un</v>
      </c>
      <c r="F232" s="19">
        <v>2</v>
      </c>
      <c r="G232" s="19">
        <f>IF(B232&amp;C232="","",VLOOKUP(B232&amp;C232,SERVIÇOS!C:F,4,0))*1.1033</f>
        <v>406.15782899999999</v>
      </c>
      <c r="H232" s="19">
        <f t="shared" si="56"/>
        <v>812.31</v>
      </c>
    </row>
    <row r="233" spans="1:8" ht="60" x14ac:dyDescent="0.25">
      <c r="A233" s="208">
        <f>IF(AND(B233&lt;&gt;"",C233&lt;&gt;""),LARGE($A$14:$A232,1)+1,"")</f>
        <v>125</v>
      </c>
      <c r="B233" s="338" t="s">
        <v>4715</v>
      </c>
      <c r="C233" s="339" t="s">
        <v>5359</v>
      </c>
      <c r="D233" s="336" t="str">
        <f>IF(B233&amp;C233="","",VLOOKUP(B233&amp;C233,SERVIÇOS!C:F,2,0))</f>
        <v>Luminária de sobrepor com corpo de alumínio injetado com acabamento em pintura na cor branca. Difusor recuado em acrílico translúcido e IP20. Temperatura de cor 3000K.</v>
      </c>
      <c r="E233" s="338" t="str">
        <f>IF(B233&amp;C233="","",VLOOKUP(B233&amp;C233,SERVIÇOS!C:F,3,0))</f>
        <v>un</v>
      </c>
      <c r="F233" s="19">
        <v>10</v>
      </c>
      <c r="G233" s="19">
        <f>IF(B233&amp;C233="","",VLOOKUP(B233&amp;C233,SERVIÇOS!C:F,4,0))*1.1033</f>
        <v>381.21221599999996</v>
      </c>
      <c r="H233" s="19">
        <f t="shared" si="56"/>
        <v>3812.12</v>
      </c>
    </row>
    <row r="234" spans="1:8" ht="60" x14ac:dyDescent="0.25">
      <c r="A234" s="208">
        <f>IF(AND(B234&lt;&gt;"",C234&lt;&gt;""),LARGE($A$14:$A233,1)+1,"")</f>
        <v>126</v>
      </c>
      <c r="B234" s="338" t="s">
        <v>4715</v>
      </c>
      <c r="C234" s="339" t="s">
        <v>5360</v>
      </c>
      <c r="D234" s="336" t="str">
        <f>IF(B234&amp;C234="","",VLOOKUP(B234&amp;C234,SERVIÇOS!C:F,2,0))</f>
        <v>Luminária circular de embutir no piso ou parede. Aro externo em alumínio, difusor em vidro plano temperado transparente. Corpo em alumínio injetado. Grau de proteção IP67. Temperatura de cor 3000K.</v>
      </c>
      <c r="E234" s="338" t="str">
        <f>IF(B234&amp;C234="","",VLOOKUP(B234&amp;C234,SERVIÇOS!C:F,3,0))</f>
        <v>un</v>
      </c>
      <c r="F234" s="19">
        <v>11</v>
      </c>
      <c r="G234" s="19">
        <f>IF(B234&amp;C234="","",VLOOKUP(B234&amp;C234,SERVIÇOS!C:F,4,0))*1.1033</f>
        <v>745.069523</v>
      </c>
      <c r="H234" s="19">
        <f t="shared" si="56"/>
        <v>8195.76</v>
      </c>
    </row>
    <row r="235" spans="1:8" ht="60" x14ac:dyDescent="0.25">
      <c r="A235" s="208">
        <f>IF(AND(B235&lt;&gt;"",C235&lt;&gt;""),LARGE($A$14:$A234,1)+1,"")</f>
        <v>127</v>
      </c>
      <c r="B235" s="338" t="s">
        <v>4715</v>
      </c>
      <c r="C235" s="339" t="s">
        <v>5361</v>
      </c>
      <c r="D235" s="336" t="str">
        <f>IF(B235&amp;C235="","",VLOOKUP(B235&amp;C235,SERVIÇOS!C:F,2,0))</f>
        <v>Luminária de sobrepor com barra de LED. Corpo em chapa de aço tratada com acabamento em pintura eletrostática na cor branca. Difusor em acrílico translúcido. Temperatura de cor 3000K.</v>
      </c>
      <c r="E235" s="338" t="str">
        <f>IF(B235&amp;C235="","",VLOOKUP(B235&amp;C235,SERVIÇOS!C:F,3,0))</f>
        <v>un</v>
      </c>
      <c r="F235" s="19">
        <v>38</v>
      </c>
      <c r="G235" s="19">
        <f>IF(B235&amp;C235="","",VLOOKUP(B235&amp;C235,SERVIÇOS!C:F,4,0))*1.1033</f>
        <v>520.60313799999994</v>
      </c>
      <c r="H235" s="19">
        <f t="shared" si="56"/>
        <v>19782.91</v>
      </c>
    </row>
    <row r="236" spans="1:8" ht="45" x14ac:dyDescent="0.25">
      <c r="A236" s="208">
        <f>IF(AND(B236&lt;&gt;"",C236&lt;&gt;""),LARGE($A$14:$A235,1)+1,"")</f>
        <v>128</v>
      </c>
      <c r="B236" s="338" t="s">
        <v>4398</v>
      </c>
      <c r="C236" s="340">
        <v>411317</v>
      </c>
      <c r="D236" s="336" t="str">
        <f>IF(B236&amp;C236="","",VLOOKUP(B236&amp;C236,SERVIÇOS!C:F,2,0))</f>
        <v>Luminária blindada, arandela 45° e 90°, para lâmpadas mista, vapor metálico, vapor mercúrio até 160 W, vapor de sódio até 70 W e fluorescente compacta até 23 W</v>
      </c>
      <c r="E236" s="338" t="str">
        <f>IF(B236&amp;C236="","",VLOOKUP(B236&amp;C236,SERVIÇOS!C:F,3,0))</f>
        <v>un</v>
      </c>
      <c r="F236" s="19">
        <v>2</v>
      </c>
      <c r="G236" s="19">
        <f>IF(B236&amp;C236="","",VLOOKUP(B236&amp;C236,SERVIÇOS!C:F,4,0))*1.1033</f>
        <v>151.06383599999998</v>
      </c>
      <c r="H236" s="19">
        <f t="shared" si="56"/>
        <v>302.12</v>
      </c>
    </row>
    <row r="237" spans="1:8" ht="5.0999999999999996" customHeight="1" x14ac:dyDescent="0.25">
      <c r="A237" s="73"/>
      <c r="B237" s="2"/>
      <c r="C237" s="2"/>
      <c r="D237" s="21"/>
      <c r="E237" s="2"/>
      <c r="F237" s="2"/>
      <c r="G237" s="2"/>
      <c r="H237" s="74"/>
    </row>
    <row r="238" spans="1:8" x14ac:dyDescent="0.25">
      <c r="A238" s="9"/>
      <c r="B238" s="10" t="s">
        <v>5174</v>
      </c>
      <c r="C238" s="11"/>
      <c r="D238" s="37"/>
      <c r="E238" s="12"/>
      <c r="F238" s="13"/>
      <c r="G238" s="13"/>
      <c r="H238" s="14">
        <f>SUM(H240:H242)</f>
        <v>5703.7199999999993</v>
      </c>
    </row>
    <row r="239" spans="1:8" ht="5.0999999999999996" customHeight="1" x14ac:dyDescent="0.25">
      <c r="A239" s="73"/>
      <c r="B239" s="2"/>
      <c r="C239" s="2"/>
      <c r="D239" s="21"/>
      <c r="E239" s="2"/>
      <c r="F239" s="2"/>
      <c r="G239" s="2"/>
      <c r="H239" s="74"/>
    </row>
    <row r="240" spans="1:8" ht="30" x14ac:dyDescent="0.25">
      <c r="A240" s="208">
        <f>IF(AND(B240&lt;&gt;"",C240&lt;&gt;""),LARGE($A$14:$A239,1)+1,"")</f>
        <v>129</v>
      </c>
      <c r="B240" s="16" t="s">
        <v>4398</v>
      </c>
      <c r="C240" s="337">
        <v>411170</v>
      </c>
      <c r="D240" s="18" t="str">
        <f>IF(B240&amp;C240="","",VLOOKUP(B240&amp;C240,SERVIÇOS!C:F,2,0))</f>
        <v>Luminária led retangular para poste de 10.800 até 13.530 lm, eficiência mínima 90 lm/W</v>
      </c>
      <c r="E240" s="16" t="str">
        <f>IF(B240&amp;C240="","",VLOOKUP(B240&amp;C240,SERVIÇOS!C:F,3,0))</f>
        <v>un</v>
      </c>
      <c r="F240" s="19">
        <v>2</v>
      </c>
      <c r="G240" s="431">
        <v>1651.3</v>
      </c>
      <c r="H240" s="20">
        <f t="shared" ref="H240:H242" si="58">IF(G240="","",TRUNC(G240*F240,2))</f>
        <v>3302.6</v>
      </c>
    </row>
    <row r="241" spans="1:9" ht="30" x14ac:dyDescent="0.25">
      <c r="A241" s="208">
        <f>IF(AND(B241&lt;&gt;"",C241&lt;&gt;""),LARGE($A$14:$A240,1)+1,"")</f>
        <v>130</v>
      </c>
      <c r="B241" s="16" t="s">
        <v>4398</v>
      </c>
      <c r="C241" s="337">
        <v>411144</v>
      </c>
      <c r="D241" s="18" t="str">
        <f>IF(B241&amp;C241="","",VLOOKUP(B241&amp;C241,SERVIÇOS!C:F,2,0))</f>
        <v>Suporte tubular de fixação em poste para 1 luminária tipo pétala</v>
      </c>
      <c r="E241" s="16" t="str">
        <f>IF(B241&amp;C241="","",VLOOKUP(B241&amp;C241,SERVIÇOS!C:F,3,0))</f>
        <v>un</v>
      </c>
      <c r="F241" s="19">
        <v>2</v>
      </c>
      <c r="G241" s="431">
        <v>65.010000000000005</v>
      </c>
      <c r="H241" s="20">
        <f t="shared" si="58"/>
        <v>130.02000000000001</v>
      </c>
    </row>
    <row r="242" spans="1:9" ht="30" customHeight="1" x14ac:dyDescent="0.25">
      <c r="A242" s="208">
        <f>IF(AND(B242&lt;&gt;"",C242&lt;&gt;""),LARGE($A$14:$A241,1)+1,"")</f>
        <v>131</v>
      </c>
      <c r="B242" s="16" t="s">
        <v>4398</v>
      </c>
      <c r="C242" s="337">
        <v>411034</v>
      </c>
      <c r="D242" s="18" t="str">
        <f>IF(B242&amp;C242="","",VLOOKUP(B242&amp;C242,SERVIÇOS!C:F,2,0))</f>
        <v>Poste telecônico reto em aço SAE 1010/1020 galvanizado a fogo, altura de 8,00 m</v>
      </c>
      <c r="E242" s="16" t="str">
        <f>IF(B242&amp;C242="","",VLOOKUP(B242&amp;C242,SERVIÇOS!C:F,3,0))</f>
        <v>un</v>
      </c>
      <c r="F242" s="19">
        <v>2</v>
      </c>
      <c r="G242" s="431">
        <v>1135.55</v>
      </c>
      <c r="H242" s="20">
        <f t="shared" si="58"/>
        <v>2271.1</v>
      </c>
    </row>
    <row r="243" spans="1:9" ht="5.0999999999999996" customHeight="1" x14ac:dyDescent="0.25">
      <c r="A243" s="73"/>
      <c r="B243" s="2"/>
      <c r="C243" s="2"/>
      <c r="D243" s="21"/>
      <c r="E243" s="2"/>
      <c r="F243" s="2"/>
      <c r="G243" s="2"/>
      <c r="H243" s="74"/>
    </row>
    <row r="244" spans="1:9" x14ac:dyDescent="0.25">
      <c r="A244" s="9"/>
      <c r="B244" s="10" t="s">
        <v>5099</v>
      </c>
      <c r="C244" s="11"/>
      <c r="D244" s="37"/>
      <c r="E244" s="12"/>
      <c r="F244" s="13"/>
      <c r="G244" s="13"/>
      <c r="H244" s="14">
        <f>SUM(H246:H252)</f>
        <v>21510.84</v>
      </c>
    </row>
    <row r="245" spans="1:9" ht="5.0999999999999996" customHeight="1" x14ac:dyDescent="0.25">
      <c r="A245" s="73"/>
      <c r="B245" s="2"/>
      <c r="C245" s="2"/>
      <c r="D245" s="21"/>
      <c r="E245" s="2"/>
      <c r="F245" s="2"/>
      <c r="G245" s="2"/>
      <c r="H245" s="74"/>
    </row>
    <row r="246" spans="1:9" ht="30" customHeight="1" x14ac:dyDescent="0.25">
      <c r="A246" s="208">
        <f>IF(AND(B246&lt;&gt;"",C246&lt;&gt;""),LARGE($A$14:$A245,1)+1,"")</f>
        <v>132</v>
      </c>
      <c r="B246" s="231" t="s">
        <v>4704</v>
      </c>
      <c r="C246" s="337">
        <v>902053</v>
      </c>
      <c r="D246" s="18" t="str">
        <f>IF(B246&amp;C246="","",VLOOKUP(B246&amp;C246,SERVIÇOS!C:F,2,0))</f>
        <v>AE-19 Abrigo e entrada de energia (Caixa II, IV ou E) - CPFL, EDP Bandeirante e Elektro</v>
      </c>
      <c r="E246" s="16" t="str">
        <f>IF(B246&amp;C246="","",VLOOKUP(B246&amp;C246,SERVIÇOS!C:F,3,0))</f>
        <v>un</v>
      </c>
      <c r="F246" s="19">
        <v>1</v>
      </c>
      <c r="G246" s="20">
        <f>IF(B246&amp;C246="","",VLOOKUP(B246&amp;C246,SERVIÇOS!C:F,4,0))*1.1033</f>
        <v>1798.5113959999999</v>
      </c>
      <c r="H246" s="20">
        <f t="shared" ref="H246:H252" si="59">IF(G246="","",TRUNC(G246*F246,2))</f>
        <v>1798.51</v>
      </c>
      <c r="I246" s="320"/>
    </row>
    <row r="247" spans="1:9" ht="30" x14ac:dyDescent="0.25">
      <c r="A247" s="208">
        <f>IF(AND(B247&lt;&gt;"",C247&lt;&gt;""),LARGE($A$14:$A246,1)+1,"")</f>
        <v>133</v>
      </c>
      <c r="B247" s="16" t="s">
        <v>4398</v>
      </c>
      <c r="C247" s="337">
        <v>360315</v>
      </c>
      <c r="D247" s="18" t="str">
        <f>IF(B247&amp;C247="","",VLOOKUP(B247&amp;C247,SERVIÇOS!C:F,2,0))</f>
        <v>Caixa de entrada tipo ´E´ (560 x 350 x 210) mm - padrão Eletropaulo</v>
      </c>
      <c r="E247" s="16" t="str">
        <f>IF(B247&amp;C247="","",VLOOKUP(B247&amp;C247,SERVIÇOS!C:F,3,0))</f>
        <v>un</v>
      </c>
      <c r="F247" s="19">
        <v>1</v>
      </c>
      <c r="G247" s="431">
        <v>246.12</v>
      </c>
      <c r="H247" s="20">
        <f t="shared" si="59"/>
        <v>246.12</v>
      </c>
      <c r="I247" s="320"/>
    </row>
    <row r="248" spans="1:9" ht="30" x14ac:dyDescent="0.25">
      <c r="A248" s="208">
        <f>IF(AND(B248&lt;&gt;"",C248&lt;&gt;""),LARGE($A$14:$A247,1)+1,"")</f>
        <v>134</v>
      </c>
      <c r="B248" s="16" t="s">
        <v>4398</v>
      </c>
      <c r="C248" s="337">
        <v>360301</v>
      </c>
      <c r="D248" s="18" t="str">
        <f>IF(B248&amp;C248="","",VLOOKUP(B248&amp;C248,SERVIÇOS!C:F,2,0))</f>
        <v>Caixa de medição tipo II (300 x 560 x 200) mm, padrão concessionárias</v>
      </c>
      <c r="E248" s="16" t="str">
        <f>IF(B248&amp;C248="","",VLOOKUP(B248&amp;C248,SERVIÇOS!C:F,3,0))</f>
        <v>un</v>
      </c>
      <c r="F248" s="19">
        <v>1</v>
      </c>
      <c r="G248" s="431">
        <v>215.09</v>
      </c>
      <c r="H248" s="20">
        <f t="shared" si="59"/>
        <v>215.09</v>
      </c>
      <c r="I248" s="320"/>
    </row>
    <row r="249" spans="1:9" ht="30" x14ac:dyDescent="0.25">
      <c r="A249" s="208">
        <f>IF(AND(B249&lt;&gt;"",C249&lt;&gt;""),LARGE($A$14:$A248,1)+1,"")</f>
        <v>135</v>
      </c>
      <c r="B249" s="16" t="s">
        <v>4398</v>
      </c>
      <c r="C249" s="337">
        <v>371366</v>
      </c>
      <c r="D249" s="18" t="str">
        <f>IF(B249&amp;C249="","",VLOOKUP(B249&amp;C249,SERVIÇOS!C:F,2,0))</f>
        <v>Disjuntor termomagnético, tripolar 220/380 V, corrente de 60 A até 100 A</v>
      </c>
      <c r="E249" s="16" t="str">
        <f>IF(B249&amp;C249="","",VLOOKUP(B249&amp;C249,SERVIÇOS!C:F,3,0))</f>
        <v>un</v>
      </c>
      <c r="F249" s="19">
        <v>1</v>
      </c>
      <c r="G249" s="431">
        <v>127.12</v>
      </c>
      <c r="H249" s="20">
        <f t="shared" si="59"/>
        <v>127.12</v>
      </c>
      <c r="I249" s="320"/>
    </row>
    <row r="250" spans="1:9" ht="30" x14ac:dyDescent="0.25">
      <c r="A250" s="208">
        <f>IF(AND(B250&lt;&gt;"",C250&lt;&gt;""),LARGE($A$14:$A249,1)+1,"")</f>
        <v>136</v>
      </c>
      <c r="B250" s="16" t="s">
        <v>4398</v>
      </c>
      <c r="C250" s="337">
        <v>380406</v>
      </c>
      <c r="D250" s="18" t="str">
        <f>IF(B250&amp;C250="","",VLOOKUP(B250&amp;C250,SERVIÇOS!C:F,2,0))</f>
        <v>Eletroduto de ferro galvanizado, médio de 1´ - com acessórios</v>
      </c>
      <c r="E250" s="16" t="str">
        <f>IF(B250&amp;C250="","",VLOOKUP(B250&amp;C250,SERVIÇOS!C:F,3,0))</f>
        <v>m</v>
      </c>
      <c r="F250" s="19">
        <v>88</v>
      </c>
      <c r="G250" s="431">
        <v>31.79</v>
      </c>
      <c r="H250" s="20">
        <f t="shared" si="59"/>
        <v>2797.52</v>
      </c>
      <c r="I250" s="320"/>
    </row>
    <row r="251" spans="1:9" ht="30" customHeight="1" x14ac:dyDescent="0.25">
      <c r="A251" s="208">
        <f>IF(AND(B251&lt;&gt;"",C251&lt;&gt;""),LARGE($A$14:$A250,1)+1,"")</f>
        <v>137</v>
      </c>
      <c r="B251" s="231" t="s">
        <v>4704</v>
      </c>
      <c r="C251" s="337">
        <v>906026</v>
      </c>
      <c r="D251" s="18" t="str">
        <f>IF(B251&amp;C251="","",VLOOKUP(B251&amp;C251,SERVIÇOS!C:F,2,0))</f>
        <v>Caixa de passagem em alvenaria de 0,60x0,60x0,60m</v>
      </c>
      <c r="E251" s="16" t="str">
        <f>IF(B251&amp;C251="","",VLOOKUP(B251&amp;C251,SERVIÇOS!C:F,3,0))</f>
        <v>un</v>
      </c>
      <c r="F251" s="19">
        <v>1</v>
      </c>
      <c r="G251" s="20">
        <f>IF(B251&amp;C251="","",VLOOKUP(B251&amp;C251,SERVIÇOS!C:F,4,0))*1.1033</f>
        <v>283.07368099999997</v>
      </c>
      <c r="H251" s="20">
        <f t="shared" si="59"/>
        <v>283.07</v>
      </c>
      <c r="I251" s="320"/>
    </row>
    <row r="252" spans="1:9" ht="30" x14ac:dyDescent="0.25">
      <c r="A252" s="208">
        <f>IF(AND(B252&lt;&gt;"",C252&lt;&gt;""),LARGE($A$14:$A251,1)+1,"")</f>
        <v>138</v>
      </c>
      <c r="B252" s="16" t="s">
        <v>4398</v>
      </c>
      <c r="C252" s="337">
        <v>390305</v>
      </c>
      <c r="D252" s="18" t="str">
        <f>IF(B252&amp;C252="","",VLOOKUP(B252&amp;C252,SERVIÇOS!C:F,2,0))</f>
        <v>Cabo de cobre de 16 mm², isolamento 0,6/1 kV - isolação em PVC 70°C</v>
      </c>
      <c r="E252" s="16" t="str">
        <f>IF(B252&amp;C252="","",VLOOKUP(B252&amp;C252,SERVIÇOS!C:F,3,0))</f>
        <v>m</v>
      </c>
      <c r="F252" s="19">
        <f>1070+535</f>
        <v>1605</v>
      </c>
      <c r="G252" s="20">
        <f>IF(B252&amp;C252="","",VLOOKUP(B252&amp;C252,SERVIÇOS!C:F,4,0))*1.1033</f>
        <v>9.9958980000000004</v>
      </c>
      <c r="H252" s="20">
        <f t="shared" si="59"/>
        <v>16043.41</v>
      </c>
      <c r="I252" s="320"/>
    </row>
    <row r="253" spans="1:9" ht="5.0999999999999996" customHeight="1" x14ac:dyDescent="0.25">
      <c r="A253" s="208" t="str">
        <f>IF(AND(B253&lt;&gt;"",C253&lt;&gt;""),LARGE($A$14:$A252,1)+1,"")</f>
        <v/>
      </c>
      <c r="B253" s="2"/>
      <c r="C253" s="2"/>
      <c r="D253" s="21"/>
      <c r="E253" s="2"/>
      <c r="F253" s="2"/>
      <c r="G253" s="2"/>
      <c r="H253" s="74"/>
    </row>
    <row r="254" spans="1:9" x14ac:dyDescent="0.25">
      <c r="A254" s="9"/>
      <c r="B254" s="10" t="s">
        <v>5100</v>
      </c>
      <c r="C254" s="11"/>
      <c r="D254" s="37"/>
      <c r="E254" s="12"/>
      <c r="F254" s="13"/>
      <c r="G254" s="13"/>
      <c r="H254" s="14">
        <f>SUM(H255:H260)</f>
        <v>6423.63</v>
      </c>
    </row>
    <row r="255" spans="1:9" x14ac:dyDescent="0.25">
      <c r="A255" s="208">
        <f>IF(AND(B255&lt;&gt;"",C255&lt;&gt;""),LARGE($A$14:$A254,1)+1,"")</f>
        <v>139</v>
      </c>
      <c r="B255" s="16" t="s">
        <v>4398</v>
      </c>
      <c r="C255" s="337">
        <v>370102</v>
      </c>
      <c r="D255" s="18" t="str">
        <f>IF(B255&amp;C255="","",VLOOKUP(B255&amp;C255,SERVIÇOS!C:F,2,0))</f>
        <v>Quadro Telebrás de embutir de 200 x 200 x 120 mm</v>
      </c>
      <c r="E255" s="16" t="str">
        <f>IF(B255&amp;C255="","",VLOOKUP(B255&amp;C255,SERVIÇOS!C:F,3,0))</f>
        <v>un</v>
      </c>
      <c r="F255" s="19">
        <v>1</v>
      </c>
      <c r="G255" s="431">
        <v>99.71</v>
      </c>
      <c r="H255" s="20">
        <f t="shared" ref="H255" si="60">IF(G255="","",TRUNC(G255*F255,2))</f>
        <v>99.71</v>
      </c>
      <c r="I255" s="320"/>
    </row>
    <row r="256" spans="1:9" ht="30" x14ac:dyDescent="0.25">
      <c r="A256" s="208">
        <f>IF(AND(B256&lt;&gt;"",C256&lt;&gt;""),LARGE($A$14:$A255,1)+1,"")</f>
        <v>140</v>
      </c>
      <c r="B256" s="16" t="s">
        <v>4398</v>
      </c>
      <c r="C256" s="337">
        <v>400206</v>
      </c>
      <c r="D256" s="18" t="str">
        <f>IF(B256&amp;C256="","",VLOOKUP(B256&amp;C256,SERVIÇOS!C:F,2,0))</f>
        <v>Caixa de passagem em chapa, com tampa parafusada, 200 x 200 x 100 mm</v>
      </c>
      <c r="E256" s="16" t="str">
        <f>IF(B256&amp;C256="","",VLOOKUP(B256&amp;C256,SERVIÇOS!C:F,3,0))</f>
        <v>un</v>
      </c>
      <c r="F256" s="19">
        <v>1</v>
      </c>
      <c r="G256" s="431">
        <v>28.99</v>
      </c>
      <c r="H256" s="20">
        <f t="shared" ref="H256:H260" si="61">IF(G256="","",TRUNC(G256*F256,2))</f>
        <v>28.99</v>
      </c>
      <c r="I256" s="320"/>
    </row>
    <row r="257" spans="1:9" x14ac:dyDescent="0.25">
      <c r="A257" s="208">
        <f>IF(AND(B257&lt;&gt;"",C257&lt;&gt;""),LARGE($A$14:$A256,1)+1,"")</f>
        <v>141</v>
      </c>
      <c r="B257" s="16" t="s">
        <v>4398</v>
      </c>
      <c r="C257" s="337">
        <v>400606</v>
      </c>
      <c r="D257" s="18" t="str">
        <f>IF(B257&amp;C257="","",VLOOKUP(B257&amp;C257,SERVIÇOS!C:F,2,0))</f>
        <v>Condulete metálico de 1´</v>
      </c>
      <c r="E257" s="16" t="str">
        <f>IF(B257&amp;C257="","",VLOOKUP(B257&amp;C257,SERVIÇOS!C:F,3,0))</f>
        <v>cj</v>
      </c>
      <c r="F257" s="19">
        <f>10+24</f>
        <v>34</v>
      </c>
      <c r="G257" s="431">
        <v>39.83</v>
      </c>
      <c r="H257" s="20">
        <f t="shared" si="61"/>
        <v>1354.22</v>
      </c>
      <c r="I257" s="320"/>
    </row>
    <row r="258" spans="1:9" ht="30" x14ac:dyDescent="0.25">
      <c r="A258" s="208">
        <f>IF(AND(B258&lt;&gt;"",C258&lt;&gt;""),LARGE($A$14:$A257,1)+1,"")</f>
        <v>142</v>
      </c>
      <c r="B258" s="16" t="s">
        <v>4398</v>
      </c>
      <c r="C258" s="337">
        <v>402033</v>
      </c>
      <c r="D258" s="18" t="str">
        <f>IF(B258&amp;C258="","",VLOOKUP(B258&amp;C258,SERVIÇOS!C:F,2,0))</f>
        <v>Placa/espelho em latão escovado 4´ x 4´, para tomada de lógica RJ-45</v>
      </c>
      <c r="E258" s="16" t="str">
        <f>IF(B258&amp;C258="","",VLOOKUP(B258&amp;C258,SERVIÇOS!C:F,3,0))</f>
        <v>un</v>
      </c>
      <c r="F258" s="19">
        <v>24</v>
      </c>
      <c r="G258" s="431">
        <v>31.53</v>
      </c>
      <c r="H258" s="20">
        <f t="shared" ref="H258" si="62">IF(G258="","",TRUNC(G258*F258,2))</f>
        <v>756.72</v>
      </c>
      <c r="I258" s="320"/>
    </row>
    <row r="259" spans="1:9" ht="30" x14ac:dyDescent="0.25">
      <c r="A259" s="208">
        <f>IF(AND(B259&lt;&gt;"",C259&lt;&gt;""),LARGE($A$14:$A258,1)+1,"")</f>
        <v>143</v>
      </c>
      <c r="B259" s="16" t="s">
        <v>4398</v>
      </c>
      <c r="C259" s="337">
        <v>380406</v>
      </c>
      <c r="D259" s="18" t="str">
        <f>IF(B259&amp;C259="","",VLOOKUP(B259&amp;C259,SERVIÇOS!C:F,2,0))</f>
        <v>Eletroduto de ferro galvanizado, médio de 1´ - com acessórios</v>
      </c>
      <c r="E259" s="16" t="str">
        <f>IF(B259&amp;C259="","",VLOOKUP(B259&amp;C259,SERVIÇOS!C:F,3,0))</f>
        <v>m</v>
      </c>
      <c r="F259" s="19">
        <f>105+20</f>
        <v>125</v>
      </c>
      <c r="G259" s="431">
        <v>31.79</v>
      </c>
      <c r="H259" s="20">
        <f t="shared" si="61"/>
        <v>3973.75</v>
      </c>
      <c r="I259" s="320"/>
    </row>
    <row r="260" spans="1:9" x14ac:dyDescent="0.25">
      <c r="A260" s="208">
        <f>IF(AND(B260&lt;&gt;"",C260&lt;&gt;""),LARGE($A$14:$A259,1)+1,"")</f>
        <v>144</v>
      </c>
      <c r="B260" s="16" t="s">
        <v>4398</v>
      </c>
      <c r="C260" s="337">
        <v>380717</v>
      </c>
      <c r="D260" s="18" t="str">
        <f>IF(B260&amp;C260="","",VLOOKUP(B260&amp;C260,SERVIÇOS!C:F,2,0))</f>
        <v>Canaleta em PVC de 20 x 10 mm, inclusive acessórios</v>
      </c>
      <c r="E260" s="16" t="str">
        <f>IF(B260&amp;C260="","",VLOOKUP(B260&amp;C260,SERVIÇOS!C:F,3,0))</f>
        <v>m</v>
      </c>
      <c r="F260" s="19">
        <v>16</v>
      </c>
      <c r="G260" s="431">
        <v>13.14</v>
      </c>
      <c r="H260" s="20">
        <f t="shared" si="61"/>
        <v>210.24</v>
      </c>
      <c r="I260" s="320"/>
    </row>
    <row r="261" spans="1:9" ht="5.0999999999999996" customHeight="1" x14ac:dyDescent="0.25">
      <c r="A261" s="73"/>
      <c r="B261" s="2"/>
      <c r="C261" s="2"/>
      <c r="D261" s="21"/>
      <c r="E261" s="2"/>
      <c r="F261" s="2"/>
      <c r="G261" s="2"/>
      <c r="H261" s="74"/>
    </row>
    <row r="262" spans="1:9" x14ac:dyDescent="0.25">
      <c r="A262" s="9"/>
      <c r="B262" s="10" t="s">
        <v>5101</v>
      </c>
      <c r="C262" s="11"/>
      <c r="D262" s="37"/>
      <c r="E262" s="12"/>
      <c r="F262" s="13"/>
      <c r="G262" s="13"/>
      <c r="H262" s="14">
        <f>SUM(H263:H270)</f>
        <v>6415.2999999999993</v>
      </c>
    </row>
    <row r="263" spans="1:9" ht="30" x14ac:dyDescent="0.25">
      <c r="A263" s="208">
        <f>IF(AND(B263&lt;&gt;"",C263&lt;&gt;""),LARGE($A$14:$A262,1)+1,"")</f>
        <v>145</v>
      </c>
      <c r="B263" s="16" t="s">
        <v>4398</v>
      </c>
      <c r="C263" s="337">
        <v>420525</v>
      </c>
      <c r="D263" s="18" t="str">
        <f>IF(B263&amp;C263="","",VLOOKUP(B263&amp;C263,SERVIÇOS!C:F,2,0))</f>
        <v>Barra condutora chata de alumínio, 3/4´ x 1/4´ - inclusive acessórios de fixação</v>
      </c>
      <c r="E263" s="16" t="str">
        <f>IF(B263&amp;C263="","",VLOOKUP(B263&amp;C263,SERVIÇOS!C:F,3,0))</f>
        <v>m</v>
      </c>
      <c r="F263" s="19">
        <v>140</v>
      </c>
      <c r="G263" s="431">
        <v>26.75</v>
      </c>
      <c r="H263" s="20">
        <f t="shared" ref="H263:H267" si="63">IF(G263="","",TRUNC(G263*F263,2))</f>
        <v>3745</v>
      </c>
      <c r="I263" s="320"/>
    </row>
    <row r="264" spans="1:9" x14ac:dyDescent="0.25">
      <c r="A264" s="208">
        <f>IF(AND(B264&lt;&gt;"",C264&lt;&gt;""),LARGE($A$14:$A251,1)+1,"")</f>
        <v>138</v>
      </c>
      <c r="B264" s="16" t="s">
        <v>4398</v>
      </c>
      <c r="C264" s="337">
        <v>420511</v>
      </c>
      <c r="D264" s="18" t="str">
        <f>IF(B264&amp;C264="","",VLOOKUP(B264&amp;C264,SERVIÇOS!C:F,2,0))</f>
        <v>Conector cabo/haste de 3/4´</v>
      </c>
      <c r="E264" s="16" t="str">
        <f>IF(B264&amp;C264="","",VLOOKUP(B264&amp;C264,SERVIÇOS!C:F,3,0))</f>
        <v>un</v>
      </c>
      <c r="F264" s="19">
        <v>6</v>
      </c>
      <c r="G264" s="431">
        <v>14.51</v>
      </c>
      <c r="H264" s="20">
        <f t="shared" si="63"/>
        <v>87.06</v>
      </c>
      <c r="I264" s="320"/>
    </row>
    <row r="265" spans="1:9" ht="30" x14ac:dyDescent="0.25">
      <c r="A265" s="208">
        <f>IF(AND(B265&lt;&gt;"",C265&lt;&gt;""),LARGE($A$14:$A252,1)+1,"")</f>
        <v>139</v>
      </c>
      <c r="B265" s="16" t="s">
        <v>4398</v>
      </c>
      <c r="C265" s="337">
        <v>390912</v>
      </c>
      <c r="D265" s="18" t="str">
        <f>IF(B265&amp;C265="","",VLOOKUP(B265&amp;C265,SERVIÇOS!C:F,2,0))</f>
        <v>Conector split-bolt para cabo de 35 mm², latão, com rabicho</v>
      </c>
      <c r="E265" s="16" t="str">
        <f>IF(B265&amp;C265="","",VLOOKUP(B265&amp;C265,SERVIÇOS!C:F,3,0))</f>
        <v>un</v>
      </c>
      <c r="F265" s="19">
        <v>6</v>
      </c>
      <c r="G265" s="431">
        <v>13.03</v>
      </c>
      <c r="H265" s="20">
        <f t="shared" si="63"/>
        <v>78.180000000000007</v>
      </c>
      <c r="I265" s="320"/>
    </row>
    <row r="266" spans="1:9" x14ac:dyDescent="0.25">
      <c r="A266" s="208">
        <f>IF(AND(B266&lt;&gt;"",C266&lt;&gt;""),LARGE($A$14:$A253,1)+1,"")</f>
        <v>139</v>
      </c>
      <c r="B266" s="16" t="s">
        <v>4398</v>
      </c>
      <c r="C266" s="337">
        <v>420521</v>
      </c>
      <c r="D266" s="18" t="str">
        <f>IF(B266&amp;C266="","",VLOOKUP(B266&amp;C266,SERVIÇOS!C:F,2,0))</f>
        <v>Haste de aterramento de 5/8´ x 3,00 m</v>
      </c>
      <c r="E266" s="16" t="str">
        <f>IF(B266&amp;C266="","",VLOOKUP(B266&amp;C266,SERVIÇOS!C:F,3,0))</f>
        <v>un</v>
      </c>
      <c r="F266" s="19">
        <v>6</v>
      </c>
      <c r="G266" s="431">
        <v>70.790000000000006</v>
      </c>
      <c r="H266" s="20">
        <f t="shared" si="63"/>
        <v>424.74</v>
      </c>
      <c r="I266" s="320"/>
    </row>
    <row r="267" spans="1:9" x14ac:dyDescent="0.25">
      <c r="A267" s="208">
        <f>IF(AND(B267&lt;&gt;"",C267&lt;&gt;""),LARGE($A$14:$A254,1)+1,"")</f>
        <v>139</v>
      </c>
      <c r="B267" s="16" t="s">
        <v>4398</v>
      </c>
      <c r="C267" s="337">
        <v>420516</v>
      </c>
      <c r="D267" s="18" t="str">
        <f>IF(B267&amp;C267="","",VLOOKUP(B267&amp;C267,SERVIÇOS!C:F,2,0))</f>
        <v>Conector olhal cabo/haste de 5/8´</v>
      </c>
      <c r="E267" s="16" t="str">
        <f>IF(B267&amp;C267="","",VLOOKUP(B267&amp;C267,SERVIÇOS!C:F,3,0))</f>
        <v>un</v>
      </c>
      <c r="F267" s="19">
        <v>6</v>
      </c>
      <c r="G267" s="431">
        <v>5.77</v>
      </c>
      <c r="H267" s="20">
        <f t="shared" si="63"/>
        <v>34.619999999999997</v>
      </c>
      <c r="I267" s="320"/>
    </row>
    <row r="268" spans="1:9" x14ac:dyDescent="0.25">
      <c r="A268" s="208">
        <f>IF(AND(B268&lt;&gt;"",C268&lt;&gt;""),LARGE($A$14:$A255,1)+1,"")</f>
        <v>140</v>
      </c>
      <c r="B268" s="16" t="s">
        <v>4398</v>
      </c>
      <c r="C268" s="337">
        <v>420514</v>
      </c>
      <c r="D268" s="18" t="str">
        <f>IF(B268&amp;C268="","",VLOOKUP(B268&amp;C268,SERVIÇOS!C:F,2,0))</f>
        <v>Conector olhal cabo/haste de 3/4´</v>
      </c>
      <c r="E268" s="16" t="str">
        <f>IF(B268&amp;C268="","",VLOOKUP(B268&amp;C268,SERVIÇOS!C:F,3,0))</f>
        <v>un</v>
      </c>
      <c r="F268" s="19">
        <v>6</v>
      </c>
      <c r="G268" s="431">
        <v>6.76</v>
      </c>
      <c r="H268" s="20">
        <f t="shared" ref="H268:H270" si="64">IF(G268="","",TRUNC(G268*F268,2))</f>
        <v>40.56</v>
      </c>
      <c r="I268" s="320"/>
    </row>
    <row r="269" spans="1:9" x14ac:dyDescent="0.25">
      <c r="A269" s="208">
        <f>IF(AND(B269&lt;&gt;"",C269&lt;&gt;""),LARGE($A$14:$A257,1)+1,"")</f>
        <v>142</v>
      </c>
      <c r="B269" s="16" t="s">
        <v>4398</v>
      </c>
      <c r="C269" s="337">
        <v>390407</v>
      </c>
      <c r="D269" s="18" t="str">
        <f>IF(B269&amp;C269="","",VLOOKUP(B269&amp;C269,SERVIÇOS!C:F,2,0))</f>
        <v>Cabo de cobre nu, têmpera mole, classe 2, de 35 mm²</v>
      </c>
      <c r="E269" s="16" t="str">
        <f>IF(B269&amp;C269="","",VLOOKUP(B269&amp;C269,SERVIÇOS!C:F,3,0))</f>
        <v>m</v>
      </c>
      <c r="F269" s="19">
        <v>18</v>
      </c>
      <c r="G269" s="431">
        <v>15.81</v>
      </c>
      <c r="H269" s="20">
        <f t="shared" si="64"/>
        <v>284.58</v>
      </c>
      <c r="I269" s="320"/>
    </row>
    <row r="270" spans="1:9" x14ac:dyDescent="0.25">
      <c r="A270" s="208">
        <f>IF(AND(B270&lt;&gt;"",C270&lt;&gt;""),LARGE($A$14:$A259,1)+1,"")</f>
        <v>144</v>
      </c>
      <c r="B270" s="16" t="s">
        <v>4398</v>
      </c>
      <c r="C270" s="337">
        <v>390408</v>
      </c>
      <c r="D270" s="18" t="str">
        <f>IF(B270&amp;C270="","",VLOOKUP(B270&amp;C270,SERVIÇOS!C:F,2,0))</f>
        <v>Cabo de cobre nu, têmpera mole, classe 2, de 50 mm²</v>
      </c>
      <c r="E270" s="16" t="str">
        <f>IF(B270&amp;C270="","",VLOOKUP(B270&amp;C270,SERVIÇOS!C:F,3,0))</f>
        <v>m</v>
      </c>
      <c r="F270" s="19">
        <v>67</v>
      </c>
      <c r="G270" s="431">
        <v>25.68</v>
      </c>
      <c r="H270" s="20">
        <f t="shared" si="64"/>
        <v>1720.56</v>
      </c>
      <c r="I270" s="320"/>
    </row>
    <row r="271" spans="1:9" ht="5.0999999999999996" customHeight="1" x14ac:dyDescent="0.25">
      <c r="A271" s="73"/>
      <c r="B271" s="2"/>
      <c r="C271" s="2"/>
      <c r="D271" s="21"/>
      <c r="E271" s="2"/>
      <c r="F271" s="2"/>
      <c r="G271" s="2"/>
      <c r="H271" s="74"/>
    </row>
    <row r="272" spans="1:9" x14ac:dyDescent="0.25">
      <c r="A272" s="3"/>
      <c r="B272" s="4" t="s">
        <v>4884</v>
      </c>
      <c r="C272" s="5"/>
      <c r="D272" s="29"/>
      <c r="E272" s="6"/>
      <c r="F272" s="7"/>
      <c r="G272" s="7"/>
      <c r="H272" s="8">
        <f>SUBTOTAL(9,H274:H274)</f>
        <v>122089.23</v>
      </c>
    </row>
    <row r="273" spans="1:10" ht="5.0999999999999996" customHeight="1" x14ac:dyDescent="0.25">
      <c r="A273" s="73"/>
      <c r="B273" s="2"/>
      <c r="C273" s="2"/>
      <c r="D273" s="21"/>
      <c r="E273" s="2"/>
      <c r="F273" s="2"/>
      <c r="G273" s="2"/>
      <c r="H273" s="74"/>
    </row>
    <row r="274" spans="1:10" ht="45" customHeight="1" x14ac:dyDescent="0.25">
      <c r="A274" s="208">
        <f>IF(AND(B274&lt;&gt;"",C274&lt;&gt;""),LARGE($A$14:$A273,1)+1,"")</f>
        <v>146</v>
      </c>
      <c r="B274" s="16" t="s">
        <v>4715</v>
      </c>
      <c r="C274" s="17" t="s">
        <v>4885</v>
      </c>
      <c r="D274" s="18" t="str">
        <f>IF(B274&amp;C274="","",VLOOKUP(B274&amp;C274,SERVIÇOS!C:F,2,0))</f>
        <v>Fornecimento e Instalação de Sistema com 60 módulos  265 W e inversor 12,5 ABB kWp, inclusive homologação junto à concessionária.</v>
      </c>
      <c r="E274" s="16" t="str">
        <f>IF(B274&amp;C274="","",VLOOKUP(B274&amp;C274,SERVIÇOS!C:F,3,0))</f>
        <v>cj</v>
      </c>
      <c r="F274" s="19">
        <v>1</v>
      </c>
      <c r="G274" s="20">
        <f>IF(B274&amp;C274="","",VLOOKUP(B274&amp;C274,SERVIÇOS!C:F,4,0))*1.1033</f>
        <v>122089.236192</v>
      </c>
      <c r="H274" s="20">
        <f t="shared" ref="H274" si="65">IF(G274="","",TRUNC(G274*F274,2))</f>
        <v>122089.23</v>
      </c>
    </row>
    <row r="275" spans="1:10" ht="5.0999999999999996" customHeight="1" x14ac:dyDescent="0.25">
      <c r="A275" s="73"/>
      <c r="B275" s="2"/>
      <c r="C275" s="2"/>
      <c r="D275" s="21"/>
      <c r="E275" s="2"/>
      <c r="F275" s="2"/>
      <c r="G275" s="2"/>
      <c r="H275" s="74"/>
    </row>
    <row r="276" spans="1:10" x14ac:dyDescent="0.25">
      <c r="A276" s="3"/>
      <c r="B276" s="4" t="s">
        <v>4935</v>
      </c>
      <c r="C276" s="5"/>
      <c r="D276" s="29"/>
      <c r="E276" s="6"/>
      <c r="F276" s="7"/>
      <c r="G276" s="7"/>
      <c r="H276" s="8">
        <f>H278+H309+H314+H324+H332+H356+H365</f>
        <v>110564.32000000002</v>
      </c>
    </row>
    <row r="277" spans="1:10" ht="5.0999999999999996" customHeight="1" x14ac:dyDescent="0.25">
      <c r="A277" s="73"/>
      <c r="B277" s="2"/>
      <c r="C277" s="2"/>
      <c r="D277" s="21"/>
      <c r="E277" s="2"/>
      <c r="F277" s="2"/>
      <c r="G277" s="2"/>
      <c r="H277" s="74"/>
    </row>
    <row r="278" spans="1:10" x14ac:dyDescent="0.25">
      <c r="A278" s="9"/>
      <c r="B278" s="10" t="s">
        <v>4938</v>
      </c>
      <c r="C278" s="11"/>
      <c r="D278" s="37"/>
      <c r="E278" s="12"/>
      <c r="F278" s="13"/>
      <c r="G278" s="13"/>
      <c r="H278" s="14">
        <f>SUM(H280:H307)</f>
        <v>14510.910000000002</v>
      </c>
    </row>
    <row r="279" spans="1:10" ht="5.0999999999999996" customHeight="1" x14ac:dyDescent="0.25">
      <c r="A279" s="73"/>
      <c r="B279" s="2"/>
      <c r="C279" s="2"/>
      <c r="D279" s="21"/>
      <c r="E279" s="2"/>
      <c r="F279" s="2"/>
      <c r="G279" s="2"/>
      <c r="H279" s="74"/>
    </row>
    <row r="280" spans="1:10" ht="30" customHeight="1" x14ac:dyDescent="0.25">
      <c r="A280" s="208">
        <f>IF(AND(B280&lt;&gt;"",C280&lt;&gt;""),LARGE($A$14:$A279,1)+1,"")</f>
        <v>147</v>
      </c>
      <c r="B280" s="16" t="s">
        <v>4398</v>
      </c>
      <c r="C280" s="337">
        <v>470202</v>
      </c>
      <c r="D280" s="18" t="str">
        <f>IF(B280&amp;C280="","",VLOOKUP(B280&amp;C280,SERVIÇOS!C:F,2,0))</f>
        <v>Registro de gaveta em latão fundido cromado com canopla, DN= 3/4´ - linha especial</v>
      </c>
      <c r="E280" s="16" t="str">
        <f>IF(B280&amp;C280="","",VLOOKUP(B280&amp;C280,SERVIÇOS!C:F,3,0))</f>
        <v>un</v>
      </c>
      <c r="F280" s="19">
        <v>16</v>
      </c>
      <c r="G280" s="431">
        <v>71.489999999999995</v>
      </c>
      <c r="H280" s="20">
        <f t="shared" ref="H280:H326" si="66">IF(G280="","",TRUNC(G280*F280,2))</f>
        <v>1143.8399999999999</v>
      </c>
      <c r="J280" s="320"/>
    </row>
    <row r="281" spans="1:10" ht="30" customHeight="1" x14ac:dyDescent="0.25">
      <c r="A281" s="208">
        <f>IF(AND(B281&lt;&gt;"",C281&lt;&gt;""),LARGE($A$14:$A280,1)+1,"")</f>
        <v>148</v>
      </c>
      <c r="B281" s="16" t="s">
        <v>4398</v>
      </c>
      <c r="C281" s="337">
        <v>470106</v>
      </c>
      <c r="D281" s="18" t="str">
        <f>IF(B281&amp;C281="","",VLOOKUP(B281&amp;C281,SERVIÇOS!C:F,2,0))</f>
        <v>Registro de gaveta em latão fundido sem acabamento, DN= 2´</v>
      </c>
      <c r="E281" s="16" t="str">
        <f>IF(B281&amp;C281="","",VLOOKUP(B281&amp;C281,SERVIÇOS!C:F,3,0))</f>
        <v>un</v>
      </c>
      <c r="F281" s="19">
        <v>3</v>
      </c>
      <c r="G281" s="431">
        <v>127.75</v>
      </c>
      <c r="H281" s="20">
        <f t="shared" ref="H281:H304" si="67">IF(G281="","",TRUNC(G281*F281,2))</f>
        <v>383.25</v>
      </c>
      <c r="J281" s="320"/>
    </row>
    <row r="282" spans="1:10" ht="30" customHeight="1" x14ac:dyDescent="0.25">
      <c r="A282" s="208">
        <f>IF(AND(B282&lt;&gt;"",C282&lt;&gt;""),LARGE($A$14:$A281,1)+1,"")</f>
        <v>149</v>
      </c>
      <c r="B282" s="16" t="s">
        <v>4398</v>
      </c>
      <c r="C282" s="337">
        <v>470107</v>
      </c>
      <c r="D282" s="18" t="str">
        <f>IF(B282&amp;C282="","",VLOOKUP(B282&amp;C282,SERVIÇOS!C:F,2,0))</f>
        <v>Registro de gaveta em latão fundido sem acabamento, DN= 2 1/2´</v>
      </c>
      <c r="E282" s="16" t="str">
        <f>IF(B282&amp;C282="","",VLOOKUP(B282&amp;C282,SERVIÇOS!C:F,3,0))</f>
        <v>un</v>
      </c>
      <c r="F282" s="19">
        <v>2</v>
      </c>
      <c r="G282" s="431">
        <v>242.76</v>
      </c>
      <c r="H282" s="20">
        <f t="shared" si="67"/>
        <v>485.52</v>
      </c>
      <c r="J282" s="320"/>
    </row>
    <row r="283" spans="1:10" ht="30" customHeight="1" x14ac:dyDescent="0.25">
      <c r="A283" s="208">
        <f>IF(AND(B283&lt;&gt;"",C283&lt;&gt;""),LARGE($A$14:$A282,1)+1,"")</f>
        <v>150</v>
      </c>
      <c r="B283" s="16" t="s">
        <v>4398</v>
      </c>
      <c r="C283" s="337">
        <v>470113</v>
      </c>
      <c r="D283" s="18" t="str">
        <f>IF(B283&amp;C283="","",VLOOKUP(B283&amp;C283,SERVIÇOS!C:F,2,0))</f>
        <v>Registro de pressão em latão fundido sem acabamento, DN= 3/4´</v>
      </c>
      <c r="E283" s="16" t="str">
        <f>IF(B283&amp;C283="","",VLOOKUP(B283&amp;C283,SERVIÇOS!C:F,3,0))</f>
        <v>un</v>
      </c>
      <c r="F283" s="19">
        <v>4</v>
      </c>
      <c r="G283" s="431">
        <v>53.99</v>
      </c>
      <c r="H283" s="20">
        <f t="shared" si="67"/>
        <v>215.96</v>
      </c>
      <c r="J283" s="320"/>
    </row>
    <row r="284" spans="1:10" ht="30" customHeight="1" x14ac:dyDescent="0.25">
      <c r="A284" s="208">
        <f>IF(AND(B284&lt;&gt;"",C284&lt;&gt;""),LARGE($A$14:$A283,1)+1,"")</f>
        <v>151</v>
      </c>
      <c r="B284" s="16" t="s">
        <v>4398</v>
      </c>
      <c r="C284" s="337">
        <v>460102</v>
      </c>
      <c r="D284" s="18" t="str">
        <f>IF(B284&amp;C284="","",VLOOKUP(B284&amp;C284,SERVIÇOS!C:F,2,0))</f>
        <v>Tubo de PVC rígido soldável marrom, DN= 25 mm, (3/4´), inclusive conexões</v>
      </c>
      <c r="E284" s="16" t="str">
        <f>IF(B284&amp;C284="","",VLOOKUP(B284&amp;C284,SERVIÇOS!C:F,3,0))</f>
        <v>m</v>
      </c>
      <c r="F284" s="19">
        <v>72</v>
      </c>
      <c r="G284" s="431">
        <v>21.65</v>
      </c>
      <c r="H284" s="20">
        <f t="shared" si="67"/>
        <v>1558.8</v>
      </c>
      <c r="I284" s="320"/>
      <c r="J284" s="320"/>
    </row>
    <row r="285" spans="1:10" ht="30" customHeight="1" x14ac:dyDescent="0.25">
      <c r="A285" s="208">
        <f>IF(AND(B285&lt;&gt;"",C285&lt;&gt;""),LARGE($A$14:$A284,1)+1,"")</f>
        <v>152</v>
      </c>
      <c r="B285" s="16" t="s">
        <v>4398</v>
      </c>
      <c r="C285" s="337">
        <v>460103</v>
      </c>
      <c r="D285" s="18" t="str">
        <f>IF(B285&amp;C285="","",VLOOKUP(B285&amp;C285,SERVIÇOS!C:F,2,0))</f>
        <v>Tubo de PVC rígido soldável marrom, DN= 32 mm, (1´), inclusive conexões</v>
      </c>
      <c r="E285" s="16" t="str">
        <f>IF(B285&amp;C285="","",VLOOKUP(B285&amp;C285,SERVIÇOS!C:F,3,0))</f>
        <v>m</v>
      </c>
      <c r="F285" s="19">
        <v>12</v>
      </c>
      <c r="G285" s="431">
        <v>26.36</v>
      </c>
      <c r="H285" s="20">
        <f t="shared" si="67"/>
        <v>316.32</v>
      </c>
      <c r="I285" s="320"/>
      <c r="J285" s="320"/>
    </row>
    <row r="286" spans="1:10" ht="30" customHeight="1" x14ac:dyDescent="0.25">
      <c r="A286" s="208">
        <f>IF(AND(B286&lt;&gt;"",C286&lt;&gt;""),LARGE($A$14:$A285,1)+1,"")</f>
        <v>153</v>
      </c>
      <c r="B286" s="16" t="s">
        <v>4398</v>
      </c>
      <c r="C286" s="337">
        <v>460105</v>
      </c>
      <c r="D286" s="18" t="str">
        <f>IF(B286&amp;C286="","",VLOOKUP(B286&amp;C286,SERVIÇOS!C:F,2,0))</f>
        <v>Tubo de PVC rígido soldável marrom, DN= 50 mm, (1 1/2´), inclusive conexões</v>
      </c>
      <c r="E286" s="16" t="str">
        <f>IF(B286&amp;C286="","",VLOOKUP(B286&amp;C286,SERVIÇOS!C:F,3,0))</f>
        <v>m</v>
      </c>
      <c r="F286" s="19">
        <v>18</v>
      </c>
      <c r="G286" s="431">
        <v>33.94</v>
      </c>
      <c r="H286" s="20">
        <f t="shared" si="67"/>
        <v>610.91999999999996</v>
      </c>
      <c r="I286" s="320"/>
      <c r="J286" s="320"/>
    </row>
    <row r="287" spans="1:10" ht="30" customHeight="1" x14ac:dyDescent="0.25">
      <c r="A287" s="208">
        <f>IF(AND(B287&lt;&gt;"",C287&lt;&gt;""),LARGE($A$14:$A286,1)+1,"")</f>
        <v>154</v>
      </c>
      <c r="B287" s="16" t="s">
        <v>4398</v>
      </c>
      <c r="C287" s="337">
        <v>460106</v>
      </c>
      <c r="D287" s="18" t="str">
        <f>IF(B287&amp;C287="","",VLOOKUP(B287&amp;C287,SERVIÇOS!C:F,2,0))</f>
        <v>Tubo de PVC rígido soldável marrom, DN= 60 mm, (2´), inclusive conexões</v>
      </c>
      <c r="E287" s="16" t="str">
        <f>IF(B287&amp;C287="","",VLOOKUP(B287&amp;C287,SERVIÇOS!C:F,3,0))</f>
        <v>m</v>
      </c>
      <c r="F287" s="19">
        <v>36</v>
      </c>
      <c r="G287" s="431">
        <v>46.11</v>
      </c>
      <c r="H287" s="20">
        <f t="shared" si="67"/>
        <v>1659.96</v>
      </c>
      <c r="I287" s="320"/>
      <c r="J287" s="320"/>
    </row>
    <row r="288" spans="1:10" ht="30" customHeight="1" x14ac:dyDescent="0.25">
      <c r="A288" s="208">
        <f>IF(AND(B288&lt;&gt;"",C288&lt;&gt;""),LARGE($A$14:$A287,1)+1,"")</f>
        <v>155</v>
      </c>
      <c r="B288" s="16" t="s">
        <v>4715</v>
      </c>
      <c r="C288" s="17" t="s">
        <v>5155</v>
      </c>
      <c r="D288" s="18" t="str">
        <f>IF(B288&amp;C288="","",VLOOKUP(B288&amp;C288,SERVIÇOS!C:F,2,0))</f>
        <v>Cotovelo 45º, PVC, Soldável, DN 25mm, instalado em ramal ou sub-ramal de água fornecimento e instalação.</v>
      </c>
      <c r="E288" s="16" t="str">
        <f>IF(B288&amp;C288="","",VLOOKUP(B288&amp;C288,SERVIÇOS!C:F,3,0))</f>
        <v>un</v>
      </c>
      <c r="F288" s="19">
        <v>1</v>
      </c>
      <c r="G288" s="20">
        <f>IF(B288&amp;C288="","",VLOOKUP(B288&amp;C288,SERVIÇOS!C:F,4,0))*1.1033</f>
        <v>8.7602019999999996</v>
      </c>
      <c r="H288" s="20">
        <f t="shared" si="67"/>
        <v>8.76</v>
      </c>
      <c r="I288" s="320"/>
      <c r="J288" s="320"/>
    </row>
    <row r="289" spans="1:10" ht="30" customHeight="1" x14ac:dyDescent="0.25">
      <c r="A289" s="208">
        <f>IF(AND(B289&lt;&gt;"",C289&lt;&gt;""),LARGE($A$14:$A288,1)+1,"")</f>
        <v>156</v>
      </c>
      <c r="B289" s="16" t="s">
        <v>4715</v>
      </c>
      <c r="C289" s="17" t="s">
        <v>5186</v>
      </c>
      <c r="D289" s="18" t="str">
        <f>IF(B289&amp;C289="","",VLOOKUP(B289&amp;C289,SERVIÇOS!C:F,2,0))</f>
        <v>Cotovelo 45º, PVC, Soldável, DN 32mm, instalado em ramal ou sub-ramal de água fornecimento e instalação.</v>
      </c>
      <c r="E289" s="16" t="str">
        <f>IF(B289&amp;C289="","",VLOOKUP(B289&amp;C289,SERVIÇOS!C:F,3,0))</f>
        <v>un</v>
      </c>
      <c r="F289" s="19">
        <v>3</v>
      </c>
      <c r="G289" s="20">
        <f>IF(B289&amp;C289="","",VLOOKUP(B289&amp;C289,SERVIÇOS!C:F,4,0))*1.1033</f>
        <v>9.7973039999999987</v>
      </c>
      <c r="H289" s="20">
        <f t="shared" si="67"/>
        <v>29.39</v>
      </c>
      <c r="I289" s="320"/>
      <c r="J289" s="320"/>
    </row>
    <row r="290" spans="1:10" ht="30" customHeight="1" x14ac:dyDescent="0.25">
      <c r="A290" s="208">
        <f>IF(AND(B290&lt;&gt;"",C290&lt;&gt;""),LARGE($A$14:$A289,1)+1,"")</f>
        <v>157</v>
      </c>
      <c r="B290" s="16" t="s">
        <v>4715</v>
      </c>
      <c r="C290" s="17" t="s">
        <v>5188</v>
      </c>
      <c r="D290" s="18" t="str">
        <f>IF(B290&amp;C290="","",VLOOKUP(B290&amp;C290,SERVIÇOS!C:F,2,0))</f>
        <v>Cotovelo 45º, PVC, Soldável, DN 50mm, instalado em ramal ou sub-ramal de água fornecimento e instalação.</v>
      </c>
      <c r="E290" s="16" t="str">
        <f>IF(B290&amp;C290="","",VLOOKUP(B290&amp;C290,SERVIÇOS!C:F,3,0))</f>
        <v>un</v>
      </c>
      <c r="F290" s="19">
        <v>4</v>
      </c>
      <c r="G290" s="20">
        <f>IF(B290&amp;C290="","",VLOOKUP(B290&amp;C290,SERVIÇOS!C:F,4,0))*1.1033</f>
        <v>14.188437999999998</v>
      </c>
      <c r="H290" s="20">
        <f t="shared" si="67"/>
        <v>56.75</v>
      </c>
      <c r="I290" s="320"/>
      <c r="J290" s="320"/>
    </row>
    <row r="291" spans="1:10" ht="30" customHeight="1" x14ac:dyDescent="0.25">
      <c r="A291" s="208">
        <f>IF(AND(B291&lt;&gt;"",C291&lt;&gt;""),LARGE($A$14:$A290,1)+1,"")</f>
        <v>158</v>
      </c>
      <c r="B291" s="16" t="s">
        <v>4715</v>
      </c>
      <c r="C291" s="17" t="s">
        <v>5189</v>
      </c>
      <c r="D291" s="18" t="str">
        <f>IF(B291&amp;C291="","",VLOOKUP(B291&amp;C291,SERVIÇOS!C:F,2,0))</f>
        <v>Cotovelo 45º, PVC, Soldável, DN 60mm, instalado em ramal ou sub-ramal de água fornecimento e instalação.</v>
      </c>
      <c r="E291" s="16" t="str">
        <f>IF(B291&amp;C291="","",VLOOKUP(B291&amp;C291,SERVIÇOS!C:F,3,0))</f>
        <v>un</v>
      </c>
      <c r="F291" s="19">
        <v>2</v>
      </c>
      <c r="G291" s="20">
        <f>IF(B291&amp;C291="","",VLOOKUP(B291&amp;C291,SERVIÇOS!C:F,4,0))*1.1033</f>
        <v>19.120188999999996</v>
      </c>
      <c r="H291" s="20">
        <f t="shared" si="67"/>
        <v>38.24</v>
      </c>
      <c r="I291" s="320"/>
      <c r="J291" s="320"/>
    </row>
    <row r="292" spans="1:10" ht="30" customHeight="1" x14ac:dyDescent="0.25">
      <c r="A292" s="208">
        <f>IF(AND(B292&lt;&gt;"",C292&lt;&gt;""),LARGE($A$14:$A291,1)+1,"")</f>
        <v>159</v>
      </c>
      <c r="B292" s="16" t="s">
        <v>4715</v>
      </c>
      <c r="C292" s="17" t="s">
        <v>5197</v>
      </c>
      <c r="D292" s="18" t="str">
        <f>IF(B292&amp;C292="","",VLOOKUP(B292&amp;C292,SERVIÇOS!C:F,2,0))</f>
        <v>Te, PVC, Soldável, DN 25mm, instalado em ramal ou sub-ramal de água fornecimento e instalação.</v>
      </c>
      <c r="E292" s="16" t="str">
        <f>IF(B292&amp;C292="","",VLOOKUP(B292&amp;C292,SERVIÇOS!C:F,3,0))</f>
        <v>un</v>
      </c>
      <c r="F292" s="19">
        <v>10</v>
      </c>
      <c r="G292" s="20">
        <f>IF(B292&amp;C292="","",VLOOKUP(B292&amp;C292,SERVIÇOS!C:F,4,0))*1.1033</f>
        <v>8.1313209999999998</v>
      </c>
      <c r="H292" s="20">
        <f t="shared" si="67"/>
        <v>81.31</v>
      </c>
      <c r="I292" s="320"/>
      <c r="J292" s="320"/>
    </row>
    <row r="293" spans="1:10" ht="30" customHeight="1" x14ac:dyDescent="0.25">
      <c r="A293" s="208">
        <f>IF(AND(B293&lt;&gt;"",C293&lt;&gt;""),LARGE($A$14:$A292,1)+1,"")</f>
        <v>160</v>
      </c>
      <c r="B293" s="16" t="s">
        <v>4715</v>
      </c>
      <c r="C293" s="17" t="s">
        <v>5198</v>
      </c>
      <c r="D293" s="18" t="str">
        <f>IF(B293&amp;C293="","",VLOOKUP(B293&amp;C293,SERVIÇOS!C:F,2,0))</f>
        <v>Te, PVC, Soldável, DN 32mm, instalado em ramal ou sub-ramal de água fornecimento e instalação.</v>
      </c>
      <c r="E293" s="16" t="str">
        <f>IF(B293&amp;C293="","",VLOOKUP(B293&amp;C293,SERVIÇOS!C:F,3,0))</f>
        <v>un</v>
      </c>
      <c r="F293" s="19">
        <v>4</v>
      </c>
      <c r="G293" s="20">
        <f>IF(B293&amp;C293="","",VLOOKUP(B293&amp;C293,SERVIÇOS!C:F,4,0))*1.1033</f>
        <v>9.6649079999999987</v>
      </c>
      <c r="H293" s="20">
        <f t="shared" si="67"/>
        <v>38.65</v>
      </c>
      <c r="I293" s="320"/>
      <c r="J293" s="320"/>
    </row>
    <row r="294" spans="1:10" ht="30" customHeight="1" x14ac:dyDescent="0.25">
      <c r="A294" s="208">
        <f>IF(AND(B294&lt;&gt;"",C294&lt;&gt;""),LARGE($A$14:$A293,1)+1,"")</f>
        <v>161</v>
      </c>
      <c r="B294" s="16" t="s">
        <v>4715</v>
      </c>
      <c r="C294" s="17" t="s">
        <v>5199</v>
      </c>
      <c r="D294" s="18" t="str">
        <f>IF(B294&amp;C294="","",VLOOKUP(B294&amp;C294,SERVIÇOS!C:F,2,0))</f>
        <v>Te, PVC, Soldável, DN 50mm, instalado em ramal ou sub-ramal de água fornecimento e instalação.</v>
      </c>
      <c r="E294" s="16" t="str">
        <f>IF(B294&amp;C294="","",VLOOKUP(B294&amp;C294,SERVIÇOS!C:F,3,0))</f>
        <v>un</v>
      </c>
      <c r="F294" s="19">
        <v>8</v>
      </c>
      <c r="G294" s="20">
        <f>IF(B294&amp;C294="","",VLOOKUP(B294&amp;C294,SERVIÇOS!C:F,4,0))*1.1033</f>
        <v>14.585626</v>
      </c>
      <c r="H294" s="20">
        <f t="shared" si="67"/>
        <v>116.68</v>
      </c>
      <c r="I294" s="320"/>
      <c r="J294" s="320"/>
    </row>
    <row r="295" spans="1:10" ht="30" customHeight="1" x14ac:dyDescent="0.25">
      <c r="A295" s="208">
        <f>IF(AND(B295&lt;&gt;"",C295&lt;&gt;""),LARGE($A$14:$A294,1)+1,"")</f>
        <v>162</v>
      </c>
      <c r="B295" s="16" t="s">
        <v>4715</v>
      </c>
      <c r="C295" s="17" t="s">
        <v>5200</v>
      </c>
      <c r="D295" s="18" t="str">
        <f>IF(B295&amp;C295="","",VLOOKUP(B295&amp;C295,SERVIÇOS!C:F,2,0))</f>
        <v>Te, PVC, Soldável, DN 60mm, instalado em ramal ou sub-ramal de água fornecimento e instalação.</v>
      </c>
      <c r="E295" s="16" t="str">
        <f>IF(B295&amp;C295="","",VLOOKUP(B295&amp;C295,SERVIÇOS!C:F,3,0))</f>
        <v>un</v>
      </c>
      <c r="F295" s="19">
        <v>5</v>
      </c>
      <c r="G295" s="20">
        <f>IF(B295&amp;C295="","",VLOOKUP(B295&amp;C295,SERVIÇOS!C:F,4,0))*1.1033</f>
        <v>28.553404</v>
      </c>
      <c r="H295" s="20">
        <f t="shared" si="67"/>
        <v>142.76</v>
      </c>
      <c r="I295" s="320"/>
      <c r="J295" s="320"/>
    </row>
    <row r="296" spans="1:10" ht="30" customHeight="1" x14ac:dyDescent="0.25">
      <c r="A296" s="208">
        <f>IF(AND(B296&lt;&gt;"",C296&lt;&gt;""),LARGE($A$14:$A295,1)+1,"")</f>
        <v>163</v>
      </c>
      <c r="B296" s="16" t="s">
        <v>4715</v>
      </c>
      <c r="C296" s="17" t="s">
        <v>5205</v>
      </c>
      <c r="D296" s="18" t="str">
        <f>IF(B296&amp;C296="","",VLOOKUP(B296&amp;C296,SERVIÇOS!C:F,2,0))</f>
        <v>Joelho 90 graus com bucha de latão, pvc, soldável  DN 25MM, X 3/4 instalado em ramal ou sub-ramal de água fornecimento e instalação.</v>
      </c>
      <c r="E296" s="16" t="str">
        <f>IF(B296&amp;C296="","",VLOOKUP(B296&amp;C296,SERVIÇOS!C:F,3,0))</f>
        <v>un</v>
      </c>
      <c r="F296" s="19">
        <v>5</v>
      </c>
      <c r="G296" s="20">
        <f>IF(B296&amp;C296="","",VLOOKUP(B296&amp;C296,SERVIÇOS!C:F,4,0))*1.1033</f>
        <v>11.408121999999999</v>
      </c>
      <c r="H296" s="20">
        <f t="shared" si="67"/>
        <v>57.04</v>
      </c>
      <c r="I296" s="320"/>
      <c r="J296" s="320"/>
    </row>
    <row r="297" spans="1:10" ht="30" customHeight="1" x14ac:dyDescent="0.25">
      <c r="A297" s="208">
        <f>IF(AND(B297&lt;&gt;"",C297&lt;&gt;""),LARGE($A$14:$A296,1)+1,"")</f>
        <v>164</v>
      </c>
      <c r="B297" s="16" t="s">
        <v>4715</v>
      </c>
      <c r="C297" s="17" t="s">
        <v>5209</v>
      </c>
      <c r="D297" s="18" t="str">
        <f>IF(B297&amp;C297="","",VLOOKUP(B297&amp;C297,SERVIÇOS!C:F,2,0))</f>
        <v>União PVC, Soldável, 25 mm, para água fria predial instalado em ramal ou sub-ramal de água fornecimento e instalação.</v>
      </c>
      <c r="E297" s="16" t="str">
        <f>IF(B297&amp;C297="","",VLOOKUP(B297&amp;C297,SERVIÇOS!C:F,3,0))</f>
        <v>un</v>
      </c>
      <c r="F297" s="19">
        <v>8</v>
      </c>
      <c r="G297" s="20">
        <f>IF(B297&amp;C297="","",VLOOKUP(B297&amp;C297,SERVIÇOS!C:F,4,0))*1.1033</f>
        <v>10.437218</v>
      </c>
      <c r="H297" s="20">
        <f t="shared" si="67"/>
        <v>83.49</v>
      </c>
      <c r="I297" s="320"/>
      <c r="J297" s="320"/>
    </row>
    <row r="298" spans="1:10" ht="30" customHeight="1" x14ac:dyDescent="0.25">
      <c r="A298" s="208">
        <f>IF(AND(B298&lt;&gt;"",C298&lt;&gt;""),LARGE($A$14:$A297,1)+1,"")</f>
        <v>165</v>
      </c>
      <c r="B298" s="16" t="s">
        <v>4715</v>
      </c>
      <c r="C298" s="17" t="s">
        <v>5214</v>
      </c>
      <c r="D298" s="18" t="str">
        <f>IF(B298&amp;C298="","",VLOOKUP(B298&amp;C298,SERVIÇOS!C:F,2,0))</f>
        <v>Luva de redução soldável, PVC 25 mm X 20 mm, para água fria predial instalado em ramal ou sub-ramal de água fornecimento e instalação.</v>
      </c>
      <c r="E298" s="16" t="str">
        <f>IF(B298&amp;C298="","",VLOOKUP(B298&amp;C298,SERVIÇOS!C:F,3,0))</f>
        <v>un</v>
      </c>
      <c r="F298" s="19">
        <v>3</v>
      </c>
      <c r="G298" s="20">
        <f>IF(B298&amp;C298="","",VLOOKUP(B298&amp;C298,SERVIÇOS!C:F,4,0))*1.1033</f>
        <v>2.7692829999999997</v>
      </c>
      <c r="H298" s="20">
        <f t="shared" si="67"/>
        <v>8.3000000000000007</v>
      </c>
      <c r="I298" s="320"/>
      <c r="J298" s="320"/>
    </row>
    <row r="299" spans="1:10" ht="30" customHeight="1" x14ac:dyDescent="0.25">
      <c r="A299" s="208">
        <f>IF(AND(B299&lt;&gt;"",C299&lt;&gt;""),LARGE($A$14:$A298,1)+1,"")</f>
        <v>166</v>
      </c>
      <c r="B299" s="16" t="s">
        <v>4715</v>
      </c>
      <c r="C299" s="17" t="s">
        <v>5215</v>
      </c>
      <c r="D299" s="18" t="str">
        <f>IF(B299&amp;C299="","",VLOOKUP(B299&amp;C299,SERVIÇOS!C:F,2,0))</f>
        <v>Luva soldável, PVC 25mm, para água fria predial instalado em ramal ou sub-ramal de água fornecimento e instalação.</v>
      </c>
      <c r="E299" s="16" t="str">
        <f>IF(B299&amp;C299="","",VLOOKUP(B299&amp;C299,SERVIÇOS!C:F,3,0))</f>
        <v>un</v>
      </c>
      <c r="F299" s="19">
        <v>12</v>
      </c>
      <c r="G299" s="20">
        <f>IF(B299&amp;C299="","",VLOOKUP(B299&amp;C299,SERVIÇOS!C:F,4,0))*1.1033</f>
        <v>2.8796130000000004</v>
      </c>
      <c r="H299" s="20">
        <f t="shared" si="67"/>
        <v>34.549999999999997</v>
      </c>
      <c r="I299" s="320"/>
      <c r="J299" s="320"/>
    </row>
    <row r="300" spans="1:10" ht="30" customHeight="1" x14ac:dyDescent="0.25">
      <c r="A300" s="208">
        <f>IF(AND(B300&lt;&gt;"",C300&lt;&gt;""),LARGE($A$14:$A299,1)+1,"")</f>
        <v>167</v>
      </c>
      <c r="B300" s="16" t="s">
        <v>4715</v>
      </c>
      <c r="C300" s="17" t="s">
        <v>5216</v>
      </c>
      <c r="D300" s="18" t="str">
        <f>IF(B300&amp;C300="","",VLOOKUP(B300&amp;C300,SERVIÇOS!C:F,2,0))</f>
        <v>Luva soldável, PVC 32mm, para água fria predial instalado em ramal ou sub-ramal de água fornecimento e instalação.</v>
      </c>
      <c r="E300" s="16" t="str">
        <f>IF(B300&amp;C300="","",VLOOKUP(B300&amp;C300,SERVIÇOS!C:F,3,0))</f>
        <v>un</v>
      </c>
      <c r="F300" s="19">
        <v>2</v>
      </c>
      <c r="G300" s="20">
        <f>IF(B300&amp;C300="","",VLOOKUP(B300&amp;C300,SERVIÇOS!C:F,4,0))*1.1033</f>
        <v>3.3760979999999998</v>
      </c>
      <c r="H300" s="20">
        <f t="shared" si="67"/>
        <v>6.75</v>
      </c>
      <c r="I300" s="320"/>
      <c r="J300" s="320"/>
    </row>
    <row r="301" spans="1:10" ht="30" customHeight="1" x14ac:dyDescent="0.25">
      <c r="A301" s="208">
        <f>IF(AND(B301&lt;&gt;"",C301&lt;&gt;""),LARGE($A$14:$A300,1)+1,"")</f>
        <v>168</v>
      </c>
      <c r="B301" s="16" t="s">
        <v>4715</v>
      </c>
      <c r="C301" s="17" t="s">
        <v>5217</v>
      </c>
      <c r="D301" s="18" t="str">
        <f>IF(B301&amp;C301="","",VLOOKUP(B301&amp;C301,SERVIÇOS!C:F,2,0))</f>
        <v>Luva soldável, PVC 50mm, para água fria predial instalado em ramal ou sub-ramal de água fornecimento e instalação.</v>
      </c>
      <c r="E301" s="16" t="str">
        <f>IF(B301&amp;C301="","",VLOOKUP(B301&amp;C301,SERVIÇOS!C:F,3,0))</f>
        <v>un</v>
      </c>
      <c r="F301" s="19">
        <v>3</v>
      </c>
      <c r="G301" s="20">
        <f>IF(B301&amp;C301="","",VLOOKUP(B301&amp;C301,SERVIÇOS!C:F,4,0))*1.1033</f>
        <v>4.8765859999999996</v>
      </c>
      <c r="H301" s="20">
        <f t="shared" si="67"/>
        <v>14.62</v>
      </c>
      <c r="I301" s="320"/>
      <c r="J301" s="320"/>
    </row>
    <row r="302" spans="1:10" ht="30" customHeight="1" x14ac:dyDescent="0.25">
      <c r="A302" s="208">
        <f>IF(AND(B302&lt;&gt;"",C302&lt;&gt;""),LARGE($A$14:$A301,1)+1,"")</f>
        <v>169</v>
      </c>
      <c r="B302" s="16" t="s">
        <v>4715</v>
      </c>
      <c r="C302" s="17" t="s">
        <v>5218</v>
      </c>
      <c r="D302" s="18" t="str">
        <f>IF(B302&amp;C302="","",VLOOKUP(B302&amp;C302,SERVIÇOS!C:F,2,0))</f>
        <v>Luva soldável, PVC 60mm, para água fria predial instalado em ramal ou sub-ramal de água fornecimento e instalação.</v>
      </c>
      <c r="E302" s="16" t="str">
        <f>IF(B302&amp;C302="","",VLOOKUP(B302&amp;C302,SERVIÇOS!C:F,3,0))</f>
        <v>un</v>
      </c>
      <c r="F302" s="19">
        <v>6</v>
      </c>
      <c r="G302" s="20">
        <f>IF(B302&amp;C302="","",VLOOKUP(B302&amp;C302,SERVIÇOS!C:F,4,0))*1.1033</f>
        <v>9.1132580000000019</v>
      </c>
      <c r="H302" s="20">
        <f t="shared" si="67"/>
        <v>54.67</v>
      </c>
      <c r="I302" s="320"/>
      <c r="J302" s="320"/>
    </row>
    <row r="303" spans="1:10" ht="30" customHeight="1" x14ac:dyDescent="0.25">
      <c r="A303" s="208">
        <f>IF(AND(B303&lt;&gt;"",C303&lt;&gt;""),LARGE($A$14:$A302,1)+1,"")</f>
        <v>170</v>
      </c>
      <c r="B303" s="16" t="s">
        <v>4715</v>
      </c>
      <c r="C303" s="17" t="s">
        <v>5219</v>
      </c>
      <c r="D303" s="18" t="str">
        <f>IF(B303&amp;C303="","",VLOOKUP(B303&amp;C303,SERVIÇOS!C:F,2,0))</f>
        <v>Adaptador curto com bolsa e rosca para registro, PVC, soldável DN 50mmx1.1/2" instalação em prumada de água fornecimento e instalação</v>
      </c>
      <c r="E303" s="16" t="str">
        <f>IF(B303&amp;C303="","",VLOOKUP(B303&amp;C303,SERVIÇOS!C:F,3,0))</f>
        <v>un</v>
      </c>
      <c r="F303" s="19">
        <v>30</v>
      </c>
      <c r="G303" s="20">
        <f>IF(B303&amp;C303="","",VLOOKUP(B303&amp;C303,SERVIÇOS!C:F,4,0))*1.1033</f>
        <v>7.061119999999999</v>
      </c>
      <c r="H303" s="20">
        <f t="shared" si="67"/>
        <v>211.83</v>
      </c>
      <c r="I303" s="320"/>
      <c r="J303" s="320"/>
    </row>
    <row r="304" spans="1:10" ht="30" customHeight="1" x14ac:dyDescent="0.25">
      <c r="A304" s="208">
        <f>IF(AND(B304&lt;&gt;"",C304&lt;&gt;""),LARGE($A$14:$A303,1)+1,"")</f>
        <v>171</v>
      </c>
      <c r="B304" s="16" t="s">
        <v>4715</v>
      </c>
      <c r="C304" s="17" t="s">
        <v>5220</v>
      </c>
      <c r="D304" s="18" t="str">
        <f>IF(B304&amp;C304="","",VLOOKUP(B304&amp;C304,SERVIÇOS!C:F,2,0))</f>
        <v>Adaptador PVC Soldável, com flanges livres, 50mm x 1 1/2" para caixa d´água, fornecimento e instalação</v>
      </c>
      <c r="E304" s="16" t="str">
        <f>IF(B304&amp;C304="","",VLOOKUP(B304&amp;C304,SERVIÇOS!C:F,3,0))</f>
        <v>un</v>
      </c>
      <c r="F304" s="19">
        <v>3</v>
      </c>
      <c r="G304" s="20">
        <f>IF(B304&amp;C304="","",VLOOKUP(B304&amp;C304,SERVIÇOS!C:F,4,0))*1.1033</f>
        <v>27.174279000000002</v>
      </c>
      <c r="H304" s="20">
        <f t="shared" si="67"/>
        <v>81.52</v>
      </c>
      <c r="I304" s="320"/>
      <c r="J304" s="320"/>
    </row>
    <row r="305" spans="1:10" ht="30" customHeight="1" x14ac:dyDescent="0.25">
      <c r="A305" s="208">
        <f>IF(AND(B305&lt;&gt;"",C305&lt;&gt;""),LARGE($A$14:$A304,1)+1,"")</f>
        <v>172</v>
      </c>
      <c r="B305" s="16" t="s">
        <v>4715</v>
      </c>
      <c r="C305" s="17" t="s">
        <v>5221</v>
      </c>
      <c r="D305" s="18" t="str">
        <f>IF(B305&amp;C305="","",VLOOKUP(B305&amp;C305,SERVIÇOS!C:F,2,0))</f>
        <v>Adaptador PVC Soldável, com flanges livres, 60mm x 2" para caixa d´água, fornecimento e instalação</v>
      </c>
      <c r="E305" s="16" t="str">
        <f>IF(B305&amp;C305="","",VLOOKUP(B305&amp;C305,SERVIÇOS!C:F,3,0))</f>
        <v>un</v>
      </c>
      <c r="F305" s="19">
        <v>4</v>
      </c>
      <c r="G305" s="20">
        <f>IF(B305&amp;C305="","",VLOOKUP(B305&amp;C305,SERVIÇOS!C:F,4,0))*1.1033</f>
        <v>27.174279000000002</v>
      </c>
      <c r="H305" s="20">
        <f t="shared" si="66"/>
        <v>108.69</v>
      </c>
      <c r="I305" s="320"/>
      <c r="J305" s="320"/>
    </row>
    <row r="306" spans="1:10" ht="30" customHeight="1" x14ac:dyDescent="0.25">
      <c r="A306" s="208">
        <f>IF(AND(B306&lt;&gt;"",C306&lt;&gt;""),LARGE($A$14:$A305,1)+1,"")</f>
        <v>173</v>
      </c>
      <c r="B306" s="16" t="s">
        <v>4398</v>
      </c>
      <c r="C306" s="337">
        <v>480301</v>
      </c>
      <c r="D306" s="18" t="str">
        <f>IF(B306&amp;C306="","",VLOOKUP(B306&amp;C306,SERVIÇOS!C:F,2,0))</f>
        <v>Reservatório metálico cilíndrico horizontal - capacidade de 1.000 litros</v>
      </c>
      <c r="E306" s="16" t="str">
        <f>IF(B306&amp;C306="","",VLOOKUP(B306&amp;C306,SERVIÇOS!C:F,3,0))</f>
        <v>cj</v>
      </c>
      <c r="F306" s="19">
        <v>4</v>
      </c>
      <c r="G306" s="431">
        <v>1677.9</v>
      </c>
      <c r="H306" s="20">
        <f t="shared" si="66"/>
        <v>6711.6</v>
      </c>
      <c r="I306" s="320"/>
      <c r="J306" s="320"/>
    </row>
    <row r="307" spans="1:10" ht="30" customHeight="1" x14ac:dyDescent="0.25">
      <c r="A307" s="208">
        <f>IF(AND(B307&lt;&gt;"",C307&lt;&gt;""),LARGE($A$14:$A306,1)+1,"")</f>
        <v>174</v>
      </c>
      <c r="B307" s="16" t="s">
        <v>4398</v>
      </c>
      <c r="C307" s="337">
        <v>480504</v>
      </c>
      <c r="D307" s="18" t="str">
        <f>IF(B307&amp;C307="","",VLOOKUP(B307&amp;C307,SERVIÇOS!C:F,2,0))</f>
        <v>Torneira de bóia, DN= 1 1/2´</v>
      </c>
      <c r="E307" s="16" t="str">
        <f>IF(B307&amp;C307="","",VLOOKUP(B307&amp;C307,SERVIÇOS!C:F,3,0))</f>
        <v>un</v>
      </c>
      <c r="F307" s="19">
        <v>2</v>
      </c>
      <c r="G307" s="431">
        <v>125.37</v>
      </c>
      <c r="H307" s="20">
        <f t="shared" si="66"/>
        <v>250.74</v>
      </c>
      <c r="I307" s="320"/>
      <c r="J307" s="320"/>
    </row>
    <row r="308" spans="1:10" ht="5.0999999999999996" customHeight="1" x14ac:dyDescent="0.25">
      <c r="A308" s="73"/>
      <c r="B308" s="2"/>
      <c r="C308" s="2"/>
      <c r="D308" s="21"/>
      <c r="E308" s="2"/>
      <c r="F308" s="2"/>
      <c r="G308" s="2"/>
      <c r="H308" s="74"/>
      <c r="J308" s="320"/>
    </row>
    <row r="309" spans="1:10" x14ac:dyDescent="0.25">
      <c r="A309" s="9"/>
      <c r="B309" s="10" t="s">
        <v>4937</v>
      </c>
      <c r="C309" s="11"/>
      <c r="D309" s="37"/>
      <c r="E309" s="12"/>
      <c r="F309" s="13"/>
      <c r="G309" s="13"/>
      <c r="H309" s="14">
        <f>SUM(H311:H312)</f>
        <v>11449.08</v>
      </c>
      <c r="J309" s="320"/>
    </row>
    <row r="310" spans="1:10" ht="5.0999999999999996" customHeight="1" x14ac:dyDescent="0.25">
      <c r="A310" s="73"/>
      <c r="B310" s="2"/>
      <c r="C310" s="2"/>
      <c r="D310" s="21"/>
      <c r="E310" s="2"/>
      <c r="F310" s="2"/>
      <c r="G310" s="2"/>
      <c r="H310" s="74"/>
      <c r="J310" s="320"/>
    </row>
    <row r="311" spans="1:10" ht="30" customHeight="1" x14ac:dyDescent="0.25">
      <c r="A311" s="208">
        <f>IF(AND(B311&lt;&gt;"",C311&lt;&gt;""),LARGE($A$14:$A308,1)+1,"")</f>
        <v>175</v>
      </c>
      <c r="B311" s="16" t="s">
        <v>4398</v>
      </c>
      <c r="C311" s="337">
        <v>430351</v>
      </c>
      <c r="D311" s="18" t="str">
        <f>IF(B311&amp;C311="","",VLOOKUP(B311&amp;C311,SERVIÇOS!C:F,2,0))</f>
        <v>Coletor em alumínio para sistema de aquecimento solar com área coletora até 2,00m²</v>
      </c>
      <c r="E311" s="16" t="str">
        <f>IF(B311&amp;C311="","",VLOOKUP(B311&amp;C311,SERVIÇOS!C:F,3,0))</f>
        <v>un</v>
      </c>
      <c r="F311" s="19">
        <v>4</v>
      </c>
      <c r="G311" s="431">
        <v>894.3</v>
      </c>
      <c r="H311" s="20">
        <f t="shared" ref="H311:H312" si="68">IF(G311="","",TRUNC(G311*F311,2))</f>
        <v>3577.2</v>
      </c>
      <c r="I311" s="320"/>
      <c r="J311" s="320"/>
    </row>
    <row r="312" spans="1:10" ht="30" customHeight="1" x14ac:dyDescent="0.25">
      <c r="A312" s="208">
        <f>IF(AND(B312&lt;&gt;"",C312&lt;&gt;""),LARGE($A$14:$A311,1)+1,"")</f>
        <v>176</v>
      </c>
      <c r="B312" s="16" t="s">
        <v>4398</v>
      </c>
      <c r="C312" s="337">
        <v>430355</v>
      </c>
      <c r="D312" s="18" t="str">
        <f>IF(B312&amp;C312="","",VLOOKUP(B312&amp;C312,SERVIÇOS!C:F,2,0))</f>
        <v>Reservatório térmico horizontal em aço inoxidável AISI 304, capacidade de 500 litros</v>
      </c>
      <c r="E312" s="16" t="str">
        <f>IF(B312&amp;C312="","",VLOOKUP(B312&amp;C312,SERVIÇOS!C:F,3,0))</f>
        <v>un</v>
      </c>
      <c r="F312" s="19">
        <v>4</v>
      </c>
      <c r="G312" s="431">
        <v>1967.97</v>
      </c>
      <c r="H312" s="20">
        <f t="shared" si="68"/>
        <v>7871.88</v>
      </c>
      <c r="I312" s="320"/>
      <c r="J312" s="320"/>
    </row>
    <row r="313" spans="1:10" ht="5.0999999999999996" customHeight="1" x14ac:dyDescent="0.25">
      <c r="A313" s="73"/>
      <c r="B313" s="2"/>
      <c r="C313" s="2"/>
      <c r="D313" s="21"/>
      <c r="E313" s="2"/>
      <c r="F313" s="2"/>
      <c r="G313" s="2"/>
      <c r="H313" s="74"/>
      <c r="J313" s="320"/>
    </row>
    <row r="314" spans="1:10" x14ac:dyDescent="0.25">
      <c r="A314" s="9"/>
      <c r="B314" s="10" t="s">
        <v>4936</v>
      </c>
      <c r="C314" s="11"/>
      <c r="D314" s="37"/>
      <c r="E314" s="12"/>
      <c r="F314" s="13"/>
      <c r="G314" s="13"/>
      <c r="H314" s="14">
        <f>SUM(H316:H322)</f>
        <v>1020.83</v>
      </c>
      <c r="J314" s="320"/>
    </row>
    <row r="315" spans="1:10" ht="5.0999999999999996" customHeight="1" x14ac:dyDescent="0.25">
      <c r="A315" s="73"/>
      <c r="B315" s="2"/>
      <c r="C315" s="2"/>
      <c r="D315" s="21"/>
      <c r="E315" s="2"/>
      <c r="F315" s="2"/>
      <c r="G315" s="2"/>
      <c r="H315" s="74"/>
      <c r="J315" s="320"/>
    </row>
    <row r="316" spans="1:10" ht="30" customHeight="1" x14ac:dyDescent="0.25">
      <c r="A316" s="208">
        <f>IF(AND(B316&lt;&gt;"",C316&lt;&gt;""),LARGE($A$14:$A315,1)+1,"")</f>
        <v>177</v>
      </c>
      <c r="B316" s="16" t="s">
        <v>4398</v>
      </c>
      <c r="C316" s="337">
        <v>461002</v>
      </c>
      <c r="D316" s="18" t="str">
        <f>IF(B316&amp;C316="","",VLOOKUP(B316&amp;C316,SERVIÇOS!C:F,2,0))</f>
        <v>Tubo de cobre classe A, DN= 22mm (3/4´), inclusive conexões</v>
      </c>
      <c r="E316" s="16" t="str">
        <f>IF(B316&amp;C316="","",VLOOKUP(B316&amp;C316,SERVIÇOS!C:F,3,0))</f>
        <v>m</v>
      </c>
      <c r="F316" s="19">
        <v>6</v>
      </c>
      <c r="G316" s="431">
        <v>57.85</v>
      </c>
      <c r="H316" s="20">
        <f t="shared" si="66"/>
        <v>347.1</v>
      </c>
      <c r="I316" s="320"/>
      <c r="J316" s="320"/>
    </row>
    <row r="317" spans="1:10" ht="30" customHeight="1" x14ac:dyDescent="0.25">
      <c r="A317" s="208">
        <f>IF(AND(B317&lt;&gt;"",C317&lt;&gt;""),LARGE($A$14:$A316,1)+1,"")</f>
        <v>178</v>
      </c>
      <c r="B317" s="16" t="s">
        <v>4398</v>
      </c>
      <c r="C317" s="337">
        <v>461003</v>
      </c>
      <c r="D317" s="18" t="str">
        <f>IF(B317&amp;C317="","",VLOOKUP(B317&amp;C317,SERVIÇOS!C:F,2,0))</f>
        <v>Tubo de cobre classe A, DN= 28mm (1´), inclusive conexões</v>
      </c>
      <c r="E317" s="16" t="str">
        <f>IF(B317&amp;C317="","",VLOOKUP(B317&amp;C317,SERVIÇOS!C:F,3,0))</f>
        <v>m</v>
      </c>
      <c r="F317" s="19">
        <v>6</v>
      </c>
      <c r="G317" s="431">
        <v>69.19</v>
      </c>
      <c r="H317" s="20">
        <f t="shared" si="66"/>
        <v>415.14</v>
      </c>
      <c r="I317" s="320"/>
      <c r="J317" s="320"/>
    </row>
    <row r="318" spans="1:10" ht="30" customHeight="1" x14ac:dyDescent="0.25">
      <c r="A318" s="208">
        <f>IF(AND(B318&lt;&gt;"",C318&lt;&gt;""),LARGE($A$14:$A317,1)+1,"")</f>
        <v>179</v>
      </c>
      <c r="B318" s="16" t="s">
        <v>4715</v>
      </c>
      <c r="C318" s="17" t="s">
        <v>5222</v>
      </c>
      <c r="D318" s="18" t="str">
        <f>IF(B318&amp;C318="","",VLOOKUP(B318&amp;C318,SERVIÇOS!C:F,2,0))</f>
        <v>Cotovelo de 90º 28mm solda em cobre para água quente, Fornecimento e Instalação</v>
      </c>
      <c r="E318" s="16" t="str">
        <f>IF(B318&amp;C318="","",VLOOKUP(B318&amp;C318,SERVIÇOS!C:F,3,0))</f>
        <v>un</v>
      </c>
      <c r="F318" s="19">
        <v>4</v>
      </c>
      <c r="G318" s="20">
        <f>IF(B318&amp;C318="","",VLOOKUP(B318&amp;C318,SERVIÇOS!C:F,4,0))*1.1033</f>
        <v>14.552527</v>
      </c>
      <c r="H318" s="20">
        <f t="shared" si="66"/>
        <v>58.21</v>
      </c>
      <c r="I318" s="320"/>
      <c r="J318" s="320"/>
    </row>
    <row r="319" spans="1:10" ht="30" customHeight="1" x14ac:dyDescent="0.25">
      <c r="A319" s="208">
        <f>IF(AND(B319&lt;&gt;"",C319&lt;&gt;""),LARGE($A$14:$A318,1)+1,"")</f>
        <v>180</v>
      </c>
      <c r="B319" s="16" t="s">
        <v>4715</v>
      </c>
      <c r="C319" s="17" t="s">
        <v>5223</v>
      </c>
      <c r="D319" s="18" t="str">
        <f>IF(B319&amp;C319="","",VLOOKUP(B319&amp;C319,SERVIÇOS!C:F,2,0))</f>
        <v>Cotovelo de 90º 22mm solda em cobre para água quente, Fornecimento e Instalação</v>
      </c>
      <c r="E319" s="16" t="str">
        <f>IF(B319&amp;C319="","",VLOOKUP(B319&amp;C319,SERVIÇOS!C:F,3,0))</f>
        <v>un</v>
      </c>
      <c r="F319" s="19">
        <v>3</v>
      </c>
      <c r="G319" s="20">
        <f>IF(B319&amp;C319="","",VLOOKUP(B319&amp;C319,SERVIÇOS!C:F,4,0))*1.1033</f>
        <v>21.337821999999999</v>
      </c>
      <c r="H319" s="20">
        <f t="shared" ref="H319:H320" si="69">IF(G319="","",TRUNC(G319*F319,2))</f>
        <v>64.010000000000005</v>
      </c>
      <c r="I319" s="320"/>
      <c r="J319" s="320"/>
    </row>
    <row r="320" spans="1:10" ht="30" customHeight="1" x14ac:dyDescent="0.25">
      <c r="A320" s="208">
        <f>IF(AND(B320&lt;&gt;"",C320&lt;&gt;""),LARGE($A$14:$A319,1)+1,"")</f>
        <v>181</v>
      </c>
      <c r="B320" s="16" t="s">
        <v>4715</v>
      </c>
      <c r="C320" s="17" t="s">
        <v>5224</v>
      </c>
      <c r="D320" s="18" t="str">
        <f>IF(B320&amp;C320="","",VLOOKUP(B320&amp;C320,SERVIÇOS!C:F,2,0))</f>
        <v>Tê 28mm solda em cobre para água quente, Fornecimento e Instalação</v>
      </c>
      <c r="E320" s="16" t="str">
        <f>IF(B320&amp;C320="","",VLOOKUP(B320&amp;C320,SERVIÇOS!C:F,3,0))</f>
        <v>un</v>
      </c>
      <c r="F320" s="19">
        <v>1</v>
      </c>
      <c r="G320" s="20">
        <f>IF(B320&amp;C320="","",VLOOKUP(B320&amp;C320,SERVIÇOS!C:F,4,0))*1.1033</f>
        <v>23.334794999999996</v>
      </c>
      <c r="H320" s="20">
        <f t="shared" si="69"/>
        <v>23.33</v>
      </c>
      <c r="I320" s="320"/>
      <c r="J320" s="320"/>
    </row>
    <row r="321" spans="1:10" ht="30" customHeight="1" x14ac:dyDescent="0.25">
      <c r="A321" s="208">
        <f>IF(AND(B321&lt;&gt;"",C321&lt;&gt;""),LARGE($A$14:$A320,1)+1,"")</f>
        <v>182</v>
      </c>
      <c r="B321" s="16" t="s">
        <v>4398</v>
      </c>
      <c r="C321" s="337">
        <v>321121</v>
      </c>
      <c r="D321" s="18" t="str">
        <f>IF(B321&amp;C321="","",VLOOKUP(B321&amp;C321,SERVIÇOS!C:F,2,0))</f>
        <v>Isolamento térmico em polietileno expandido, espessura de 5 mm, para tubulação de 3/4´ (22 mm)</v>
      </c>
      <c r="E321" s="16" t="str">
        <f>IF(B321&amp;C321="","",VLOOKUP(B321&amp;C321,SERVIÇOS!C:F,3,0))</f>
        <v>m</v>
      </c>
      <c r="F321" s="19">
        <v>6</v>
      </c>
      <c r="G321" s="431">
        <v>9.27</v>
      </c>
      <c r="H321" s="20">
        <f t="shared" si="66"/>
        <v>55.62</v>
      </c>
      <c r="I321" s="320"/>
      <c r="J321" s="320"/>
    </row>
    <row r="322" spans="1:10" ht="30" customHeight="1" x14ac:dyDescent="0.25">
      <c r="A322" s="208">
        <f>IF(AND(B322&lt;&gt;"",C322&lt;&gt;""),LARGE($A$14:$A321,1)+1,"")</f>
        <v>183</v>
      </c>
      <c r="B322" s="16" t="s">
        <v>4398</v>
      </c>
      <c r="C322" s="337">
        <v>321122</v>
      </c>
      <c r="D322" s="18" t="str">
        <f>IF(B322&amp;C322="","",VLOOKUP(B322&amp;C322,SERVIÇOS!C:F,2,0))</f>
        <v>Isolamento térmico em polietileno expandido, espessura de 5 mm, para tubulação de 1´ (28 mm)</v>
      </c>
      <c r="E322" s="16" t="str">
        <f>IF(B322&amp;C322="","",VLOOKUP(B322&amp;C322,SERVIÇOS!C:F,3,0))</f>
        <v>m</v>
      </c>
      <c r="F322" s="19">
        <v>6</v>
      </c>
      <c r="G322" s="431">
        <v>9.57</v>
      </c>
      <c r="H322" s="20">
        <f t="shared" si="66"/>
        <v>57.42</v>
      </c>
      <c r="I322" s="320"/>
      <c r="J322" s="320"/>
    </row>
    <row r="323" spans="1:10" ht="5.0999999999999996" customHeight="1" x14ac:dyDescent="0.25">
      <c r="A323" s="73"/>
      <c r="B323" s="2"/>
      <c r="C323" s="2"/>
      <c r="D323" s="21"/>
      <c r="E323" s="2"/>
      <c r="F323" s="2"/>
      <c r="G323" s="2"/>
      <c r="H323" s="74"/>
      <c r="J323" s="320"/>
    </row>
    <row r="324" spans="1:10" x14ac:dyDescent="0.25">
      <c r="A324" s="9"/>
      <c r="B324" s="10" t="s">
        <v>5264</v>
      </c>
      <c r="C324" s="11"/>
      <c r="D324" s="37"/>
      <c r="E324" s="12"/>
      <c r="F324" s="13"/>
      <c r="G324" s="13"/>
      <c r="H324" s="14">
        <f>SUM(H326:H330)</f>
        <v>6114.73</v>
      </c>
      <c r="J324" s="320"/>
    </row>
    <row r="325" spans="1:10" ht="5.0999999999999996" customHeight="1" x14ac:dyDescent="0.25">
      <c r="A325" s="73"/>
      <c r="B325" s="2"/>
      <c r="C325" s="2"/>
      <c r="D325" s="21"/>
      <c r="E325" s="2"/>
      <c r="F325" s="2"/>
      <c r="G325" s="2"/>
      <c r="H325" s="74"/>
      <c r="J325" s="320"/>
    </row>
    <row r="326" spans="1:10" ht="30" customHeight="1" x14ac:dyDescent="0.25">
      <c r="A326" s="208">
        <f>IF(AND(B326&lt;&gt;"",C326&lt;&gt;""),LARGE($A$14:$A322,1)+1,"")</f>
        <v>184</v>
      </c>
      <c r="B326" s="16" t="s">
        <v>4398</v>
      </c>
      <c r="C326" s="337">
        <v>461002</v>
      </c>
      <c r="D326" s="18" t="str">
        <f>IF(B326&amp;C326="","",VLOOKUP(B326&amp;C326,SERVIÇOS!C:F,2,0))</f>
        <v>Tubo de cobre classe A, DN= 22mm (3/4´), inclusive conexões</v>
      </c>
      <c r="E326" s="16" t="str">
        <f>IF(B326&amp;C326="","",VLOOKUP(B326&amp;C326,SERVIÇOS!C:F,3,0))</f>
        <v>m</v>
      </c>
      <c r="F326" s="19">
        <v>30</v>
      </c>
      <c r="G326" s="20">
        <f>IF(B326&amp;C326="","",VLOOKUP(B326&amp;C326,SERVIÇOS!C:F,4,0))*1.1033</f>
        <v>62.380581999999997</v>
      </c>
      <c r="H326" s="20">
        <f t="shared" si="66"/>
        <v>1871.41</v>
      </c>
      <c r="I326" s="320"/>
      <c r="J326" s="320"/>
    </row>
    <row r="327" spans="1:10" ht="30" customHeight="1" x14ac:dyDescent="0.25">
      <c r="A327" s="208">
        <f>IF(AND(B327&lt;&gt;"",C327&lt;&gt;""),LARGE($A$14:$A326,1)+1,"")</f>
        <v>185</v>
      </c>
      <c r="B327" s="16" t="s">
        <v>4715</v>
      </c>
      <c r="C327" s="17" t="s">
        <v>5223</v>
      </c>
      <c r="D327" s="18" t="str">
        <f>IF(B327&amp;C327="","",VLOOKUP(B327&amp;C327,SERVIÇOS!C:F,2,0))</f>
        <v>Cotovelo de 90º 22mm solda em cobre para água quente, Fornecimento e Instalação</v>
      </c>
      <c r="E327" s="16" t="str">
        <f>IF(B327&amp;C327="","",VLOOKUP(B327&amp;C327,SERVIÇOS!C:F,3,0))</f>
        <v>un</v>
      </c>
      <c r="F327" s="19">
        <v>4</v>
      </c>
      <c r="G327" s="20">
        <f>IF(B327&amp;C327="","",VLOOKUP(B327&amp;C327,SERVIÇOS!C:F,4,0))*1.1033</f>
        <v>21.337821999999999</v>
      </c>
      <c r="H327" s="20">
        <f t="shared" ref="H327:H329" si="70">IF(G327="","",TRUNC(G327*F327,2))</f>
        <v>85.35</v>
      </c>
      <c r="I327" s="320"/>
      <c r="J327" s="320"/>
    </row>
    <row r="328" spans="1:10" ht="30" customHeight="1" x14ac:dyDescent="0.25">
      <c r="A328" s="208">
        <f>IF(AND(B328&lt;&gt;"",C328&lt;&gt;""),LARGE($A$14:$A327,1)+1,"")</f>
        <v>186</v>
      </c>
      <c r="B328" s="16" t="s">
        <v>4398</v>
      </c>
      <c r="C328" s="337">
        <v>470118</v>
      </c>
      <c r="D328" s="18" t="str">
        <f>IF(B328&amp;C328="","",VLOOKUP(B328&amp;C328,SERVIÇOS!C:F,2,0))</f>
        <v>Válvula de esfera monobloco em latão fundido passagem plena, acionamento com alavanca, DN= 3/4´</v>
      </c>
      <c r="E328" s="16" t="str">
        <f>IF(B328&amp;C328="","",VLOOKUP(B328&amp;C328,SERVIÇOS!C:F,3,0))</f>
        <v>un</v>
      </c>
      <c r="F328" s="19">
        <v>1</v>
      </c>
      <c r="G328" s="431">
        <v>46.54</v>
      </c>
      <c r="H328" s="20">
        <f t="shared" si="70"/>
        <v>46.54</v>
      </c>
      <c r="I328" s="320"/>
      <c r="J328" s="320"/>
    </row>
    <row r="329" spans="1:10" ht="30" customHeight="1" x14ac:dyDescent="0.25">
      <c r="A329" s="208">
        <f>IF(AND(B329&lt;&gt;"",C329&lt;&gt;""),LARGE($A$14:$A328,1)+1,"")</f>
        <v>187</v>
      </c>
      <c r="B329" s="16" t="s">
        <v>4715</v>
      </c>
      <c r="C329" s="17" t="s">
        <v>5224</v>
      </c>
      <c r="D329" s="18" t="str">
        <f>IF(B329&amp;C329="","",VLOOKUP(B329&amp;C329,SERVIÇOS!C:F,2,0))</f>
        <v>Tê 28mm solda em cobre para água quente, Fornecimento e Instalação</v>
      </c>
      <c r="E329" s="16" t="str">
        <f>IF(B329&amp;C329="","",VLOOKUP(B329&amp;C329,SERVIÇOS!C:F,3,0))</f>
        <v>un</v>
      </c>
      <c r="F329" s="19">
        <v>1</v>
      </c>
      <c r="G329" s="20">
        <f>IF(B329&amp;C329="","",VLOOKUP(B329&amp;C329,SERVIÇOS!C:F,4,0))*1.1033</f>
        <v>23.334794999999996</v>
      </c>
      <c r="H329" s="20">
        <f t="shared" si="70"/>
        <v>23.33</v>
      </c>
      <c r="I329" s="320"/>
      <c r="J329" s="320"/>
    </row>
    <row r="330" spans="1:10" ht="30" customHeight="1" x14ac:dyDescent="0.25">
      <c r="A330" s="208">
        <f>IF(AND(B330&lt;&gt;"",C330&lt;&gt;""),LARGE($A$14:$A329,1)+1,"")</f>
        <v>188</v>
      </c>
      <c r="B330" s="16" t="s">
        <v>4398</v>
      </c>
      <c r="C330" s="337">
        <v>450204</v>
      </c>
      <c r="D330" s="18" t="str">
        <f>IF(B330&amp;C330="","",VLOOKUP(B330&amp;C330,SERVIÇOS!C:F,2,0))</f>
        <v>Entrada completa de gás GLP com 2 cilíndros de 45 kg</v>
      </c>
      <c r="E330" s="16" t="str">
        <f>IF(B330&amp;C330="","",VLOOKUP(B330&amp;C330,SERVIÇOS!C:F,3,0))</f>
        <v>un</v>
      </c>
      <c r="F330" s="19">
        <v>1</v>
      </c>
      <c r="G330" s="431">
        <v>4088.1</v>
      </c>
      <c r="H330" s="20">
        <f t="shared" ref="H330" si="71">IF(G330="","",TRUNC(G330*F330,2))</f>
        <v>4088.1</v>
      </c>
      <c r="I330" s="320"/>
      <c r="J330" s="320"/>
    </row>
    <row r="331" spans="1:10" ht="5.0999999999999996" customHeight="1" x14ac:dyDescent="0.25">
      <c r="A331" s="73"/>
      <c r="B331" s="2"/>
      <c r="C331" s="2"/>
      <c r="D331" s="21"/>
      <c r="E331" s="2"/>
      <c r="F331" s="2"/>
      <c r="G331" s="2"/>
      <c r="H331" s="74"/>
      <c r="J331" s="320"/>
    </row>
    <row r="332" spans="1:10" x14ac:dyDescent="0.25">
      <c r="A332" s="9"/>
      <c r="B332" s="10" t="s">
        <v>5265</v>
      </c>
      <c r="C332" s="11"/>
      <c r="D332" s="37"/>
      <c r="E332" s="12"/>
      <c r="F332" s="13"/>
      <c r="G332" s="13"/>
      <c r="H332" s="14">
        <f>SUM(H334:H354)</f>
        <v>61734.140000000014</v>
      </c>
      <c r="J332" s="320"/>
    </row>
    <row r="333" spans="1:10" ht="5.0999999999999996" customHeight="1" x14ac:dyDescent="0.25">
      <c r="A333" s="73"/>
      <c r="B333" s="2"/>
      <c r="C333" s="2"/>
      <c r="D333" s="21"/>
      <c r="E333" s="2"/>
      <c r="F333" s="2"/>
      <c r="G333" s="2"/>
      <c r="H333" s="74"/>
      <c r="J333" s="320"/>
    </row>
    <row r="334" spans="1:10" ht="30" customHeight="1" x14ac:dyDescent="0.25">
      <c r="A334" s="208">
        <f>IF(AND(B334&lt;&gt;"",C334&lt;&gt;""),LARGE($A$14:$A330,1)+1,"")</f>
        <v>189</v>
      </c>
      <c r="B334" s="16" t="s">
        <v>4715</v>
      </c>
      <c r="C334" s="17" t="s">
        <v>5511</v>
      </c>
      <c r="D334" s="18" t="str">
        <f>IF(B334&amp;C334="","",VLOOKUP(B334&amp;C334,SERVIÇOS!C:F,2,0))</f>
        <v>Sistema de Tratamento de Esgoto ref. MF-3200 da Mizumo ou equivalente técnico</v>
      </c>
      <c r="E334" s="16" t="str">
        <f>IF(B334&amp;C334="","",VLOOKUP(B334&amp;C334,SERVIÇOS!C:F,3,0))</f>
        <v>un</v>
      </c>
      <c r="F334" s="19">
        <v>1</v>
      </c>
      <c r="G334" s="20">
        <f>IF(B334&amp;C334="","",VLOOKUP(B334&amp;C334,SERVIÇOS!C:F,4,0))*1.1033</f>
        <v>53832.456326</v>
      </c>
      <c r="H334" s="20">
        <f t="shared" ref="H334:H344" si="72">IF(G334="","",TRUNC(G334*F334,2))</f>
        <v>53832.45</v>
      </c>
      <c r="I334" s="320"/>
      <c r="J334" s="320"/>
    </row>
    <row r="335" spans="1:10" ht="30" x14ac:dyDescent="0.25">
      <c r="A335" s="208">
        <f>IF(AND(B335&lt;&gt;"",C335&lt;&gt;""),LARGE($A$14:$A334,1)+1,"")</f>
        <v>190</v>
      </c>
      <c r="B335" s="16" t="s">
        <v>4715</v>
      </c>
      <c r="C335" s="17" t="s">
        <v>5226</v>
      </c>
      <c r="D335" s="18" t="str">
        <f>IF(B335&amp;C335="","",VLOOKUP(B335&amp;C335,SERVIÇOS!C:F,2,0))</f>
        <v>Caixa de inspeção de esgoto ref. Tigre ou equivalente técnico</v>
      </c>
      <c r="E335" s="16" t="str">
        <f>IF(B335&amp;C335="","",VLOOKUP(B335&amp;C335,SERVIÇOS!C:F,3,0))</f>
        <v>un</v>
      </c>
      <c r="F335" s="19">
        <v>4</v>
      </c>
      <c r="G335" s="20">
        <f>IF(B335&amp;C335="","",VLOOKUP(B335&amp;C335,SERVIÇOS!C:F,4,0))*1.1033</f>
        <v>281.65042399999999</v>
      </c>
      <c r="H335" s="20">
        <f t="shared" si="72"/>
        <v>1126.5999999999999</v>
      </c>
      <c r="I335" s="320"/>
      <c r="J335" s="320"/>
    </row>
    <row r="336" spans="1:10" ht="30" customHeight="1" x14ac:dyDescent="0.25">
      <c r="A336" s="208">
        <f>IF(AND(B336&lt;&gt;"",C336&lt;&gt;""),LARGE($A$14:$A335,1)+1,"")</f>
        <v>191</v>
      </c>
      <c r="B336" s="16" t="s">
        <v>4398</v>
      </c>
      <c r="C336" s="337">
        <v>460201</v>
      </c>
      <c r="D336" s="18" t="str">
        <f>IF(B336&amp;C336="","",VLOOKUP(B336&amp;C336,SERVIÇOS!C:F,2,0))</f>
        <v>Tubo de PVC rígido branco, pontas lisas, soldável, linha esgoto série normal, DN= 40 mm, inclusive conexões</v>
      </c>
      <c r="E336" s="16" t="str">
        <f>IF(B336&amp;C336="","",VLOOKUP(B336&amp;C336,SERVIÇOS!C:F,3,0))</f>
        <v>m</v>
      </c>
      <c r="F336" s="19">
        <v>18</v>
      </c>
      <c r="G336" s="431">
        <v>24.56</v>
      </c>
      <c r="H336" s="20">
        <f t="shared" si="72"/>
        <v>442.08</v>
      </c>
      <c r="I336" s="320"/>
      <c r="J336" s="320"/>
    </row>
    <row r="337" spans="1:10" ht="30" customHeight="1" x14ac:dyDescent="0.25">
      <c r="A337" s="208">
        <f>IF(AND(B337&lt;&gt;"",C337&lt;&gt;""),LARGE($A$14:$A336,1)+1,"")</f>
        <v>192</v>
      </c>
      <c r="B337" s="16" t="s">
        <v>4398</v>
      </c>
      <c r="C337" s="337">
        <v>460205</v>
      </c>
      <c r="D337" s="18" t="str">
        <f>IF(B337&amp;C337="","",VLOOKUP(B337&amp;C337,SERVIÇOS!C:F,2,0))</f>
        <v>Tubo de PVC rígido branco PxB com virola e anel de borracha, linha esgoto série normal, DN= 50 mm, inclusive conexões</v>
      </c>
      <c r="E337" s="16" t="str">
        <f>IF(B337&amp;C337="","",VLOOKUP(B337&amp;C337,SERVIÇOS!C:F,3,0))</f>
        <v>m</v>
      </c>
      <c r="F337" s="19">
        <v>42</v>
      </c>
      <c r="G337" s="431">
        <v>33.94</v>
      </c>
      <c r="H337" s="20">
        <f t="shared" si="72"/>
        <v>1425.48</v>
      </c>
      <c r="I337" s="320"/>
      <c r="J337" s="320"/>
    </row>
    <row r="338" spans="1:10" ht="30" customHeight="1" x14ac:dyDescent="0.25">
      <c r="A338" s="208">
        <f>IF(AND(B338&lt;&gt;"",C338&lt;&gt;""),LARGE($A$14:$A337,1)+1,"")</f>
        <v>193</v>
      </c>
      <c r="B338" s="16" t="s">
        <v>4398</v>
      </c>
      <c r="C338" s="337">
        <v>460207</v>
      </c>
      <c r="D338" s="18" t="str">
        <f>IF(B338&amp;C338="","",VLOOKUP(B338&amp;C338,SERVIÇOS!C:F,2,0))</f>
        <v>Tubo de PVC rígido branco PxB com virola e anel de borracha, linha esgoto série normal, DN= 100 mm, inclusive conexões</v>
      </c>
      <c r="E338" s="16" t="str">
        <f>IF(B338&amp;C338="","",VLOOKUP(B338&amp;C338,SERVIÇOS!C:F,3,0))</f>
        <v>m</v>
      </c>
      <c r="F338" s="19">
        <v>48</v>
      </c>
      <c r="G338" s="431">
        <v>53.57</v>
      </c>
      <c r="H338" s="20">
        <f t="shared" si="72"/>
        <v>2571.36</v>
      </c>
      <c r="I338" s="320"/>
      <c r="J338" s="320"/>
    </row>
    <row r="339" spans="1:10" ht="30" customHeight="1" x14ac:dyDescent="0.25">
      <c r="A339" s="208">
        <f>IF(AND(B339&lt;&gt;"",C339&lt;&gt;""),LARGE($A$14:$A338,1)+1,"")</f>
        <v>194</v>
      </c>
      <c r="B339" s="16" t="s">
        <v>4715</v>
      </c>
      <c r="C339" s="17" t="s">
        <v>5248</v>
      </c>
      <c r="D339" s="18" t="str">
        <f>IF(B339&amp;C339="","",VLOOKUP(B339&amp;C339,SERVIÇOS!C:F,2,0))</f>
        <v>Joelho 90 graus de PVC série R diam. 100mm, fornecimento e instalação</v>
      </c>
      <c r="E339" s="16" t="str">
        <f>IF(B339&amp;C339="","",VLOOKUP(B339&amp;C339,SERVIÇOS!C:F,3,0))</f>
        <v>un</v>
      </c>
      <c r="F339" s="19">
        <v>10</v>
      </c>
      <c r="G339" s="20">
        <f>IF(B339&amp;C339="","",VLOOKUP(B339&amp;C339,SERVIÇOS!C:F,4,0))*1.1033</f>
        <v>32.448053000000002</v>
      </c>
      <c r="H339" s="20">
        <f t="shared" si="72"/>
        <v>324.48</v>
      </c>
      <c r="I339" s="320"/>
      <c r="J339" s="320"/>
    </row>
    <row r="340" spans="1:10" ht="30" customHeight="1" x14ac:dyDescent="0.25">
      <c r="A340" s="208">
        <f>IF(AND(B340&lt;&gt;"",C340&lt;&gt;""),LARGE($A$14:$A339,1)+1,"")</f>
        <v>195</v>
      </c>
      <c r="B340" s="16" t="s">
        <v>4715</v>
      </c>
      <c r="C340" s="17" t="s">
        <v>5249</v>
      </c>
      <c r="D340" s="18" t="str">
        <f>IF(B340&amp;C340="","",VLOOKUP(B340&amp;C340,SERVIÇOS!C:F,2,0))</f>
        <v>Joelho 90 graus de PVC série R diam. 50mm, fornecimento e instalação</v>
      </c>
      <c r="E340" s="16" t="str">
        <f>IF(B340&amp;C340="","",VLOOKUP(B340&amp;C340,SERVIÇOS!C:F,3,0))</f>
        <v>un</v>
      </c>
      <c r="F340" s="19">
        <v>2</v>
      </c>
      <c r="G340" s="20">
        <f>IF(B340&amp;C340="","",VLOOKUP(B340&amp;C340,SERVIÇOS!C:F,4,0))*1.1033</f>
        <v>10.459284</v>
      </c>
      <c r="H340" s="20">
        <f t="shared" si="72"/>
        <v>20.91</v>
      </c>
      <c r="I340" s="320"/>
      <c r="J340" s="320"/>
    </row>
    <row r="341" spans="1:10" ht="30" customHeight="1" x14ac:dyDescent="0.25">
      <c r="A341" s="208">
        <f>IF(AND(B341&lt;&gt;"",C341&lt;&gt;""),LARGE($A$14:$A340,1)+1,"")</f>
        <v>196</v>
      </c>
      <c r="B341" s="16" t="s">
        <v>4715</v>
      </c>
      <c r="C341" s="17" t="s">
        <v>5250</v>
      </c>
      <c r="D341" s="18" t="str">
        <f>IF(B341&amp;C341="","",VLOOKUP(B341&amp;C341,SERVIÇOS!C:F,2,0))</f>
        <v>Joelho 90 graus de PVC série R diam. 40mm, fornecimento e instalação</v>
      </c>
      <c r="E341" s="16" t="str">
        <f>IF(B341&amp;C341="","",VLOOKUP(B341&amp;C341,SERVIÇOS!C:F,3,0))</f>
        <v>un</v>
      </c>
      <c r="F341" s="19">
        <v>2</v>
      </c>
      <c r="G341" s="20">
        <f>IF(B341&amp;C341="","",VLOOKUP(B341&amp;C341,SERVIÇOS!C:F,4,0))*1.1033</f>
        <v>6.663932</v>
      </c>
      <c r="H341" s="20">
        <f t="shared" si="72"/>
        <v>13.32</v>
      </c>
      <c r="I341" s="320"/>
      <c r="J341" s="320"/>
    </row>
    <row r="342" spans="1:10" ht="30" customHeight="1" x14ac:dyDescent="0.25">
      <c r="A342" s="208">
        <f>IF(AND(B342&lt;&gt;"",C342&lt;&gt;""),LARGE($A$14:$A341,1)+1,"")</f>
        <v>197</v>
      </c>
      <c r="B342" s="16" t="s">
        <v>4715</v>
      </c>
      <c r="C342" s="17" t="s">
        <v>5251</v>
      </c>
      <c r="D342" s="18" t="str">
        <f>IF(B342&amp;C342="","",VLOOKUP(B342&amp;C342,SERVIÇOS!C:F,2,0))</f>
        <v>Joelho 45 graus de PVC série R diam. 100mm, fornecimento e instalação</v>
      </c>
      <c r="E342" s="16" t="str">
        <f>IF(B342&amp;C342="","",VLOOKUP(B342&amp;C342,SERVIÇOS!C:F,3,0))</f>
        <v>un</v>
      </c>
      <c r="F342" s="19">
        <v>3</v>
      </c>
      <c r="G342" s="20">
        <f>IF(B342&amp;C342="","",VLOOKUP(B342&amp;C342,SERVIÇOS!C:F,4,0))*1.1033</f>
        <v>27.770061000000002</v>
      </c>
      <c r="H342" s="20">
        <f t="shared" si="72"/>
        <v>83.31</v>
      </c>
      <c r="I342" s="320"/>
      <c r="J342" s="320"/>
    </row>
    <row r="343" spans="1:10" ht="30" customHeight="1" x14ac:dyDescent="0.25">
      <c r="A343" s="208">
        <f>IF(AND(B343&lt;&gt;"",C343&lt;&gt;""),LARGE($A$14:$A342,1)+1,"")</f>
        <v>198</v>
      </c>
      <c r="B343" s="16" t="s">
        <v>4715</v>
      </c>
      <c r="C343" s="17" t="s">
        <v>5252</v>
      </c>
      <c r="D343" s="18" t="str">
        <f>IF(B343&amp;C343="","",VLOOKUP(B343&amp;C343,SERVIÇOS!C:F,2,0))</f>
        <v>Joelho 45 graus de PVC série R diam. 50mm, fornecimento e instalação</v>
      </c>
      <c r="E343" s="16" t="str">
        <f>IF(B343&amp;C343="","",VLOOKUP(B343&amp;C343,SERVIÇOS!C:F,3,0))</f>
        <v>un</v>
      </c>
      <c r="F343" s="19">
        <v>18</v>
      </c>
      <c r="G343" s="20">
        <f>IF(B343&amp;C343="","",VLOOKUP(B343&amp;C343,SERVIÇOS!C:F,4,0))*1.1033</f>
        <v>23.081035999999997</v>
      </c>
      <c r="H343" s="20">
        <f t="shared" si="72"/>
        <v>415.45</v>
      </c>
      <c r="I343" s="320"/>
      <c r="J343" s="320"/>
    </row>
    <row r="344" spans="1:10" ht="30" customHeight="1" x14ac:dyDescent="0.25">
      <c r="A344" s="208">
        <f>IF(AND(B344&lt;&gt;"",C344&lt;&gt;""),LARGE($A$14:$A343,1)+1,"")</f>
        <v>199</v>
      </c>
      <c r="B344" s="16" t="s">
        <v>4715</v>
      </c>
      <c r="C344" s="17" t="s">
        <v>5268</v>
      </c>
      <c r="D344" s="18" t="str">
        <f>IF(B344&amp;C344="","",VLOOKUP(B344&amp;C344,SERVIÇOS!C:F,2,0))</f>
        <v>Junção simples de PVC série R diam. 100mm, fornecimento e instalação</v>
      </c>
      <c r="E344" s="16" t="str">
        <f>IF(B344&amp;C344="","",VLOOKUP(B344&amp;C344,SERVIÇOS!C:F,3,0))</f>
        <v>un</v>
      </c>
      <c r="F344" s="19">
        <v>4</v>
      </c>
      <c r="G344" s="20">
        <f>IF(B344&amp;C344="","",VLOOKUP(B344&amp;C344,SERVIÇOS!C:F,4,0))*1.1033</f>
        <v>31.973634000000001</v>
      </c>
      <c r="H344" s="20">
        <f t="shared" si="72"/>
        <v>127.89</v>
      </c>
      <c r="I344" s="320"/>
      <c r="J344" s="320"/>
    </row>
    <row r="345" spans="1:10" ht="30" customHeight="1" x14ac:dyDescent="0.25">
      <c r="A345" s="208">
        <f>IF(AND(B345&lt;&gt;"",C345&lt;&gt;""),LARGE($A$14:$A344,1)+1,"")</f>
        <v>200</v>
      </c>
      <c r="B345" s="16" t="s">
        <v>4715</v>
      </c>
      <c r="C345" s="17" t="s">
        <v>5269</v>
      </c>
      <c r="D345" s="18" t="str">
        <f>IF(B345&amp;C345="","",VLOOKUP(B345&amp;C345,SERVIÇOS!C:F,2,0))</f>
        <v>Junção simples de PVC série R diam. 50mm, fornecimento e instalação</v>
      </c>
      <c r="E345" s="16" t="str">
        <f>IF(B345&amp;C345="","",VLOOKUP(B345&amp;C345,SERVIÇOS!C:F,3,0))</f>
        <v>un</v>
      </c>
      <c r="F345" s="19">
        <v>10</v>
      </c>
      <c r="G345" s="20">
        <f>IF(B345&amp;C345="","",VLOOKUP(B345&amp;C345,SERVIÇOS!C:F,4,0))*1.1033</f>
        <v>10.801307000000001</v>
      </c>
      <c r="H345" s="20">
        <f t="shared" ref="H345:H353" si="73">IF(G345="","",TRUNC(G345*F345,2))</f>
        <v>108.01</v>
      </c>
      <c r="I345" s="320"/>
      <c r="J345" s="320"/>
    </row>
    <row r="346" spans="1:10" ht="30" customHeight="1" x14ac:dyDescent="0.25">
      <c r="A346" s="208">
        <f>IF(AND(B346&lt;&gt;"",C346&lt;&gt;""),LARGE($A$14:$A345,1)+1,"")</f>
        <v>201</v>
      </c>
      <c r="B346" s="16" t="s">
        <v>4715</v>
      </c>
      <c r="C346" s="17" t="s">
        <v>5270</v>
      </c>
      <c r="D346" s="18" t="str">
        <f>IF(B346&amp;C346="","",VLOOKUP(B346&amp;C346,SERVIÇOS!C:F,2,0))</f>
        <v>Junção invertida de PVC série R diam. 75x50mm, fornecimento e instalação</v>
      </c>
      <c r="E346" s="16" t="str">
        <f>IF(B346&amp;C346="","",VLOOKUP(B346&amp;C346,SERVIÇOS!C:F,3,0))</f>
        <v>un</v>
      </c>
      <c r="F346" s="19">
        <v>2</v>
      </c>
      <c r="G346" s="20">
        <f>IF(B346&amp;C346="","",VLOOKUP(B346&amp;C346,SERVIÇOS!C:F,4,0))*1.1033</f>
        <v>13.526458</v>
      </c>
      <c r="H346" s="20">
        <f t="shared" si="73"/>
        <v>27.05</v>
      </c>
      <c r="I346" s="320"/>
      <c r="J346" s="320"/>
    </row>
    <row r="347" spans="1:10" ht="30" x14ac:dyDescent="0.25">
      <c r="A347" s="208">
        <f>IF(AND(B347&lt;&gt;"",C347&lt;&gt;""),LARGE($A$14:$A346,1)+1,"")</f>
        <v>202</v>
      </c>
      <c r="B347" s="16" t="s">
        <v>4715</v>
      </c>
      <c r="C347" s="17" t="s">
        <v>5271</v>
      </c>
      <c r="D347" s="18" t="str">
        <f>IF(B347&amp;C347="","",VLOOKUP(B347&amp;C347,SERVIÇOS!C:F,2,0))</f>
        <v>Tê de PVC série R diam. 50mm, fornecimento e instalação</v>
      </c>
      <c r="E347" s="16" t="str">
        <f>IF(B347&amp;C347="","",VLOOKUP(B347&amp;C347,SERVIÇOS!C:F,3,0))</f>
        <v>un</v>
      </c>
      <c r="F347" s="19">
        <v>6</v>
      </c>
      <c r="G347" s="20">
        <f>IF(B347&amp;C347="","",VLOOKUP(B347&amp;C347,SERVIÇOS!C:F,4,0))*1.1033</f>
        <v>28.862327999999994</v>
      </c>
      <c r="H347" s="20">
        <f t="shared" si="73"/>
        <v>173.17</v>
      </c>
      <c r="I347" s="320"/>
      <c r="J347" s="320"/>
    </row>
    <row r="348" spans="1:10" ht="30" customHeight="1" x14ac:dyDescent="0.25">
      <c r="A348" s="208">
        <f>IF(AND(B348&lt;&gt;"",C348&lt;&gt;""),LARGE($A$14:$A347,1)+1,"")</f>
        <v>203</v>
      </c>
      <c r="B348" s="16" t="s">
        <v>4715</v>
      </c>
      <c r="C348" s="17" t="s">
        <v>5272</v>
      </c>
      <c r="D348" s="18" t="str">
        <f>IF(B348&amp;C348="","",VLOOKUP(B348&amp;C348,SERVIÇOS!C:F,2,0))</f>
        <v>Redução excentrica de PVC série R diam. 100 para 50mm, fornecimento e instalação</v>
      </c>
      <c r="E348" s="16" t="str">
        <f>IF(B348&amp;C348="","",VLOOKUP(B348&amp;C348,SERVIÇOS!C:F,3,0))</f>
        <v>un</v>
      </c>
      <c r="F348" s="19">
        <v>6</v>
      </c>
      <c r="G348" s="20">
        <f>IF(B348&amp;C348="","",VLOOKUP(B348&amp;C348,SERVIÇOS!C:F,4,0))*1.1033</f>
        <v>7.7010339999999999</v>
      </c>
      <c r="H348" s="20">
        <f t="shared" si="73"/>
        <v>46.2</v>
      </c>
      <c r="I348" s="320"/>
      <c r="J348" s="320"/>
    </row>
    <row r="349" spans="1:10" ht="30" customHeight="1" x14ac:dyDescent="0.25">
      <c r="A349" s="208">
        <f>IF(AND(B349&lt;&gt;"",C349&lt;&gt;""),LARGE($A$14:$A348,1)+1,"")</f>
        <v>204</v>
      </c>
      <c r="B349" s="16" t="s">
        <v>4715</v>
      </c>
      <c r="C349" s="17" t="s">
        <v>5273</v>
      </c>
      <c r="D349" s="18" t="str">
        <f>IF(B349&amp;C349="","",VLOOKUP(B349&amp;C349,SERVIÇOS!C:F,2,0))</f>
        <v>Redução excentrica de PVC série R diam. 75 para 50mm, fornecimento e instalação</v>
      </c>
      <c r="E349" s="16" t="str">
        <f>IF(B349&amp;C349="","",VLOOKUP(B349&amp;C349,SERVIÇOS!C:F,3,0))</f>
        <v>un</v>
      </c>
      <c r="F349" s="19">
        <v>6</v>
      </c>
      <c r="G349" s="20">
        <f>IF(B349&amp;C349="","",VLOOKUP(B349&amp;C349,SERVIÇOS!C:F,4,0))*1.1033</f>
        <v>6.8294269999999999</v>
      </c>
      <c r="H349" s="20">
        <f t="shared" si="73"/>
        <v>40.97</v>
      </c>
      <c r="I349" s="320"/>
      <c r="J349" s="320"/>
    </row>
    <row r="350" spans="1:10" ht="30" x14ac:dyDescent="0.25">
      <c r="A350" s="208">
        <f>IF(AND(B350&lt;&gt;"",C350&lt;&gt;""),LARGE($A$14:$A349,1)+1,"")</f>
        <v>205</v>
      </c>
      <c r="B350" s="16" t="s">
        <v>4715</v>
      </c>
      <c r="C350" s="17" t="s">
        <v>5274</v>
      </c>
      <c r="D350" s="18" t="str">
        <f>IF(B350&amp;C350="","",VLOOKUP(B350&amp;C350,SERVIÇOS!C:F,2,0))</f>
        <v>Luva de PVC série R diam. 100mm, fornecimento e instalação</v>
      </c>
      <c r="E350" s="16" t="str">
        <f>IF(B350&amp;C350="","",VLOOKUP(B350&amp;C350,SERVIÇOS!C:F,3,0))</f>
        <v>un</v>
      </c>
      <c r="F350" s="19">
        <v>17</v>
      </c>
      <c r="G350" s="20">
        <f>IF(B350&amp;C350="","",VLOOKUP(B350&amp;C350,SERVIÇOS!C:F,4,0))*1.1033</f>
        <v>14.784219999999999</v>
      </c>
      <c r="H350" s="20">
        <f t="shared" si="73"/>
        <v>251.33</v>
      </c>
      <c r="I350" s="320"/>
      <c r="J350" s="320"/>
    </row>
    <row r="351" spans="1:10" ht="30" x14ac:dyDescent="0.25">
      <c r="A351" s="208">
        <f>IF(AND(B351&lt;&gt;"",C351&lt;&gt;""),LARGE($A$14:$A350,1)+1,"")</f>
        <v>206</v>
      </c>
      <c r="B351" s="16" t="s">
        <v>4715</v>
      </c>
      <c r="C351" s="17" t="s">
        <v>5275</v>
      </c>
      <c r="D351" s="18" t="str">
        <f>IF(B351&amp;C351="","",VLOOKUP(B351&amp;C351,SERVIÇOS!C:F,2,0))</f>
        <v>Luva de PVC série R diam. 50mm, fornecimento e instalação</v>
      </c>
      <c r="E351" s="16" t="str">
        <f>IF(B351&amp;C351="","",VLOOKUP(B351&amp;C351,SERVIÇOS!C:F,3,0))</f>
        <v>un</v>
      </c>
      <c r="F351" s="19">
        <v>7</v>
      </c>
      <c r="G351" s="20">
        <f>IF(B351&amp;C351="","",VLOOKUP(B351&amp;C351,SERVIÇOS!C:F,4,0))*1.1033</f>
        <v>7.7672319999999999</v>
      </c>
      <c r="H351" s="20">
        <f t="shared" si="73"/>
        <v>54.37</v>
      </c>
      <c r="I351" s="320"/>
      <c r="J351" s="320"/>
    </row>
    <row r="352" spans="1:10" ht="30" x14ac:dyDescent="0.25">
      <c r="A352" s="208">
        <f>IF(AND(B352&lt;&gt;"",C352&lt;&gt;""),LARGE($A$14:$A351,1)+1,"")</f>
        <v>207</v>
      </c>
      <c r="B352" s="16" t="s">
        <v>4715</v>
      </c>
      <c r="C352" s="17" t="s">
        <v>5276</v>
      </c>
      <c r="D352" s="18" t="str">
        <f>IF(B352&amp;C352="","",VLOOKUP(B352&amp;C352,SERVIÇOS!C:F,2,0))</f>
        <v>Luva de PVC série R diam. 40mm, fornecimento e instalação</v>
      </c>
      <c r="E352" s="16" t="str">
        <f>IF(B352&amp;C352="","",VLOOKUP(B352&amp;C352,SERVIÇOS!C:F,3,0))</f>
        <v>un</v>
      </c>
      <c r="F352" s="19">
        <v>4</v>
      </c>
      <c r="G352" s="20">
        <f>IF(B352&amp;C352="","",VLOOKUP(B352&amp;C352,SERVIÇOS!C:F,4,0))*1.1033</f>
        <v>6.2005459999999992</v>
      </c>
      <c r="H352" s="20">
        <f t="shared" si="73"/>
        <v>24.8</v>
      </c>
      <c r="I352" s="320"/>
      <c r="J352" s="320"/>
    </row>
    <row r="353" spans="1:10" ht="30" customHeight="1" x14ac:dyDescent="0.25">
      <c r="A353" s="208">
        <f>IF(AND(B353&lt;&gt;"",C353&lt;&gt;""),LARGE($A$14:$A352,1)+1,"")</f>
        <v>208</v>
      </c>
      <c r="B353" s="16" t="s">
        <v>4715</v>
      </c>
      <c r="C353" s="17" t="s">
        <v>5277</v>
      </c>
      <c r="D353" s="18" t="str">
        <f>IF(B353&amp;C353="","",VLOOKUP(B353&amp;C353,SERVIÇOS!C:F,2,0))</f>
        <v>Caixa de gordura em PVC com cesto de limpeza ref. Tigre ou equivalente, dim. 250x172x50mm</v>
      </c>
      <c r="E353" s="16" t="str">
        <f>IF(B353&amp;C353="","",VLOOKUP(B353&amp;C353,SERVIÇOS!C:F,3,0))</f>
        <v>un</v>
      </c>
      <c r="F353" s="19">
        <v>1</v>
      </c>
      <c r="G353" s="20">
        <f>IF(B353&amp;C353="","",VLOOKUP(B353&amp;C353,SERVIÇOS!C:F,4,0))*1.1033</f>
        <v>281.65042399999999</v>
      </c>
      <c r="H353" s="20">
        <f t="shared" si="73"/>
        <v>281.64999999999998</v>
      </c>
      <c r="I353" s="320"/>
      <c r="J353" s="320"/>
    </row>
    <row r="354" spans="1:10" ht="30" customHeight="1" x14ac:dyDescent="0.25">
      <c r="A354" s="208">
        <f>IF(AND(B354&lt;&gt;"",C354&lt;&gt;""),LARGE($A$14:$A353,1)+1,"")</f>
        <v>209</v>
      </c>
      <c r="B354" s="16" t="s">
        <v>4398</v>
      </c>
      <c r="C354" s="337">
        <v>490102</v>
      </c>
      <c r="D354" s="18" t="str">
        <f>IF(B354&amp;C354="","",VLOOKUP(B354&amp;C354,SERVIÇOS!C:F,2,0))</f>
        <v>Caixa sifonada de PVC rígido de 100 x 150 x 50 mm, com grelha</v>
      </c>
      <c r="E354" s="16" t="str">
        <f>IF(B354&amp;C354="","",VLOOKUP(B354&amp;C354,SERVIÇOS!C:F,3,0))</f>
        <v>un</v>
      </c>
      <c r="F354" s="19">
        <v>6</v>
      </c>
      <c r="G354" s="431">
        <v>57.21</v>
      </c>
      <c r="H354" s="20">
        <f t="shared" ref="H354" si="74">IF(G354="","",TRUNC(G354*F354,2))</f>
        <v>343.26</v>
      </c>
      <c r="I354" s="320"/>
      <c r="J354" s="320"/>
    </row>
    <row r="355" spans="1:10" ht="5.0999999999999996" customHeight="1" x14ac:dyDescent="0.25">
      <c r="A355" s="73"/>
      <c r="B355" s="2"/>
      <c r="C355" s="2"/>
      <c r="D355" s="21"/>
      <c r="E355" s="2"/>
      <c r="F355" s="2"/>
      <c r="G355" s="2"/>
      <c r="H355" s="74"/>
      <c r="J355" s="320"/>
    </row>
    <row r="356" spans="1:10" x14ac:dyDescent="0.25">
      <c r="A356" s="9"/>
      <c r="B356" s="10" t="s">
        <v>5300</v>
      </c>
      <c r="C356" s="11"/>
      <c r="D356" s="37"/>
      <c r="E356" s="12"/>
      <c r="F356" s="13"/>
      <c r="G356" s="13"/>
      <c r="H356" s="14">
        <f>SUM(H358:H363)</f>
        <v>11933.03</v>
      </c>
      <c r="J356" s="320"/>
    </row>
    <row r="357" spans="1:10" ht="4.5" customHeight="1" x14ac:dyDescent="0.25">
      <c r="A357" s="73"/>
      <c r="B357" s="2"/>
      <c r="C357" s="2"/>
      <c r="D357" s="21"/>
      <c r="E357" s="2"/>
      <c r="F357" s="2"/>
      <c r="G357" s="2"/>
      <c r="H357" s="74"/>
      <c r="J357" s="320"/>
    </row>
    <row r="358" spans="1:10" ht="30" customHeight="1" x14ac:dyDescent="0.25">
      <c r="A358" s="208">
        <f>IF(AND(B358&lt;&gt;"",C358&lt;&gt;""),LARGE($A$14:$A355,1)+1,"")</f>
        <v>210</v>
      </c>
      <c r="B358" s="16" t="s">
        <v>4398</v>
      </c>
      <c r="C358" s="337">
        <v>460305</v>
      </c>
      <c r="D358" s="18" t="str">
        <f>IF(B358&amp;C358="","",VLOOKUP(B358&amp;C358,SERVIÇOS!C:F,2,0))</f>
        <v>Tubo de PVC rígido PxB com virola e anel de borracha, linha esgoto série reforçada ´R´, DN= 100 mm, inclusive conexões</v>
      </c>
      <c r="E358" s="16" t="str">
        <f>IF(B358&amp;C358="","",VLOOKUP(B358&amp;C358,SERVIÇOS!C:F,3,0))</f>
        <v>m</v>
      </c>
      <c r="F358" s="19">
        <v>66</v>
      </c>
      <c r="G358" s="431">
        <v>67.569999999999993</v>
      </c>
      <c r="H358" s="20">
        <f t="shared" ref="H358:H363" si="75">IF(G358="","",TRUNC(G358*F358,2))</f>
        <v>4459.62</v>
      </c>
      <c r="I358" s="320"/>
      <c r="J358" s="320"/>
    </row>
    <row r="359" spans="1:10" ht="30" customHeight="1" x14ac:dyDescent="0.25">
      <c r="A359" s="208">
        <f>IF(AND(B359&lt;&gt;"",C359&lt;&gt;""),LARGE($A$14:$A358,1)+1,"")</f>
        <v>211</v>
      </c>
      <c r="B359" s="16" t="s">
        <v>4715</v>
      </c>
      <c r="C359" s="17" t="s">
        <v>5248</v>
      </c>
      <c r="D359" s="18" t="str">
        <f>IF(B359&amp;C359="","",VLOOKUP(B359&amp;C359,SERVIÇOS!C:F,2,0))</f>
        <v>Joelho 90 graus de PVC série R diam. 100mm, fornecimento e instalação</v>
      </c>
      <c r="E359" s="16" t="str">
        <f>IF(B359&amp;C359="","",VLOOKUP(B359&amp;C359,SERVIÇOS!C:F,3,0))</f>
        <v>un</v>
      </c>
      <c r="F359" s="19">
        <v>6</v>
      </c>
      <c r="G359" s="20">
        <f>IF(B359&amp;C359="","",VLOOKUP(B359&amp;C359,SERVIÇOS!C:F,4,0))*1.1033</f>
        <v>32.448053000000002</v>
      </c>
      <c r="H359" s="20">
        <f t="shared" si="75"/>
        <v>194.68</v>
      </c>
      <c r="I359" s="320"/>
      <c r="J359" s="320"/>
    </row>
    <row r="360" spans="1:10" ht="30" x14ac:dyDescent="0.25">
      <c r="A360" s="208">
        <f>IF(AND(B360&lt;&gt;"",C360&lt;&gt;""),LARGE($A$14:$A359,1)+1,"")</f>
        <v>212</v>
      </c>
      <c r="B360" s="16" t="s">
        <v>4715</v>
      </c>
      <c r="C360" s="17" t="s">
        <v>5274</v>
      </c>
      <c r="D360" s="18" t="str">
        <f>IF(B360&amp;C360="","",VLOOKUP(B360&amp;C360,SERVIÇOS!C:F,2,0))</f>
        <v>Luva de PVC série R diam. 100mm, fornecimento e instalação</v>
      </c>
      <c r="E360" s="16" t="str">
        <f>IF(B360&amp;C360="","",VLOOKUP(B360&amp;C360,SERVIÇOS!C:F,3,0))</f>
        <v>un</v>
      </c>
      <c r="F360" s="19">
        <v>11</v>
      </c>
      <c r="G360" s="20">
        <f>IF(B360&amp;C360="","",VLOOKUP(B360&amp;C360,SERVIÇOS!C:F,4,0))*1.1033</f>
        <v>14.784219999999999</v>
      </c>
      <c r="H360" s="20">
        <f t="shared" si="75"/>
        <v>162.62</v>
      </c>
      <c r="I360" s="320"/>
      <c r="J360" s="320"/>
    </row>
    <row r="361" spans="1:10" x14ac:dyDescent="0.25">
      <c r="A361" s="208">
        <f>IF(AND(B361&lt;&gt;"",C361&lt;&gt;""),LARGE($A$14:$A360,1)+1,"")</f>
        <v>213</v>
      </c>
      <c r="B361" s="16" t="s">
        <v>4398</v>
      </c>
      <c r="C361" s="337">
        <v>490601</v>
      </c>
      <c r="D361" s="18" t="str">
        <f>IF(B361&amp;C361="","",VLOOKUP(B361&amp;C361,SERVIÇOS!C:F,2,0))</f>
        <v>Grelha hemisférica em ferro fundido de 4´</v>
      </c>
      <c r="E361" s="16" t="str">
        <f>IF(B361&amp;C361="","",VLOOKUP(B361&amp;C361,SERVIÇOS!C:F,3,0))</f>
        <v>un</v>
      </c>
      <c r="F361" s="19">
        <v>6</v>
      </c>
      <c r="G361" s="431">
        <v>7.92</v>
      </c>
      <c r="H361" s="20">
        <f t="shared" si="75"/>
        <v>47.52</v>
      </c>
      <c r="I361" s="320"/>
      <c r="J361" s="320"/>
    </row>
    <row r="362" spans="1:10" ht="30" x14ac:dyDescent="0.25">
      <c r="A362" s="208">
        <f>IF(AND(B362&lt;&gt;"",C362&lt;&gt;""),LARGE($A$14:$A361,1)+1,"")</f>
        <v>214</v>
      </c>
      <c r="B362" s="16" t="s">
        <v>4715</v>
      </c>
      <c r="C362" s="17" t="s">
        <v>5289</v>
      </c>
      <c r="D362" s="18" t="str">
        <f>IF(B362&amp;C362="","",VLOOKUP(B362&amp;C362,SERVIÇOS!C:F,2,0))</f>
        <v>Caixa de inspeção de águas pluviais ref. Tigre ou equivalente técnico</v>
      </c>
      <c r="E362" s="16" t="str">
        <f>IF(B362&amp;C362="","",VLOOKUP(B362&amp;C362,SERVIÇOS!C:F,3,0))</f>
        <v>un</v>
      </c>
      <c r="F362" s="19">
        <v>8</v>
      </c>
      <c r="G362" s="20">
        <f>IF(B362&amp;C362="","",VLOOKUP(B362&amp;C362,SERVIÇOS!C:F,4,0))*1.1033</f>
        <v>232.10122099999998</v>
      </c>
      <c r="H362" s="20">
        <f t="shared" si="75"/>
        <v>1856.8</v>
      </c>
      <c r="I362" s="320"/>
      <c r="J362" s="320"/>
    </row>
    <row r="363" spans="1:10" ht="30" customHeight="1" x14ac:dyDescent="0.25">
      <c r="A363" s="208">
        <f>IF(AND(B363&lt;&gt;"",C363&lt;&gt;""),LARGE($A$14:$A362,1)+1,"")</f>
        <v>215</v>
      </c>
      <c r="B363" s="16" t="s">
        <v>4715</v>
      </c>
      <c r="C363" s="17" t="s">
        <v>5290</v>
      </c>
      <c r="D363" s="18" t="str">
        <f>IF(B363&amp;C363="","",VLOOKUP(B363&amp;C363,SERVIÇOS!C:F,2,0))</f>
        <v>Cisterna 2.800L, equipada para água de chuva com 2 filtros e bomba 1/2CV ref. Acqualimp ou equivalente técnico</v>
      </c>
      <c r="E363" s="16" t="str">
        <f>IF(B363&amp;C363="","",VLOOKUP(B363&amp;C363,SERVIÇOS!C:F,3,0))</f>
        <v>un</v>
      </c>
      <c r="F363" s="19">
        <v>1</v>
      </c>
      <c r="G363" s="20">
        <f>IF(B363&amp;C363="","",VLOOKUP(B363&amp;C363,SERVIÇOS!C:F,4,0))*1.1033</f>
        <v>5211.7906059999996</v>
      </c>
      <c r="H363" s="20">
        <f t="shared" si="75"/>
        <v>5211.79</v>
      </c>
      <c r="I363" s="320"/>
      <c r="J363" s="320"/>
    </row>
    <row r="364" spans="1:10" ht="5.0999999999999996" customHeight="1" x14ac:dyDescent="0.25">
      <c r="A364" s="73"/>
      <c r="B364" s="2"/>
      <c r="C364" s="2"/>
      <c r="D364" s="21"/>
      <c r="E364" s="2"/>
      <c r="F364" s="2"/>
      <c r="G364" s="2"/>
      <c r="H364" s="74"/>
      <c r="J364" s="320"/>
    </row>
    <row r="365" spans="1:10" x14ac:dyDescent="0.25">
      <c r="A365" s="9"/>
      <c r="B365" s="10" t="s">
        <v>5487</v>
      </c>
      <c r="C365" s="11"/>
      <c r="D365" s="37"/>
      <c r="E365" s="12"/>
      <c r="F365" s="13"/>
      <c r="G365" s="13"/>
      <c r="H365" s="14">
        <f>SUM(H367:H369)</f>
        <v>3801.6</v>
      </c>
      <c r="J365" s="320"/>
    </row>
    <row r="366" spans="1:10" ht="4.5" customHeight="1" x14ac:dyDescent="0.25">
      <c r="A366" s="73"/>
      <c r="B366" s="2"/>
      <c r="C366" s="2"/>
      <c r="D366" s="21"/>
      <c r="E366" s="2"/>
      <c r="F366" s="2"/>
      <c r="G366" s="2"/>
      <c r="H366" s="74"/>
      <c r="J366" s="320"/>
    </row>
    <row r="367" spans="1:10" ht="30" x14ac:dyDescent="0.25">
      <c r="A367" s="208">
        <f>IF(AND(B367&lt;&gt;"",C367&lt;&gt;""),LARGE($A$14:$A364,1)+1,"")</f>
        <v>216</v>
      </c>
      <c r="B367" s="16" t="s">
        <v>4398</v>
      </c>
      <c r="C367" s="337">
        <v>501012</v>
      </c>
      <c r="D367" s="18" t="str">
        <f>IF(B367&amp;C367="","",VLOOKUP(B367&amp;C367,SERVIÇOS!C:F,2,0))</f>
        <v>Extintor manual de pó químico seco ABC - capacidade de 6 kg</v>
      </c>
      <c r="E367" s="16" t="str">
        <f>IF(B367&amp;C367="","",VLOOKUP(B367&amp;C367,SERVIÇOS!C:F,3,0))</f>
        <v>un</v>
      </c>
      <c r="F367" s="19">
        <v>4</v>
      </c>
      <c r="G367" s="431">
        <v>159.01</v>
      </c>
      <c r="H367" s="20">
        <f t="shared" ref="H367:H369" si="76">IF(G367="","",TRUNC(G367*F367,2))</f>
        <v>636.04</v>
      </c>
      <c r="I367" s="320"/>
      <c r="J367" s="320"/>
    </row>
    <row r="368" spans="1:10" ht="30" x14ac:dyDescent="0.25">
      <c r="A368" s="208">
        <f>IF(AND(B368&lt;&gt;"",C368&lt;&gt;""),LARGE($A$14:$A367,1)+1,"")</f>
        <v>217</v>
      </c>
      <c r="B368" s="16" t="s">
        <v>4398</v>
      </c>
      <c r="C368" s="337">
        <v>970101</v>
      </c>
      <c r="D368" s="18" t="str">
        <f>IF(B368&amp;C368="","",VLOOKUP(B368&amp;C368,SERVIÇOS!C:F,2,0))</f>
        <v>Adesivo vinílico, padrão regulamentado, para sinalização de incêndio</v>
      </c>
      <c r="E368" s="16" t="str">
        <f>IF(B368&amp;C368="","",VLOOKUP(B368&amp;C368,SERVIÇOS!C:F,3,0))</f>
        <v>un</v>
      </c>
      <c r="F368" s="19">
        <v>4</v>
      </c>
      <c r="G368" s="431">
        <v>14.35</v>
      </c>
      <c r="H368" s="20">
        <f t="shared" si="76"/>
        <v>57.4</v>
      </c>
      <c r="I368" s="320"/>
      <c r="J368" s="320"/>
    </row>
    <row r="369" spans="1:10" x14ac:dyDescent="0.25">
      <c r="A369" s="208">
        <f>IF(AND(B369&lt;&gt;"",C369&lt;&gt;""),LARGE($A$14:$A368,1)+1,"")</f>
        <v>218</v>
      </c>
      <c r="B369" s="16" t="s">
        <v>4398</v>
      </c>
      <c r="C369" s="337">
        <v>970219</v>
      </c>
      <c r="D369" s="18" t="str">
        <f>IF(B369&amp;C369="","",VLOOKUP(B369&amp;C369,SERVIÇOS!C:F,2,0))</f>
        <v>Placa de identificação em acrílico com texto em vinil</v>
      </c>
      <c r="E369" s="16" t="str">
        <f>IF(B369&amp;C369="","",VLOOKUP(B369&amp;C369,SERVIÇOS!C:F,3,0))</f>
        <v>m²</v>
      </c>
      <c r="F369" s="19">
        <v>4</v>
      </c>
      <c r="G369" s="431">
        <v>777.04</v>
      </c>
      <c r="H369" s="20">
        <f t="shared" si="76"/>
        <v>3108.16</v>
      </c>
      <c r="I369" s="320"/>
      <c r="J369" s="320"/>
    </row>
    <row r="370" spans="1:10" ht="5.0999999999999996" customHeight="1" x14ac:dyDescent="0.25">
      <c r="A370" s="73"/>
      <c r="B370" s="2"/>
      <c r="C370" s="2"/>
      <c r="D370" s="21"/>
      <c r="E370" s="2"/>
      <c r="F370" s="2"/>
      <c r="G370" s="2"/>
      <c r="H370" s="74"/>
      <c r="J370" s="320"/>
    </row>
    <row r="371" spans="1:10" x14ac:dyDescent="0.25">
      <c r="A371" s="3"/>
      <c r="B371" s="4" t="s">
        <v>4696</v>
      </c>
      <c r="C371" s="5"/>
      <c r="D371" s="29"/>
      <c r="E371" s="6"/>
      <c r="F371" s="7"/>
      <c r="G371" s="7"/>
      <c r="H371" s="8">
        <f>H373+H380</f>
        <v>59937.710000000006</v>
      </c>
      <c r="J371" s="320"/>
    </row>
    <row r="372" spans="1:10" ht="5.0999999999999996" customHeight="1" x14ac:dyDescent="0.25">
      <c r="A372" s="73"/>
      <c r="B372" s="2"/>
      <c r="C372" s="2"/>
      <c r="D372" s="21"/>
      <c r="E372" s="2"/>
      <c r="F372" s="2"/>
      <c r="G372" s="2"/>
      <c r="H372" s="74"/>
      <c r="J372" s="320"/>
    </row>
    <row r="373" spans="1:10" x14ac:dyDescent="0.25">
      <c r="A373" s="9"/>
      <c r="B373" s="10" t="s">
        <v>5368</v>
      </c>
      <c r="C373" s="11"/>
      <c r="D373" s="37"/>
      <c r="E373" s="12"/>
      <c r="F373" s="13"/>
      <c r="G373" s="13"/>
      <c r="H373" s="14">
        <f>SUM(H375:H378)</f>
        <v>38495.020000000004</v>
      </c>
      <c r="J373" s="320"/>
    </row>
    <row r="374" spans="1:10" ht="4.5" customHeight="1" x14ac:dyDescent="0.25">
      <c r="A374" s="73"/>
      <c r="B374" s="2"/>
      <c r="C374" s="2"/>
      <c r="D374" s="21"/>
      <c r="E374" s="2"/>
      <c r="F374" s="2"/>
      <c r="G374" s="2"/>
      <c r="H374" s="74"/>
      <c r="J374" s="320"/>
    </row>
    <row r="375" spans="1:10" ht="30" x14ac:dyDescent="0.25">
      <c r="A375" s="208">
        <f>IF(AND(B375&lt;&gt;"",C375&lt;&gt;""),LARGE($A$14:$A374,1)+1,"")</f>
        <v>219</v>
      </c>
      <c r="B375" s="16" t="s">
        <v>4398</v>
      </c>
      <c r="C375" s="337">
        <v>430710</v>
      </c>
      <c r="D375" s="18" t="str">
        <f>IF(B375&amp;C375="","",VLOOKUP(B375&amp;C375,SERVIÇOS!C:F,2,0))</f>
        <v>Ar condicionado a frio, tipo split parede, capacidade de 12.000 BTU/h</v>
      </c>
      <c r="E375" s="16" t="str">
        <f>IF(B375&amp;C375="","",VLOOKUP(B375&amp;C375,SERVIÇOS!C:F,3,0))</f>
        <v>cj</v>
      </c>
      <c r="F375" s="19">
        <v>3</v>
      </c>
      <c r="G375" s="20">
        <f>IF(B375&amp;C375="","",VLOOKUP(B375&amp;C375,SERVIÇOS!C:F,4,0))*1.1033</f>
        <v>2487.3788169999998</v>
      </c>
      <c r="H375" s="20">
        <f t="shared" ref="H375:H376" si="77">IF(G375="","",TRUNC(G375*F375,2))</f>
        <v>7462.13</v>
      </c>
      <c r="J375" s="320"/>
    </row>
    <row r="376" spans="1:10" ht="30" x14ac:dyDescent="0.25">
      <c r="A376" s="208">
        <f>IF(AND(B376&lt;&gt;"",C376&lt;&gt;""),LARGE($A$14:$A375,1)+1,"")</f>
        <v>220</v>
      </c>
      <c r="B376" s="16" t="s">
        <v>4398</v>
      </c>
      <c r="C376" s="337">
        <v>430712</v>
      </c>
      <c r="D376" s="18" t="str">
        <f>IF(B376&amp;C376="","",VLOOKUP(B376&amp;C376,SERVIÇOS!C:F,2,0))</f>
        <v>Ar condicionado a frio, tipo split parede, capacidade de 18.000 BTU/h</v>
      </c>
      <c r="E376" s="16" t="str">
        <f>IF(B376&amp;C376="","",VLOOKUP(B376&amp;C376,SERVIÇOS!C:F,3,0))</f>
        <v>cj</v>
      </c>
      <c r="F376" s="19">
        <v>4</v>
      </c>
      <c r="G376" s="431">
        <v>5787.14</v>
      </c>
      <c r="H376" s="20">
        <f t="shared" si="77"/>
        <v>23148.560000000001</v>
      </c>
      <c r="J376" s="320"/>
    </row>
    <row r="377" spans="1:10" ht="30" x14ac:dyDescent="0.25">
      <c r="A377" s="208">
        <f>IF(AND(B377&lt;&gt;"",C377&lt;&gt;""),LARGE($A$14:$A376,1)+1,"")</f>
        <v>221</v>
      </c>
      <c r="B377" s="16" t="s">
        <v>4715</v>
      </c>
      <c r="C377" s="17" t="s">
        <v>5378</v>
      </c>
      <c r="D377" s="18" t="str">
        <f>IF(B377&amp;C377="","",VLOOKUP(B377&amp;C377,SERVIÇOS!C:F,2,0))</f>
        <v>Fornecimento e instalação de aparelho ar condicionado Split Hi Wall 9.000BTU/h</v>
      </c>
      <c r="E377" s="16" t="str">
        <f>IF(B377&amp;C377="","",VLOOKUP(B377&amp;C377,SERVIÇOS!C:F,3,0))</f>
        <v>un</v>
      </c>
      <c r="F377" s="19">
        <v>2</v>
      </c>
      <c r="G377" s="20">
        <f>IF(B377&amp;C377="","",VLOOKUP(B377&amp;C377,SERVIÇOS!C:F,4,0))*1.1033</f>
        <v>3144.0519440000003</v>
      </c>
      <c r="H377" s="20">
        <f t="shared" ref="H377" si="78">IF(G377="","",TRUNC(G377*F377,2))</f>
        <v>6288.1</v>
      </c>
      <c r="J377" s="320"/>
    </row>
    <row r="378" spans="1:10" ht="45" x14ac:dyDescent="0.25">
      <c r="A378" s="208">
        <f>IF(AND(B378&lt;&gt;"",C378&lt;&gt;""),LARGE($A$14:$A377,1)+1,"")</f>
        <v>222</v>
      </c>
      <c r="B378" s="16" t="s">
        <v>4715</v>
      </c>
      <c r="C378" s="17" t="s">
        <v>5372</v>
      </c>
      <c r="D378" s="18" t="str">
        <f>IF(B378&amp;C378="","",VLOOKUP(B378&amp;C378,SERVIÇOS!C:F,2,0))</f>
        <v>Fornecimento e Instalação de Exaustor ref. Multivac ou equivalente técnico, com saída de 125mm, inclusive dutos de alumínio aparente</v>
      </c>
      <c r="E378" s="16" t="str">
        <f>IF(B378&amp;C378="","",VLOOKUP(B378&amp;C378,SERVIÇOS!C:F,3,0))</f>
        <v>un</v>
      </c>
      <c r="F378" s="19">
        <v>2</v>
      </c>
      <c r="G378" s="20">
        <f>IF(B378&amp;C378="","",VLOOKUP(B378&amp;C378,SERVIÇOS!C:F,4,0))*1.1033</f>
        <v>798.11618700000008</v>
      </c>
      <c r="H378" s="20">
        <f t="shared" ref="H378" si="79">IF(G378="","",TRUNC(G378*F378,2))</f>
        <v>1596.23</v>
      </c>
      <c r="J378" s="320"/>
    </row>
    <row r="379" spans="1:10" ht="5.0999999999999996" customHeight="1" x14ac:dyDescent="0.25">
      <c r="A379" s="73"/>
      <c r="B379" s="2"/>
      <c r="C379" s="2"/>
      <c r="D379" s="21"/>
      <c r="E379" s="2"/>
      <c r="F379" s="2"/>
      <c r="G379" s="2"/>
      <c r="H379" s="74"/>
      <c r="J379" s="320"/>
    </row>
    <row r="380" spans="1:10" x14ac:dyDescent="0.25">
      <c r="A380" s="9"/>
      <c r="B380" s="10" t="s">
        <v>4799</v>
      </c>
      <c r="C380" s="11"/>
      <c r="D380" s="37"/>
      <c r="E380" s="12"/>
      <c r="F380" s="13"/>
      <c r="G380" s="13"/>
      <c r="H380" s="14">
        <f>SUBTOTAL(9,H381:H381)</f>
        <v>21442.69</v>
      </c>
      <c r="J380" s="320"/>
    </row>
    <row r="381" spans="1:10" ht="75" customHeight="1" x14ac:dyDescent="0.25">
      <c r="A381" s="208">
        <f>IF(AND(B381&lt;&gt;"",C381&lt;&gt;""),LARGE($A$14:$A380,1)+1,"")</f>
        <v>223</v>
      </c>
      <c r="B381" s="16" t="s">
        <v>4715</v>
      </c>
      <c r="C381" s="17" t="s">
        <v>5061</v>
      </c>
      <c r="D381" s="18" t="str">
        <f>IF(B381&amp;C381="","",VLOOKUP(B381&amp;C381,SERVIÇOS!C:F,2,0))</f>
        <v>Fornecimento e instalação de Plataforma Elevatória (elevador acessível) de 2 paradas, desnível de 2,80m entre pisos, com cabine dim. 0,90X1,40m com portas de acesso do mesmo lado e última altura menor que 2,60m, ref. PL 240 da MONTELE ou equivalente técnico.</v>
      </c>
      <c r="E381" s="16" t="str">
        <f>IF(B381&amp;C381="","",VLOOKUP(B381&amp;C381,SERVIÇOS!C:F,3,0))</f>
        <v>un</v>
      </c>
      <c r="F381" s="19">
        <v>1</v>
      </c>
      <c r="G381" s="20">
        <f>IF(B381&amp;C381="","",VLOOKUP(B381&amp;C381,SERVIÇOS!C:F,4,0))*1.1033</f>
        <v>21442.690664999998</v>
      </c>
      <c r="H381" s="20">
        <f t="shared" ref="H381" si="80">IF(G381="","",TRUNC(G381*F381,2))</f>
        <v>21442.69</v>
      </c>
      <c r="J381" s="320"/>
    </row>
    <row r="382" spans="1:10" ht="5.0999999999999996" customHeight="1" x14ac:dyDescent="0.25">
      <c r="A382" s="73"/>
      <c r="B382" s="2"/>
      <c r="C382" s="2"/>
      <c r="D382" s="21"/>
      <c r="E382" s="2"/>
      <c r="F382" s="2"/>
      <c r="G382" s="2"/>
      <c r="H382" s="74"/>
      <c r="J382" s="320"/>
    </row>
    <row r="383" spans="1:10" x14ac:dyDescent="0.25">
      <c r="A383" s="3"/>
      <c r="B383" s="4" t="s">
        <v>5446</v>
      </c>
      <c r="C383" s="5"/>
      <c r="D383" s="29"/>
      <c r="E383" s="6"/>
      <c r="F383" s="7"/>
      <c r="G383" s="7"/>
      <c r="H383" s="8">
        <f>SUBTOTAL(9,H385:H385)</f>
        <v>5786.64</v>
      </c>
    </row>
    <row r="384" spans="1:10" ht="5.0999999999999996" customHeight="1" x14ac:dyDescent="0.25">
      <c r="A384" s="73"/>
      <c r="B384" s="2"/>
      <c r="C384" s="2"/>
      <c r="D384" s="21"/>
      <c r="E384" s="2"/>
      <c r="F384" s="2"/>
      <c r="G384" s="2"/>
      <c r="H384" s="74"/>
    </row>
    <row r="385" spans="1:8" ht="45" customHeight="1" x14ac:dyDescent="0.25">
      <c r="A385" s="208">
        <f>IF(AND(B385&lt;&gt;"",C385&lt;&gt;""),LARGE($A$14:$A384,1)+1,"")</f>
        <v>224</v>
      </c>
      <c r="B385" s="16" t="s">
        <v>4398</v>
      </c>
      <c r="C385" s="17">
        <v>550102</v>
      </c>
      <c r="D385" s="18" t="str">
        <f>IF(B385&amp;C385="","",VLOOKUP(B385&amp;C385,SERVIÇOS!C:F,2,0))</f>
        <v>Limpeza final da obra</v>
      </c>
      <c r="E385" s="16" t="str">
        <f>IF(B385&amp;C385="","",VLOOKUP(B385&amp;C385,SERVIÇOS!C:F,3,0))</f>
        <v>m²</v>
      </c>
      <c r="F385" s="19">
        <v>564</v>
      </c>
      <c r="G385" s="431">
        <v>10.26</v>
      </c>
      <c r="H385" s="20">
        <f t="shared" ref="H385" si="81">IF(G385="","",TRUNC(G385*F385,2))</f>
        <v>5786.64</v>
      </c>
    </row>
    <row r="386" spans="1:8" ht="5.0999999999999996" customHeight="1" x14ac:dyDescent="0.25">
      <c r="A386" s="73"/>
      <c r="B386" s="2"/>
      <c r="C386" s="2"/>
      <c r="D386" s="21"/>
      <c r="E386" s="2"/>
      <c r="F386" s="2"/>
      <c r="G386" s="2"/>
      <c r="H386" s="74"/>
    </row>
    <row r="387" spans="1:8" x14ac:dyDescent="0.25">
      <c r="A387" s="22"/>
      <c r="B387" s="23" t="s">
        <v>28</v>
      </c>
      <c r="C387" s="24"/>
      <c r="D387" s="24"/>
      <c r="E387" s="26"/>
      <c r="F387" s="27"/>
      <c r="G387" s="27"/>
      <c r="H387" s="28">
        <f>H383+H371+H276+H272+H213++H204+H117+H112+H90+H80+H68+H62+H20</f>
        <v>2297350.6999999997</v>
      </c>
    </row>
    <row r="388" spans="1:8" ht="5.0999999999999996" customHeight="1" x14ac:dyDescent="0.25">
      <c r="A388" s="73"/>
      <c r="B388" s="2"/>
      <c r="C388" s="2"/>
      <c r="D388" s="2"/>
      <c r="E388" s="2"/>
      <c r="F388" s="2"/>
      <c r="G388" s="2"/>
      <c r="H388" s="74"/>
    </row>
    <row r="389" spans="1:8" x14ac:dyDescent="0.25">
      <c r="A389" s="22"/>
      <c r="B389" s="23" t="s">
        <v>37</v>
      </c>
      <c r="C389" s="24"/>
      <c r="D389" s="25"/>
      <c r="E389" s="26"/>
      <c r="F389" s="27"/>
      <c r="G389" s="27"/>
      <c r="H389" s="170">
        <f>'BDI Obras'!D44</f>
        <v>0.31330000000000002</v>
      </c>
    </row>
    <row r="390" spans="1:8" ht="5.0999999999999996" customHeight="1" x14ac:dyDescent="0.25">
      <c r="A390" s="73"/>
      <c r="B390" s="2"/>
      <c r="C390" s="2"/>
      <c r="D390" s="21"/>
      <c r="E390" s="2"/>
      <c r="F390" s="2"/>
      <c r="G390" s="2"/>
      <c r="H390" s="74"/>
    </row>
    <row r="391" spans="1:8" x14ac:dyDescent="0.25">
      <c r="A391" s="22"/>
      <c r="B391" s="23" t="s">
        <v>38</v>
      </c>
      <c r="C391" s="24"/>
      <c r="D391" s="25"/>
      <c r="E391" s="26"/>
      <c r="F391" s="27"/>
      <c r="G391" s="27"/>
      <c r="H391" s="28">
        <f>H387*1.3133</f>
        <v>3017110.6743099992</v>
      </c>
    </row>
    <row r="392" spans="1:8" ht="5.0999999999999996" customHeight="1" x14ac:dyDescent="0.25">
      <c r="A392" s="73"/>
      <c r="B392" s="2"/>
      <c r="C392" s="2"/>
      <c r="D392" s="21"/>
      <c r="E392" s="2"/>
      <c r="F392" s="2"/>
      <c r="G392" s="2"/>
      <c r="H392" s="74"/>
    </row>
    <row r="393" spans="1:8" x14ac:dyDescent="0.25">
      <c r="A393" s="3" t="s">
        <v>29</v>
      </c>
      <c r="B393" s="4" t="s">
        <v>30</v>
      </c>
      <c r="C393" s="5"/>
      <c r="D393" s="5"/>
      <c r="E393" s="6"/>
      <c r="F393" s="7"/>
      <c r="G393" s="7"/>
      <c r="H393" s="8">
        <f>SUBTOTAL(9,H394:H398)</f>
        <v>253466.7</v>
      </c>
    </row>
    <row r="394" spans="1:8" ht="5.0999999999999996" customHeight="1" x14ac:dyDescent="0.25">
      <c r="A394" s="73"/>
      <c r="B394" s="2"/>
      <c r="C394" s="2"/>
      <c r="D394" s="2"/>
      <c r="E394" s="2"/>
      <c r="F394" s="2"/>
      <c r="G394" s="2"/>
      <c r="H394" s="74"/>
    </row>
    <row r="395" spans="1:8" x14ac:dyDescent="0.25">
      <c r="A395" s="9"/>
      <c r="B395" s="10" t="s">
        <v>30</v>
      </c>
      <c r="C395" s="11"/>
      <c r="D395" s="11"/>
      <c r="E395" s="12"/>
      <c r="F395" s="13"/>
      <c r="G395" s="13"/>
      <c r="H395" s="14">
        <f>SUBTOTAL(9,H396:H396)</f>
        <v>253466.7</v>
      </c>
    </row>
    <row r="396" spans="1:8" ht="15.75" customHeight="1" x14ac:dyDescent="0.25">
      <c r="A396" s="15">
        <f>IF(AND(B396&lt;&gt;"",C396&lt;&gt;""),LARGE($A$14:$A395,1)+1,"")</f>
        <v>225</v>
      </c>
      <c r="B396" s="16" t="s">
        <v>5437</v>
      </c>
      <c r="C396" s="17" t="s">
        <v>5438</v>
      </c>
      <c r="D396" s="18" t="str">
        <f>IF(B396&amp;C396="","",VLOOKUP(B396&amp;C396,SERVIÇOS!C:F,2,0))</f>
        <v>Administração Local (Sede)</v>
      </c>
      <c r="E396" s="16" t="str">
        <f>IF(B396&amp;C396="","",VLOOKUP(B396&amp;C396,SERVIÇOS!C:F,3,0))</f>
        <v>mês</v>
      </c>
      <c r="F396" s="19">
        <v>6</v>
      </c>
      <c r="G396" s="20">
        <f>IF(B396&amp;C396="","",VLOOKUP(B396&amp;C396,SERVIÇOS!C:F,4,0))*1.1033</f>
        <v>42244.450455166661</v>
      </c>
      <c r="H396" s="20">
        <f t="shared" ref="H396" si="82">IF(G396="","",TRUNC(G396*F396,2))</f>
        <v>253466.7</v>
      </c>
    </row>
    <row r="397" spans="1:8" ht="5.0999999999999996" customHeight="1" x14ac:dyDescent="0.25">
      <c r="A397" s="73"/>
      <c r="B397" s="2"/>
      <c r="C397" s="2"/>
      <c r="D397" s="2"/>
      <c r="E397" s="2"/>
      <c r="F397" s="2"/>
      <c r="G397" s="2"/>
      <c r="H397" s="74"/>
    </row>
    <row r="398" spans="1:8" ht="5.0999999999999996" customHeight="1" x14ac:dyDescent="0.25">
      <c r="A398" s="73"/>
      <c r="B398" s="2"/>
      <c r="C398" s="2"/>
      <c r="D398" s="2"/>
      <c r="E398" s="2"/>
      <c r="F398" s="2"/>
      <c r="G398" s="2"/>
      <c r="H398" s="74"/>
    </row>
    <row r="399" spans="1:8" x14ac:dyDescent="0.25">
      <c r="A399" s="22"/>
      <c r="B399" s="23" t="s">
        <v>31</v>
      </c>
      <c r="C399" s="24"/>
      <c r="D399" s="24"/>
      <c r="E399" s="26"/>
      <c r="F399" s="27"/>
      <c r="G399" s="27"/>
      <c r="H399" s="28">
        <f>SUBTOTAL(9,(H395:H398))</f>
        <v>253466.7</v>
      </c>
    </row>
    <row r="400" spans="1:8" ht="5.0999999999999996" customHeight="1" x14ac:dyDescent="0.25">
      <c r="A400" s="73"/>
      <c r="B400" s="2"/>
      <c r="C400" s="2"/>
      <c r="D400" s="2"/>
      <c r="E400" s="2"/>
      <c r="F400" s="2"/>
      <c r="G400" s="2"/>
      <c r="H400" s="74"/>
    </row>
    <row r="401" spans="1:8" x14ac:dyDescent="0.25">
      <c r="A401" s="22"/>
      <c r="B401" s="23" t="s">
        <v>37</v>
      </c>
      <c r="C401" s="24"/>
      <c r="D401" s="25"/>
      <c r="E401" s="26"/>
      <c r="F401" s="27"/>
      <c r="G401" s="27"/>
      <c r="H401" s="170">
        <f>'BDI Obras'!D44</f>
        <v>0.31330000000000002</v>
      </c>
    </row>
    <row r="402" spans="1:8" ht="5.0999999999999996" customHeight="1" x14ac:dyDescent="0.25">
      <c r="A402" s="73"/>
      <c r="B402" s="2"/>
      <c r="C402" s="2"/>
      <c r="D402" s="21"/>
      <c r="E402" s="2"/>
      <c r="F402" s="2"/>
      <c r="G402" s="2"/>
      <c r="H402" s="74"/>
    </row>
    <row r="403" spans="1:8" x14ac:dyDescent="0.25">
      <c r="A403" s="22"/>
      <c r="B403" s="23" t="s">
        <v>39</v>
      </c>
      <c r="C403" s="24"/>
      <c r="D403" s="25"/>
      <c r="E403" s="26"/>
      <c r="F403" s="27"/>
      <c r="G403" s="27"/>
      <c r="H403" s="28">
        <f>H399*1.3133</f>
        <v>332877.81711</v>
      </c>
    </row>
    <row r="404" spans="1:8" ht="5.0999999999999996" customHeight="1" x14ac:dyDescent="0.25">
      <c r="A404" s="73"/>
      <c r="B404" s="2"/>
      <c r="C404" s="2"/>
      <c r="D404" s="21"/>
      <c r="E404" s="2"/>
      <c r="F404" s="2"/>
      <c r="G404" s="2"/>
      <c r="H404" s="74"/>
    </row>
    <row r="405" spans="1:8" ht="18.75" x14ac:dyDescent="0.25">
      <c r="A405" s="38"/>
      <c r="B405" s="39" t="s">
        <v>32</v>
      </c>
      <c r="C405" s="40"/>
      <c r="D405" s="40"/>
      <c r="E405" s="41"/>
      <c r="F405" s="42"/>
      <c r="G405" s="42"/>
      <c r="H405" s="43">
        <f>H403+H391+H16</f>
        <v>3549143.1814199993</v>
      </c>
    </row>
    <row r="406" spans="1:8" ht="5.0999999999999996" customHeight="1" x14ac:dyDescent="0.25">
      <c r="A406" s="73"/>
      <c r="B406" s="2"/>
      <c r="C406" s="2"/>
      <c r="D406" s="2"/>
      <c r="E406" s="2"/>
      <c r="F406" s="2"/>
      <c r="G406" s="2"/>
      <c r="H406" s="74"/>
    </row>
    <row r="407" spans="1:8" x14ac:dyDescent="0.25">
      <c r="A407" s="44"/>
      <c r="B407" s="45"/>
      <c r="C407" s="45"/>
      <c r="D407" s="46"/>
      <c r="E407" s="47"/>
      <c r="F407" s="48"/>
      <c r="G407" s="48"/>
      <c r="H407" s="49"/>
    </row>
    <row r="408" spans="1:8" x14ac:dyDescent="0.25">
      <c r="A408" s="50"/>
      <c r="B408" s="51"/>
      <c r="C408" s="52"/>
      <c r="D408" s="511" t="s">
        <v>33</v>
      </c>
      <c r="E408" s="511"/>
      <c r="F408" s="53"/>
      <c r="G408" s="53"/>
      <c r="H408" s="54"/>
    </row>
    <row r="409" spans="1:8" x14ac:dyDescent="0.25">
      <c r="A409" s="50"/>
      <c r="B409" s="51"/>
      <c r="C409" s="512" t="s">
        <v>34</v>
      </c>
      <c r="D409" s="512"/>
      <c r="E409" s="512"/>
      <c r="F409" s="512"/>
      <c r="G409" s="53"/>
      <c r="H409" s="54"/>
    </row>
    <row r="410" spans="1:8" x14ac:dyDescent="0.25">
      <c r="A410" s="50"/>
      <c r="B410" s="51"/>
      <c r="C410" s="513" t="str">
        <f>F5&amp;" "&amp;G5</f>
        <v>CAU-SP Nº A 116.079-6</v>
      </c>
      <c r="D410" s="513"/>
      <c r="E410" s="513"/>
      <c r="F410" s="513"/>
      <c r="G410" s="53"/>
      <c r="H410" s="54"/>
    </row>
    <row r="411" spans="1:8" x14ac:dyDescent="0.25">
      <c r="A411" s="55"/>
      <c r="B411" s="56"/>
      <c r="C411" s="514" t="str">
        <f>$F$6&amp;" "&amp;$G$6</f>
        <v>RRT Nº 4774233</v>
      </c>
      <c r="D411" s="514"/>
      <c r="E411" s="514"/>
      <c r="F411" s="514"/>
      <c r="G411" s="57"/>
      <c r="H411" s="58"/>
    </row>
    <row r="412" spans="1:8" x14ac:dyDescent="0.25">
      <c r="A412" s="75"/>
      <c r="B412" s="59"/>
      <c r="C412" s="59"/>
      <c r="D412" s="515"/>
      <c r="E412" s="515"/>
      <c r="F412" s="60"/>
      <c r="G412" s="60"/>
      <c r="H412" s="76"/>
    </row>
    <row r="413" spans="1:8" x14ac:dyDescent="0.25">
      <c r="F413" s="64"/>
      <c r="G413" s="64"/>
      <c r="H413" s="64"/>
    </row>
    <row r="414" spans="1:8" x14ac:dyDescent="0.25">
      <c r="F414" s="64"/>
      <c r="G414" s="64"/>
      <c r="H414" s="64"/>
    </row>
    <row r="415" spans="1:8" x14ac:dyDescent="0.25">
      <c r="F415" s="64"/>
      <c r="G415" s="64"/>
      <c r="H415" s="64"/>
    </row>
    <row r="416" spans="1:8" x14ac:dyDescent="0.25">
      <c r="F416" s="64"/>
      <c r="G416" s="64"/>
      <c r="H416" s="64"/>
    </row>
    <row r="417" spans="6:8" x14ac:dyDescent="0.25">
      <c r="F417" s="64"/>
      <c r="G417" s="64"/>
      <c r="H417" s="64"/>
    </row>
  </sheetData>
  <autoFilter ref="A9:H412"/>
  <mergeCells count="6">
    <mergeCell ref="D412:E412"/>
    <mergeCell ref="C2:G2"/>
    <mergeCell ref="D408:E408"/>
    <mergeCell ref="C409:F409"/>
    <mergeCell ref="C410:F410"/>
    <mergeCell ref="C411:F411"/>
  </mergeCells>
  <pageMargins left="0.70866141732283472" right="0.70866141732283472" top="0.74803149606299213" bottom="0.74803149606299213" header="0.31496062992125984" footer="0.31496062992125984"/>
  <pageSetup paperSize="9" scale="53" fitToHeight="25" orientation="portrait" r:id="rId1"/>
  <rowBreaks count="2" manualBreakCount="2">
    <brk id="203" max="7" man="1"/>
    <brk id="360" max="7" man="1"/>
  </rowBreaks>
  <ignoredErrors>
    <ignoredError sqref="F198 F20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T44"/>
  <sheetViews>
    <sheetView view="pageBreakPreview" zoomScale="50" zoomScaleNormal="70" zoomScaleSheetLayoutView="50" workbookViewId="0">
      <selection activeCell="F20" sqref="F20"/>
    </sheetView>
  </sheetViews>
  <sheetFormatPr defaultRowHeight="15" x14ac:dyDescent="0.25"/>
  <cols>
    <col min="1" max="1" width="7.7109375" style="346" customWidth="1"/>
    <col min="2" max="2" width="16.7109375" style="62" customWidth="1"/>
    <col min="3" max="3" width="15.7109375" style="62" customWidth="1"/>
    <col min="4" max="4" width="65.5703125" style="62" customWidth="1"/>
    <col min="5" max="5" width="25.5703125" style="62" customWidth="1"/>
    <col min="6" max="16" width="20.7109375" style="62" customWidth="1"/>
    <col min="17" max="17" width="24.42578125" style="62" customWidth="1"/>
    <col min="18" max="20" width="20.7109375" style="62" customWidth="1"/>
    <col min="22" max="22" width="14" bestFit="1" customWidth="1"/>
    <col min="23" max="24" width="17.7109375" bestFit="1" customWidth="1"/>
  </cols>
  <sheetData>
    <row r="1" spans="1:20" x14ac:dyDescent="0.25">
      <c r="A1" s="44"/>
      <c r="B1" s="45"/>
      <c r="C1" s="45"/>
      <c r="D1" s="45"/>
      <c r="E1" s="45"/>
      <c r="F1" s="45"/>
      <c r="G1" s="45"/>
      <c r="H1" s="45"/>
      <c r="I1" s="45"/>
      <c r="J1" s="45"/>
      <c r="K1" s="45"/>
      <c r="L1" s="45"/>
      <c r="M1" s="45"/>
      <c r="N1" s="45"/>
      <c r="O1" s="45"/>
      <c r="P1" s="45"/>
      <c r="Q1" s="45"/>
      <c r="R1" s="45"/>
      <c r="S1" s="45"/>
      <c r="T1" s="65"/>
    </row>
    <row r="2" spans="1:20" ht="37.5" x14ac:dyDescent="0.25">
      <c r="A2" s="66"/>
      <c r="B2" s="67"/>
      <c r="C2" s="67"/>
      <c r="D2" s="77" t="s">
        <v>35</v>
      </c>
      <c r="E2" s="77"/>
      <c r="F2" s="77"/>
      <c r="G2" s="77"/>
      <c r="H2" s="77"/>
      <c r="I2" s="77"/>
      <c r="J2" s="77"/>
      <c r="K2" s="83" t="s">
        <v>0</v>
      </c>
      <c r="L2" s="84">
        <v>42522</v>
      </c>
      <c r="M2" s="91"/>
      <c r="N2" s="77"/>
      <c r="O2" s="77"/>
      <c r="P2" s="77"/>
      <c r="Q2" s="83" t="s">
        <v>0</v>
      </c>
      <c r="R2" s="84">
        <v>42522</v>
      </c>
      <c r="S2" s="91"/>
      <c r="T2" s="85"/>
    </row>
    <row r="3" spans="1:20" ht="18.75" x14ac:dyDescent="0.25">
      <c r="A3" s="66"/>
      <c r="B3" s="67"/>
      <c r="C3" s="67"/>
      <c r="D3" s="68" t="s">
        <v>36</v>
      </c>
      <c r="E3" s="68"/>
      <c r="F3" s="68"/>
      <c r="G3" s="68"/>
      <c r="H3" s="68"/>
      <c r="I3" s="68"/>
      <c r="J3" s="68"/>
      <c r="K3" s="83" t="s">
        <v>1</v>
      </c>
      <c r="L3" s="86" t="s">
        <v>2</v>
      </c>
      <c r="M3" s="91" t="s">
        <v>3</v>
      </c>
      <c r="N3" s="68"/>
      <c r="O3" s="68"/>
      <c r="P3" s="68"/>
      <c r="Q3" s="83" t="s">
        <v>1</v>
      </c>
      <c r="R3" s="86" t="s">
        <v>2</v>
      </c>
      <c r="S3" s="91" t="s">
        <v>3</v>
      </c>
      <c r="T3" s="85"/>
    </row>
    <row r="4" spans="1:20" ht="18.75" x14ac:dyDescent="0.25">
      <c r="A4" s="66"/>
      <c r="B4" s="67"/>
      <c r="C4" s="67"/>
      <c r="D4" s="68" t="s">
        <v>5457</v>
      </c>
      <c r="E4" s="68"/>
      <c r="F4" s="68"/>
      <c r="G4" s="68"/>
      <c r="H4" s="68"/>
      <c r="I4" s="68"/>
      <c r="J4" s="68"/>
      <c r="K4" s="83" t="s">
        <v>5</v>
      </c>
      <c r="L4" s="87" t="s">
        <v>6</v>
      </c>
      <c r="M4" s="92" t="s">
        <v>7</v>
      </c>
      <c r="N4" s="68"/>
      <c r="O4" s="68"/>
      <c r="P4" s="68"/>
      <c r="Q4" s="83" t="s">
        <v>5</v>
      </c>
      <c r="R4" s="87" t="s">
        <v>6</v>
      </c>
      <c r="S4" s="92" t="s">
        <v>7</v>
      </c>
      <c r="T4" s="88"/>
    </row>
    <row r="5" spans="1:20" ht="18.75" x14ac:dyDescent="0.25">
      <c r="A5" s="66"/>
      <c r="B5" s="67"/>
      <c r="C5" s="67"/>
      <c r="D5" s="68" t="s">
        <v>5472</v>
      </c>
      <c r="E5" s="68"/>
      <c r="F5" s="68"/>
      <c r="G5" s="68"/>
      <c r="H5" s="68"/>
      <c r="I5" s="68"/>
      <c r="J5" s="68"/>
      <c r="K5" s="83" t="s">
        <v>8</v>
      </c>
      <c r="L5" s="87">
        <v>4774233</v>
      </c>
      <c r="M5" s="93">
        <v>42309</v>
      </c>
      <c r="N5" s="68"/>
      <c r="O5" s="68"/>
      <c r="P5" s="68"/>
      <c r="Q5" s="83" t="s">
        <v>8</v>
      </c>
      <c r="R5" s="87">
        <v>4774233</v>
      </c>
      <c r="S5" s="93">
        <v>42309</v>
      </c>
      <c r="T5" s="90"/>
    </row>
    <row r="6" spans="1:20" ht="18.75" x14ac:dyDescent="0.25">
      <c r="A6" s="50"/>
      <c r="B6" s="51"/>
      <c r="C6" s="51"/>
      <c r="D6" s="77" t="s">
        <v>5473</v>
      </c>
      <c r="E6" s="77"/>
      <c r="F6" s="77"/>
      <c r="G6" s="77"/>
      <c r="H6" s="77"/>
      <c r="I6" s="77"/>
      <c r="J6" s="77"/>
      <c r="K6" s="51"/>
      <c r="L6" s="71"/>
      <c r="M6" s="315" t="s">
        <v>4401</v>
      </c>
      <c r="N6" s="77"/>
      <c r="O6" s="77"/>
      <c r="P6" s="77"/>
      <c r="Q6" s="51"/>
      <c r="R6" s="71"/>
      <c r="S6" s="315" t="s">
        <v>4401</v>
      </c>
      <c r="T6" s="72"/>
    </row>
    <row r="7" spans="1:20" ht="18.75" x14ac:dyDescent="0.25">
      <c r="A7" s="251"/>
      <c r="B7" s="252"/>
      <c r="C7" s="252"/>
      <c r="D7" s="391"/>
      <c r="E7" s="391"/>
      <c r="F7" s="391"/>
      <c r="G7" s="391"/>
      <c r="H7" s="391"/>
      <c r="I7" s="391"/>
      <c r="J7" s="391"/>
      <c r="K7" s="391"/>
      <c r="L7" s="391"/>
      <c r="M7" s="391"/>
      <c r="N7" s="391"/>
      <c r="O7" s="391"/>
      <c r="P7" s="391"/>
      <c r="Q7" s="391"/>
      <c r="R7" s="391"/>
      <c r="S7" s="391"/>
      <c r="T7" s="392"/>
    </row>
    <row r="8" spans="1:20" ht="18.75" x14ac:dyDescent="0.25">
      <c r="A8" s="50"/>
      <c r="B8" s="51"/>
      <c r="C8" s="51"/>
      <c r="D8" s="77"/>
      <c r="E8" s="516" t="s">
        <v>5474</v>
      </c>
      <c r="F8" s="516" t="s">
        <v>5475</v>
      </c>
      <c r="G8" s="516" t="s">
        <v>5480</v>
      </c>
      <c r="H8" s="390" t="s">
        <v>5477</v>
      </c>
      <c r="I8" s="390">
        <v>1</v>
      </c>
      <c r="J8" s="390" t="s">
        <v>5477</v>
      </c>
      <c r="K8" s="390">
        <v>2</v>
      </c>
      <c r="L8" s="390" t="s">
        <v>5477</v>
      </c>
      <c r="M8" s="390">
        <v>3</v>
      </c>
      <c r="N8" s="390" t="s">
        <v>5477</v>
      </c>
      <c r="O8" s="390">
        <v>4</v>
      </c>
      <c r="P8" s="390" t="s">
        <v>5477</v>
      </c>
      <c r="Q8" s="390">
        <v>5</v>
      </c>
      <c r="R8" s="390" t="s">
        <v>5477</v>
      </c>
      <c r="S8" s="390">
        <v>6</v>
      </c>
      <c r="T8" s="390" t="s">
        <v>4756</v>
      </c>
    </row>
    <row r="9" spans="1:20" ht="18.75" x14ac:dyDescent="0.25">
      <c r="A9" s="50"/>
      <c r="B9" s="51"/>
      <c r="C9" s="51"/>
      <c r="D9" s="77"/>
      <c r="E9" s="517"/>
      <c r="F9" s="517"/>
      <c r="G9" s="517"/>
      <c r="H9" s="380" t="s">
        <v>5478</v>
      </c>
      <c r="I9" s="380" t="s">
        <v>5479</v>
      </c>
      <c r="J9" s="380" t="s">
        <v>5478</v>
      </c>
      <c r="K9" s="380" t="s">
        <v>5479</v>
      </c>
      <c r="L9" s="380" t="s">
        <v>5478</v>
      </c>
      <c r="M9" s="380" t="s">
        <v>5479</v>
      </c>
      <c r="N9" s="380" t="s">
        <v>5478</v>
      </c>
      <c r="O9" s="380" t="s">
        <v>5479</v>
      </c>
      <c r="P9" s="380" t="s">
        <v>5478</v>
      </c>
      <c r="Q9" s="380" t="s">
        <v>5479</v>
      </c>
      <c r="R9" s="380" t="s">
        <v>5478</v>
      </c>
      <c r="S9" s="380" t="s">
        <v>5479</v>
      </c>
      <c r="T9" s="380" t="s">
        <v>5481</v>
      </c>
    </row>
    <row r="10" spans="1:20" ht="24.95" customHeight="1" x14ac:dyDescent="0.25">
      <c r="A10" s="356"/>
      <c r="B10" s="357" t="s">
        <v>4777</v>
      </c>
      <c r="C10" s="358"/>
      <c r="D10" s="359"/>
      <c r="E10" s="360">
        <f>'PO-SEDE'!H16</f>
        <v>199154.69</v>
      </c>
      <c r="F10" s="361">
        <f>E10</f>
        <v>199154.69</v>
      </c>
      <c r="G10" s="381">
        <f>F10/$F$31</f>
        <v>5.6113456298901673E-2</v>
      </c>
      <c r="H10" s="408">
        <f>(H12/$F$12)*$F$10</f>
        <v>6951.0998507624936</v>
      </c>
      <c r="I10" s="418">
        <f>H10</f>
        <v>6951.0998507624936</v>
      </c>
      <c r="J10" s="408">
        <f>(J12/$F$12)*$F$10</f>
        <v>26608.447472680804</v>
      </c>
      <c r="K10" s="425">
        <f>J10+I10</f>
        <v>33559.547323443301</v>
      </c>
      <c r="L10" s="408">
        <f>(L12/$F$12)*$F$10</f>
        <v>24584.088147845549</v>
      </c>
      <c r="M10" s="425">
        <f>L10+K10</f>
        <v>58143.63547128885</v>
      </c>
      <c r="N10" s="408">
        <f>(N12/$F$12)*$F$10</f>
        <v>21262.769579876076</v>
      </c>
      <c r="O10" s="425">
        <f>N10+M10</f>
        <v>79406.405051164926</v>
      </c>
      <c r="P10" s="408">
        <f>(P12/$F$12)*$F$10</f>
        <v>66428.310967128607</v>
      </c>
      <c r="Q10" s="425">
        <f>P10+O10</f>
        <v>145834.71601829352</v>
      </c>
      <c r="R10" s="408">
        <f>(R12/$F$12)*$F$10</f>
        <v>53319.973981706455</v>
      </c>
      <c r="S10" s="425">
        <f>R10+Q10</f>
        <v>199154.68999999997</v>
      </c>
      <c r="T10" s="404">
        <f>S10/F10</f>
        <v>0.99999999999999989</v>
      </c>
    </row>
    <row r="11" spans="1:20" ht="5.0999999999999996" customHeight="1" x14ac:dyDescent="0.25">
      <c r="A11" s="297"/>
      <c r="B11" s="362"/>
      <c r="C11" s="363"/>
      <c r="D11" s="364"/>
      <c r="E11" s="365"/>
      <c r="F11" s="366"/>
      <c r="G11" s="366"/>
      <c r="H11" s="409"/>
      <c r="I11" s="419"/>
      <c r="J11" s="409"/>
      <c r="K11" s="419"/>
      <c r="L11" s="409"/>
      <c r="M11" s="419"/>
      <c r="N11" s="409"/>
      <c r="O11" s="419"/>
      <c r="P11" s="409"/>
      <c r="Q11" s="419"/>
      <c r="R11" s="409"/>
      <c r="S11" s="419"/>
      <c r="T11" s="405"/>
    </row>
    <row r="12" spans="1:20" ht="24.75" customHeight="1" x14ac:dyDescent="0.25">
      <c r="A12" s="352"/>
      <c r="B12" s="353" t="s">
        <v>21</v>
      </c>
      <c r="C12" s="354"/>
      <c r="D12" s="355"/>
      <c r="E12" s="367">
        <f>SUM(E13:E27)</f>
        <v>2297350.7000000002</v>
      </c>
      <c r="F12" s="367">
        <f>SUM(F13:F27)</f>
        <v>3017110.6670000004</v>
      </c>
      <c r="G12" s="381">
        <f>F12/$F$31</f>
        <v>0.85009550898175978</v>
      </c>
      <c r="H12" s="410">
        <f t="shared" ref="H12:S12" si="0">SUM(H13:H27)</f>
        <v>105306.26975000001</v>
      </c>
      <c r="I12" s="420">
        <f t="shared" si="0"/>
        <v>105306.26975000001</v>
      </c>
      <c r="J12" s="410">
        <f t="shared" si="0"/>
        <v>403106.90499999997</v>
      </c>
      <c r="K12" s="420">
        <f t="shared" si="0"/>
        <v>508413.17475000001</v>
      </c>
      <c r="L12" s="410">
        <f t="shared" si="0"/>
        <v>372438.70374999999</v>
      </c>
      <c r="M12" s="420">
        <f t="shared" si="0"/>
        <v>880851.87849999999</v>
      </c>
      <c r="N12" s="410">
        <f t="shared" si="0"/>
        <v>322122.10975</v>
      </c>
      <c r="O12" s="420">
        <f t="shared" si="0"/>
        <v>1202973.9882499999</v>
      </c>
      <c r="P12" s="410">
        <f t="shared" si="0"/>
        <v>1006361.2642499999</v>
      </c>
      <c r="Q12" s="420">
        <f t="shared" si="0"/>
        <v>2209335.2524999999</v>
      </c>
      <c r="R12" s="410">
        <f t="shared" si="0"/>
        <v>807775.41450000007</v>
      </c>
      <c r="S12" s="420">
        <f t="shared" si="0"/>
        <v>3017110.6670000004</v>
      </c>
      <c r="T12" s="406">
        <f>S12/F12</f>
        <v>1</v>
      </c>
    </row>
    <row r="13" spans="1:20" ht="24.95" customHeight="1" x14ac:dyDescent="0.25">
      <c r="A13" s="347"/>
      <c r="B13" s="348" t="s">
        <v>22</v>
      </c>
      <c r="C13" s="349"/>
      <c r="D13" s="350"/>
      <c r="E13" s="368">
        <f>VLOOKUP(B13,'PO-SEDE'!B:H,7,0)</f>
        <v>83506.94</v>
      </c>
      <c r="F13" s="368">
        <f>TRUNC(E13*(1+'BDI Obras'!$D$44),3)</f>
        <v>109669.664</v>
      </c>
      <c r="G13" s="382">
        <f t="shared" ref="G13:G27" si="1">F13/$F$31</f>
        <v>3.0900321243648495E-2</v>
      </c>
      <c r="H13" s="411">
        <f>$F$13/2</f>
        <v>54834.832000000002</v>
      </c>
      <c r="I13" s="421">
        <f>H13</f>
        <v>54834.832000000002</v>
      </c>
      <c r="J13" s="411">
        <f>$F$13/2</f>
        <v>54834.832000000002</v>
      </c>
      <c r="K13" s="421">
        <f>J13+I13</f>
        <v>109669.664</v>
      </c>
      <c r="L13" s="411">
        <v>0</v>
      </c>
      <c r="M13" s="421">
        <f>L13+K13</f>
        <v>109669.664</v>
      </c>
      <c r="N13" s="411">
        <v>0</v>
      </c>
      <c r="O13" s="421">
        <f>N13+M13</f>
        <v>109669.664</v>
      </c>
      <c r="P13" s="411">
        <v>0</v>
      </c>
      <c r="Q13" s="421">
        <f>P13+O13</f>
        <v>109669.664</v>
      </c>
      <c r="R13" s="411">
        <v>0</v>
      </c>
      <c r="S13" s="421">
        <f>R13+Q13</f>
        <v>109669.664</v>
      </c>
      <c r="T13" s="407">
        <f t="shared" ref="T13:T27" si="2">S13/F13</f>
        <v>1</v>
      </c>
    </row>
    <row r="14" spans="1:20" ht="24.95" customHeight="1" x14ac:dyDescent="0.25">
      <c r="A14" s="347"/>
      <c r="B14" s="348"/>
      <c r="C14" s="349"/>
      <c r="D14" s="350"/>
      <c r="E14" s="368"/>
      <c r="F14" s="368"/>
      <c r="G14" s="382"/>
      <c r="H14" s="411"/>
      <c r="I14" s="421"/>
      <c r="J14" s="411"/>
      <c r="K14" s="421"/>
      <c r="L14" s="411"/>
      <c r="M14" s="421"/>
      <c r="N14" s="411"/>
      <c r="O14" s="421"/>
      <c r="P14" s="411"/>
      <c r="Q14" s="421"/>
      <c r="R14" s="411"/>
      <c r="S14" s="421"/>
      <c r="T14" s="407"/>
    </row>
    <row r="15" spans="1:20" ht="24.95" customHeight="1" x14ac:dyDescent="0.25">
      <c r="A15" s="347"/>
      <c r="B15" s="348"/>
      <c r="C15" s="349"/>
      <c r="D15" s="350"/>
      <c r="E15" s="368"/>
      <c r="F15" s="368"/>
      <c r="G15" s="382"/>
      <c r="H15" s="411"/>
      <c r="I15" s="421"/>
      <c r="J15" s="411"/>
      <c r="K15" s="421"/>
      <c r="L15" s="411"/>
      <c r="M15" s="421"/>
      <c r="N15" s="411"/>
      <c r="O15" s="421"/>
      <c r="P15" s="411"/>
      <c r="Q15" s="421"/>
      <c r="R15" s="411"/>
      <c r="S15" s="421"/>
      <c r="T15" s="407"/>
    </row>
    <row r="16" spans="1:20" ht="24.95" customHeight="1" x14ac:dyDescent="0.25">
      <c r="A16" s="347"/>
      <c r="B16" s="348" t="s">
        <v>25</v>
      </c>
      <c r="C16" s="349"/>
      <c r="D16" s="350"/>
      <c r="E16" s="368">
        <f>VLOOKUP(B16,'PO-SEDE'!B:H,7,0)</f>
        <v>1550.3</v>
      </c>
      <c r="F16" s="368">
        <f>TRUNC(E16*(1+'BDI Obras'!$D$44),3)</f>
        <v>2036.008</v>
      </c>
      <c r="G16" s="382">
        <f t="shared" si="1"/>
        <v>5.736618401113938E-4</v>
      </c>
      <c r="H16" s="411">
        <f>F16</f>
        <v>2036.008</v>
      </c>
      <c r="I16" s="421">
        <f t="shared" ref="I16:I27" si="3">H16</f>
        <v>2036.008</v>
      </c>
      <c r="J16" s="411">
        <v>0</v>
      </c>
      <c r="K16" s="421">
        <f t="shared" ref="K16:S27" si="4">J16+I16</f>
        <v>2036.008</v>
      </c>
      <c r="L16" s="411">
        <v>0</v>
      </c>
      <c r="M16" s="421">
        <f t="shared" si="4"/>
        <v>2036.008</v>
      </c>
      <c r="N16" s="411">
        <v>0</v>
      </c>
      <c r="O16" s="421">
        <f t="shared" si="4"/>
        <v>2036.008</v>
      </c>
      <c r="P16" s="411">
        <v>0</v>
      </c>
      <c r="Q16" s="421">
        <f t="shared" si="4"/>
        <v>2036.008</v>
      </c>
      <c r="R16" s="411">
        <v>0</v>
      </c>
      <c r="S16" s="421">
        <f t="shared" si="4"/>
        <v>2036.008</v>
      </c>
      <c r="T16" s="407">
        <f t="shared" si="2"/>
        <v>1</v>
      </c>
    </row>
    <row r="17" spans="1:20" ht="24.95" customHeight="1" x14ac:dyDescent="0.25">
      <c r="A17" s="347"/>
      <c r="B17" s="348" t="s">
        <v>26</v>
      </c>
      <c r="C17" s="349"/>
      <c r="D17" s="350"/>
      <c r="E17" s="368">
        <f>VLOOKUP(B17,'PO-SEDE'!B:H,7,0)</f>
        <v>18479.25</v>
      </c>
      <c r="F17" s="368">
        <f>TRUNC(E17*(1+'BDI Obras'!$D$44),3)</f>
        <v>24268.798999999999</v>
      </c>
      <c r="G17" s="382">
        <f t="shared" si="1"/>
        <v>6.8379318213059835E-3</v>
      </c>
      <c r="H17" s="411">
        <f>$F$17/2</f>
        <v>12134.3995</v>
      </c>
      <c r="I17" s="421">
        <f t="shared" si="3"/>
        <v>12134.3995</v>
      </c>
      <c r="J17" s="411">
        <f>$F$17/2</f>
        <v>12134.3995</v>
      </c>
      <c r="K17" s="421">
        <f t="shared" si="4"/>
        <v>24268.798999999999</v>
      </c>
      <c r="L17" s="411">
        <v>0</v>
      </c>
      <c r="M17" s="421">
        <f t="shared" si="4"/>
        <v>24268.798999999999</v>
      </c>
      <c r="N17" s="411">
        <v>0</v>
      </c>
      <c r="O17" s="421">
        <f t="shared" si="4"/>
        <v>24268.798999999999</v>
      </c>
      <c r="P17" s="411">
        <v>0</v>
      </c>
      <c r="Q17" s="421">
        <f t="shared" si="4"/>
        <v>24268.798999999999</v>
      </c>
      <c r="R17" s="411">
        <v>0</v>
      </c>
      <c r="S17" s="421">
        <f t="shared" si="4"/>
        <v>24268.798999999999</v>
      </c>
      <c r="T17" s="407">
        <f t="shared" si="2"/>
        <v>1</v>
      </c>
    </row>
    <row r="18" spans="1:20" ht="24.95" customHeight="1" x14ac:dyDescent="0.25">
      <c r="A18" s="347"/>
      <c r="B18" s="348" t="s">
        <v>27</v>
      </c>
      <c r="C18" s="349"/>
      <c r="D18" s="350"/>
      <c r="E18" s="368">
        <f>VLOOKUP(B18,'PO-SEDE'!B:H,7,0)</f>
        <v>2408.09</v>
      </c>
      <c r="F18" s="368">
        <f>TRUNC(E18*(1+'BDI Obras'!$D$44),3)</f>
        <v>3162.5439999999999</v>
      </c>
      <c r="G18" s="382">
        <f t="shared" si="1"/>
        <v>8.9107253531088668E-4</v>
      </c>
      <c r="H18" s="411">
        <v>0</v>
      </c>
      <c r="I18" s="421">
        <f t="shared" si="3"/>
        <v>0</v>
      </c>
      <c r="J18" s="411">
        <v>0</v>
      </c>
      <c r="K18" s="421">
        <f t="shared" si="4"/>
        <v>0</v>
      </c>
      <c r="L18" s="411">
        <v>0</v>
      </c>
      <c r="M18" s="421">
        <f t="shared" si="4"/>
        <v>0</v>
      </c>
      <c r="N18" s="411">
        <v>0</v>
      </c>
      <c r="O18" s="421">
        <f t="shared" si="4"/>
        <v>0</v>
      </c>
      <c r="P18" s="411">
        <f>F18</f>
        <v>3162.5439999999999</v>
      </c>
      <c r="Q18" s="421">
        <f t="shared" si="4"/>
        <v>3162.5439999999999</v>
      </c>
      <c r="R18" s="411">
        <v>0</v>
      </c>
      <c r="S18" s="421">
        <f t="shared" si="4"/>
        <v>3162.5439999999999</v>
      </c>
      <c r="T18" s="407">
        <f t="shared" si="2"/>
        <v>1</v>
      </c>
    </row>
    <row r="19" spans="1:20" ht="24.95" customHeight="1" x14ac:dyDescent="0.25">
      <c r="A19" s="347"/>
      <c r="B19" s="348" t="s">
        <v>4708</v>
      </c>
      <c r="C19" s="349"/>
      <c r="D19" s="350"/>
      <c r="E19" s="368">
        <f>VLOOKUP(B19,'PO-SEDE'!B:H,7,0)</f>
        <v>76626.2</v>
      </c>
      <c r="F19" s="368">
        <f>TRUNC(E19*(1+'BDI Obras'!$D$44),3)</f>
        <v>100633.18799999999</v>
      </c>
      <c r="G19" s="382">
        <f t="shared" si="1"/>
        <v>2.8354220516007712E-2</v>
      </c>
      <c r="H19" s="411">
        <v>0</v>
      </c>
      <c r="I19" s="421">
        <f t="shared" si="3"/>
        <v>0</v>
      </c>
      <c r="J19" s="411">
        <f>$F$19/2</f>
        <v>50316.593999999997</v>
      </c>
      <c r="K19" s="421">
        <f t="shared" si="4"/>
        <v>50316.593999999997</v>
      </c>
      <c r="L19" s="411">
        <f>$F$19/2</f>
        <v>50316.593999999997</v>
      </c>
      <c r="M19" s="421">
        <f t="shared" si="4"/>
        <v>100633.18799999999</v>
      </c>
      <c r="N19" s="411">
        <v>0</v>
      </c>
      <c r="O19" s="421">
        <f t="shared" si="4"/>
        <v>100633.18799999999</v>
      </c>
      <c r="P19" s="411">
        <v>0</v>
      </c>
      <c r="Q19" s="421">
        <f t="shared" si="4"/>
        <v>100633.18799999999</v>
      </c>
      <c r="R19" s="411">
        <v>0</v>
      </c>
      <c r="S19" s="421">
        <f t="shared" si="4"/>
        <v>100633.18799999999</v>
      </c>
      <c r="T19" s="407">
        <f t="shared" si="2"/>
        <v>1</v>
      </c>
    </row>
    <row r="20" spans="1:20" ht="24.95" customHeight="1" x14ac:dyDescent="0.25">
      <c r="A20" s="347"/>
      <c r="B20" s="348" t="s">
        <v>4709</v>
      </c>
      <c r="C20" s="349"/>
      <c r="D20" s="350"/>
      <c r="E20" s="368">
        <f>VLOOKUP(B20,'PO-SEDE'!B:H,7,0)</f>
        <v>870543.15</v>
      </c>
      <c r="F20" s="368">
        <f>TRUNC(E20*(1+'BDI Obras'!$D$44),3)</f>
        <v>1143284.318</v>
      </c>
      <c r="G20" s="382">
        <f t="shared" si="1"/>
        <v>0.32212967023429173</v>
      </c>
      <c r="H20" s="411">
        <v>0</v>
      </c>
      <c r="I20" s="421">
        <f t="shared" si="3"/>
        <v>0</v>
      </c>
      <c r="J20" s="411">
        <f>$F$20/4</f>
        <v>285821.07949999999</v>
      </c>
      <c r="K20" s="421">
        <f t="shared" si="4"/>
        <v>285821.07949999999</v>
      </c>
      <c r="L20" s="411">
        <f>$F$20/4</f>
        <v>285821.07949999999</v>
      </c>
      <c r="M20" s="421">
        <f t="shared" si="4"/>
        <v>571642.15899999999</v>
      </c>
      <c r="N20" s="411">
        <f>$F$20/4</f>
        <v>285821.07949999999</v>
      </c>
      <c r="O20" s="421">
        <f t="shared" si="4"/>
        <v>857463.23849999998</v>
      </c>
      <c r="P20" s="411">
        <f>$F$20/4</f>
        <v>285821.07949999999</v>
      </c>
      <c r="Q20" s="421">
        <f t="shared" si="4"/>
        <v>1143284.318</v>
      </c>
      <c r="R20" s="411">
        <v>0</v>
      </c>
      <c r="S20" s="421">
        <f t="shared" si="4"/>
        <v>1143284.318</v>
      </c>
      <c r="T20" s="407">
        <f t="shared" si="2"/>
        <v>1</v>
      </c>
    </row>
    <row r="21" spans="1:20" ht="24.95" customHeight="1" x14ac:dyDescent="0.25">
      <c r="A21" s="347"/>
      <c r="B21" s="348" t="s">
        <v>4711</v>
      </c>
      <c r="C21" s="349"/>
      <c r="D21" s="350"/>
      <c r="E21" s="368">
        <f>VLOOKUP(B21,'PO-SEDE'!B:H,7,0)</f>
        <v>747140.7300000001</v>
      </c>
      <c r="F21" s="368">
        <f>TRUNC(E21*(1+'BDI Obras'!$D$44),3)</f>
        <v>981219.92</v>
      </c>
      <c r="G21" s="382">
        <f t="shared" si="1"/>
        <v>0.27646670585830441</v>
      </c>
      <c r="H21" s="411">
        <v>0</v>
      </c>
      <c r="I21" s="421">
        <f t="shared" si="3"/>
        <v>0</v>
      </c>
      <c r="J21" s="411">
        <v>0</v>
      </c>
      <c r="K21" s="421">
        <f t="shared" si="4"/>
        <v>0</v>
      </c>
      <c r="L21" s="411">
        <v>0</v>
      </c>
      <c r="M21" s="421">
        <f t="shared" si="4"/>
        <v>0</v>
      </c>
      <c r="N21" s="411">
        <v>0</v>
      </c>
      <c r="O21" s="421">
        <f t="shared" si="4"/>
        <v>0</v>
      </c>
      <c r="P21" s="411">
        <f>$F$21/2</f>
        <v>490609.96</v>
      </c>
      <c r="Q21" s="421">
        <f t="shared" si="4"/>
        <v>490609.96</v>
      </c>
      <c r="R21" s="411">
        <f>$F$21/2</f>
        <v>490609.96</v>
      </c>
      <c r="S21" s="421">
        <f t="shared" si="4"/>
        <v>981219.92</v>
      </c>
      <c r="T21" s="407">
        <f t="shared" si="2"/>
        <v>1</v>
      </c>
    </row>
    <row r="22" spans="1:20" ht="24.95" customHeight="1" x14ac:dyDescent="0.25">
      <c r="A22" s="347"/>
      <c r="B22" s="348" t="s">
        <v>5044</v>
      </c>
      <c r="C22" s="349"/>
      <c r="D22" s="350"/>
      <c r="E22" s="368">
        <f>VLOOKUP(B22,'PO-SEDE'!B:H,7,0)</f>
        <v>28535.46</v>
      </c>
      <c r="F22" s="368">
        <f>TRUNC(E22*(1+'BDI Obras'!$D$44),3)</f>
        <v>37475.618999999999</v>
      </c>
      <c r="G22" s="382">
        <f t="shared" si="1"/>
        <v>1.0559060944187602E-2</v>
      </c>
      <c r="H22" s="411">
        <v>0</v>
      </c>
      <c r="I22" s="421">
        <f t="shared" si="3"/>
        <v>0</v>
      </c>
      <c r="J22" s="411">
        <v>0</v>
      </c>
      <c r="K22" s="421">
        <f t="shared" si="4"/>
        <v>0</v>
      </c>
      <c r="L22" s="411">
        <v>0</v>
      </c>
      <c r="M22" s="421">
        <f t="shared" si="4"/>
        <v>0</v>
      </c>
      <c r="N22" s="411">
        <v>0</v>
      </c>
      <c r="O22" s="421">
        <f t="shared" si="4"/>
        <v>0</v>
      </c>
      <c r="P22" s="411">
        <v>0</v>
      </c>
      <c r="Q22" s="421">
        <f t="shared" si="4"/>
        <v>0</v>
      </c>
      <c r="R22" s="411">
        <f>F22</f>
        <v>37475.618999999999</v>
      </c>
      <c r="S22" s="421">
        <f t="shared" si="4"/>
        <v>37475.618999999999</v>
      </c>
      <c r="T22" s="407">
        <f t="shared" si="2"/>
        <v>1</v>
      </c>
    </row>
    <row r="23" spans="1:20" ht="24.95" customHeight="1" x14ac:dyDescent="0.25">
      <c r="A23" s="347"/>
      <c r="B23" s="348" t="s">
        <v>4695</v>
      </c>
      <c r="C23" s="349"/>
      <c r="D23" s="350"/>
      <c r="E23" s="368">
        <f>VLOOKUP(B23,'PO-SEDE'!B:H,7,0)</f>
        <v>170182.68</v>
      </c>
      <c r="F23" s="368">
        <f>TRUNC(E23*(1+'BDI Obras'!$D$44),3)</f>
        <v>223500.913</v>
      </c>
      <c r="G23" s="382">
        <f t="shared" si="1"/>
        <v>6.2973202962933614E-2</v>
      </c>
      <c r="H23" s="411">
        <v>0</v>
      </c>
      <c r="I23" s="421">
        <f t="shared" si="3"/>
        <v>0</v>
      </c>
      <c r="J23" s="411">
        <v>0</v>
      </c>
      <c r="K23" s="421">
        <f t="shared" si="4"/>
        <v>0</v>
      </c>
      <c r="L23" s="411">
        <v>0</v>
      </c>
      <c r="M23" s="421">
        <f t="shared" si="4"/>
        <v>0</v>
      </c>
      <c r="N23" s="411">
        <v>0</v>
      </c>
      <c r="O23" s="421">
        <f t="shared" si="4"/>
        <v>0</v>
      </c>
      <c r="P23" s="411">
        <f>F23/2</f>
        <v>111750.4565</v>
      </c>
      <c r="Q23" s="421">
        <f t="shared" si="4"/>
        <v>111750.4565</v>
      </c>
      <c r="R23" s="411">
        <f>F23/2</f>
        <v>111750.4565</v>
      </c>
      <c r="S23" s="421">
        <f t="shared" si="4"/>
        <v>223500.913</v>
      </c>
      <c r="T23" s="407">
        <f t="shared" si="2"/>
        <v>1</v>
      </c>
    </row>
    <row r="24" spans="1:20" ht="24.95" customHeight="1" x14ac:dyDescent="0.25">
      <c r="A24" s="347"/>
      <c r="B24" s="348" t="s">
        <v>4884</v>
      </c>
      <c r="C24" s="349"/>
      <c r="D24" s="350"/>
      <c r="E24" s="368">
        <f>VLOOKUP(B24,'PO-SEDE'!B:H,7,0)</f>
        <v>122089.23</v>
      </c>
      <c r="F24" s="368">
        <f>TRUNC(E24*(1+'BDI Obras'!$D$44),3)</f>
        <v>160339.785</v>
      </c>
      <c r="G24" s="382">
        <f t="shared" si="1"/>
        <v>4.5177040613870505E-2</v>
      </c>
      <c r="H24" s="411">
        <v>0</v>
      </c>
      <c r="I24" s="421">
        <f t="shared" si="3"/>
        <v>0</v>
      </c>
      <c r="J24" s="411">
        <v>0</v>
      </c>
      <c r="K24" s="421">
        <f t="shared" si="4"/>
        <v>0</v>
      </c>
      <c r="L24" s="411">
        <v>0</v>
      </c>
      <c r="M24" s="421">
        <f t="shared" si="4"/>
        <v>0</v>
      </c>
      <c r="N24" s="411">
        <v>0</v>
      </c>
      <c r="O24" s="421">
        <f t="shared" si="4"/>
        <v>0</v>
      </c>
      <c r="P24" s="411">
        <v>0</v>
      </c>
      <c r="Q24" s="421">
        <f t="shared" si="4"/>
        <v>0</v>
      </c>
      <c r="R24" s="411">
        <f>F24</f>
        <v>160339.785</v>
      </c>
      <c r="S24" s="421">
        <f t="shared" si="4"/>
        <v>160339.785</v>
      </c>
      <c r="T24" s="407">
        <f t="shared" si="2"/>
        <v>1</v>
      </c>
    </row>
    <row r="25" spans="1:20" ht="24.95" customHeight="1" x14ac:dyDescent="0.25">
      <c r="A25" s="347"/>
      <c r="B25" s="348" t="s">
        <v>4935</v>
      </c>
      <c r="C25" s="349"/>
      <c r="D25" s="350"/>
      <c r="E25" s="368">
        <f>VLOOKUP(B25,'PO-SEDE'!B:H,7,0)</f>
        <v>110564.32000000002</v>
      </c>
      <c r="F25" s="368">
        <f>TRUNC(E25*(1+'BDI Obras'!$D$44),3)</f>
        <v>145204.12100000001</v>
      </c>
      <c r="G25" s="382">
        <f t="shared" si="1"/>
        <v>4.0912443980877032E-2</v>
      </c>
      <c r="H25" s="411">
        <f>+$F$25/4</f>
        <v>36301.030250000003</v>
      </c>
      <c r="I25" s="421">
        <f t="shared" si="3"/>
        <v>36301.030250000003</v>
      </c>
      <c r="J25" s="411">
        <v>0</v>
      </c>
      <c r="K25" s="421">
        <f t="shared" si="4"/>
        <v>36301.030250000003</v>
      </c>
      <c r="L25" s="411">
        <f>+$F$25/4</f>
        <v>36301.030250000003</v>
      </c>
      <c r="M25" s="421">
        <f t="shared" si="4"/>
        <v>72602.060500000007</v>
      </c>
      <c r="N25" s="411">
        <f>+$F$25/4</f>
        <v>36301.030250000003</v>
      </c>
      <c r="O25" s="421">
        <f t="shared" si="4"/>
        <v>108903.09075</v>
      </c>
      <c r="P25" s="411">
        <f>F25/4</f>
        <v>36301.030250000003</v>
      </c>
      <c r="Q25" s="421">
        <f t="shared" si="4"/>
        <v>145204.12100000001</v>
      </c>
      <c r="R25" s="411">
        <v>0</v>
      </c>
      <c r="S25" s="421">
        <f t="shared" si="4"/>
        <v>145204.12100000001</v>
      </c>
      <c r="T25" s="407">
        <f t="shared" si="2"/>
        <v>1</v>
      </c>
    </row>
    <row r="26" spans="1:20" ht="24.95" customHeight="1" x14ac:dyDescent="0.25">
      <c r="A26" s="347"/>
      <c r="B26" s="348" t="s">
        <v>4696</v>
      </c>
      <c r="C26" s="349"/>
      <c r="D26" s="350"/>
      <c r="E26" s="368">
        <f>VLOOKUP(B26,'PO-SEDE'!B:H,7,0)</f>
        <v>59937.710000000006</v>
      </c>
      <c r="F26" s="368">
        <f>TRUNC(E26*(1+'BDI Obras'!$D$44),3)</f>
        <v>78716.194000000003</v>
      </c>
      <c r="G26" s="382">
        <f t="shared" si="1"/>
        <v>2.2178928912168053E-2</v>
      </c>
      <c r="H26" s="411">
        <v>0</v>
      </c>
      <c r="I26" s="421">
        <f t="shared" si="3"/>
        <v>0</v>
      </c>
      <c r="J26" s="411">
        <v>0</v>
      </c>
      <c r="K26" s="421">
        <f t="shared" si="4"/>
        <v>0</v>
      </c>
      <c r="L26" s="411">
        <v>0</v>
      </c>
      <c r="M26" s="421">
        <f t="shared" si="4"/>
        <v>0</v>
      </c>
      <c r="N26" s="411">
        <v>0</v>
      </c>
      <c r="O26" s="421">
        <f t="shared" si="4"/>
        <v>0</v>
      </c>
      <c r="P26" s="411">
        <f>F26</f>
        <v>78716.194000000003</v>
      </c>
      <c r="Q26" s="421">
        <f t="shared" si="4"/>
        <v>78716.194000000003</v>
      </c>
      <c r="R26" s="411">
        <v>0</v>
      </c>
      <c r="S26" s="421">
        <f t="shared" si="4"/>
        <v>78716.194000000003</v>
      </c>
      <c r="T26" s="407">
        <f t="shared" si="2"/>
        <v>1</v>
      </c>
    </row>
    <row r="27" spans="1:20" ht="24.95" customHeight="1" x14ac:dyDescent="0.25">
      <c r="A27" s="347"/>
      <c r="B27" s="348" t="s">
        <v>5446</v>
      </c>
      <c r="C27" s="349"/>
      <c r="D27" s="350"/>
      <c r="E27" s="369">
        <f>VLOOKUP(B27,'PO-SEDE'!B:H,7,0)</f>
        <v>5786.64</v>
      </c>
      <c r="F27" s="368">
        <f>TRUNC(E27*(1+'BDI Obras'!$D$44),3)</f>
        <v>7599.5940000000001</v>
      </c>
      <c r="G27" s="383">
        <f t="shared" si="1"/>
        <v>2.1412475187423171E-3</v>
      </c>
      <c r="H27" s="412">
        <v>0</v>
      </c>
      <c r="I27" s="421">
        <f t="shared" si="3"/>
        <v>0</v>
      </c>
      <c r="J27" s="411">
        <v>0</v>
      </c>
      <c r="K27" s="421">
        <f t="shared" si="4"/>
        <v>0</v>
      </c>
      <c r="L27" s="411">
        <v>0</v>
      </c>
      <c r="M27" s="421">
        <f t="shared" si="4"/>
        <v>0</v>
      </c>
      <c r="N27" s="411">
        <v>0</v>
      </c>
      <c r="O27" s="421">
        <f t="shared" si="4"/>
        <v>0</v>
      </c>
      <c r="P27" s="411">
        <v>0</v>
      </c>
      <c r="Q27" s="421">
        <f t="shared" si="4"/>
        <v>0</v>
      </c>
      <c r="R27" s="412">
        <f>F27</f>
        <v>7599.5940000000001</v>
      </c>
      <c r="S27" s="421">
        <f t="shared" si="4"/>
        <v>7599.5940000000001</v>
      </c>
      <c r="T27" s="407">
        <f t="shared" si="2"/>
        <v>1</v>
      </c>
    </row>
    <row r="28" spans="1:20" ht="5.0999999999999996" customHeight="1" x14ac:dyDescent="0.25">
      <c r="A28" s="297"/>
      <c r="B28" s="362"/>
      <c r="C28" s="363"/>
      <c r="D28" s="364"/>
      <c r="E28" s="365"/>
      <c r="F28" s="366"/>
      <c r="G28" s="366"/>
      <c r="H28" s="409"/>
      <c r="I28" s="419"/>
      <c r="J28" s="409"/>
      <c r="K28" s="419"/>
      <c r="L28" s="409"/>
      <c r="M28" s="419"/>
      <c r="N28" s="409"/>
      <c r="O28" s="419"/>
      <c r="P28" s="409"/>
      <c r="Q28" s="419"/>
      <c r="R28" s="409"/>
      <c r="S28" s="419"/>
      <c r="T28" s="405"/>
    </row>
    <row r="29" spans="1:20" ht="24.95" customHeight="1" x14ac:dyDescent="0.25">
      <c r="A29" s="370"/>
      <c r="B29" s="371" t="s">
        <v>30</v>
      </c>
      <c r="C29" s="372"/>
      <c r="D29" s="373"/>
      <c r="E29" s="351">
        <f>VLOOKUP(B29,'PO-SEDE'!B:H,7,0)</f>
        <v>253466.7</v>
      </c>
      <c r="F29" s="379">
        <f>TRUNC(E29*(1+'BDI Obras'!$D$44),2)</f>
        <v>332877.81</v>
      </c>
      <c r="G29" s="384">
        <f>F29/$F$31</f>
        <v>9.3791034719338487E-2</v>
      </c>
      <c r="H29" s="413">
        <f>((H10+H12)/($F$10+$F$12)*$F$29)</f>
        <v>11618.440396322805</v>
      </c>
      <c r="I29" s="422">
        <f>H29</f>
        <v>11618.440396322805</v>
      </c>
      <c r="J29" s="413">
        <f>((J10+J12)/($F$10+$F$12)*$F$29)</f>
        <v>44474.78350726272</v>
      </c>
      <c r="K29" s="426">
        <f>J29+I29</f>
        <v>56093.223903585524</v>
      </c>
      <c r="L29" s="413">
        <f>((L10+L12)/($F$10+$F$12)*$F$29)</f>
        <v>41091.1609638808</v>
      </c>
      <c r="M29" s="426">
        <f>L29+K29</f>
        <v>97184.384867466317</v>
      </c>
      <c r="N29" s="413">
        <f>((N10+N12)/($F$10+$F$12)*$F$29)</f>
        <v>35539.731312798955</v>
      </c>
      <c r="O29" s="426">
        <f>N29+M29</f>
        <v>132724.11618026526</v>
      </c>
      <c r="P29" s="413">
        <f>((P10+P12)/($F$10+$F$12)*$F$29)</f>
        <v>111031.83498584318</v>
      </c>
      <c r="Q29" s="426">
        <f>P29+O29</f>
        <v>243755.95116610843</v>
      </c>
      <c r="R29" s="413">
        <f>((R10+R12)/($F$10+$F$12)*$F$29)</f>
        <v>89121.858833891514</v>
      </c>
      <c r="S29" s="426">
        <f>R29+Q29</f>
        <v>332877.80999999994</v>
      </c>
      <c r="T29" s="404">
        <f>S29/F29</f>
        <v>0.99999999999999978</v>
      </c>
    </row>
    <row r="30" spans="1:20" ht="5.0999999999999996" customHeight="1" x14ac:dyDescent="0.25">
      <c r="A30" s="297"/>
      <c r="B30" s="362"/>
      <c r="C30" s="363"/>
      <c r="D30" s="364"/>
      <c r="E30" s="365"/>
      <c r="F30" s="366"/>
      <c r="G30" s="366"/>
      <c r="H30" s="364"/>
      <c r="I30" s="423"/>
      <c r="J30" s="364"/>
      <c r="K30" s="423"/>
      <c r="L30" s="364"/>
      <c r="M30" s="423"/>
      <c r="N30" s="364"/>
      <c r="O30" s="423"/>
      <c r="P30" s="364"/>
      <c r="Q30" s="423"/>
      <c r="R30" s="364"/>
      <c r="S30" s="423"/>
      <c r="T30" s="402"/>
    </row>
    <row r="31" spans="1:20" ht="24.95" customHeight="1" x14ac:dyDescent="0.25">
      <c r="A31" s="374"/>
      <c r="B31" s="375" t="s">
        <v>5476</v>
      </c>
      <c r="C31" s="376"/>
      <c r="D31" s="377"/>
      <c r="E31" s="378">
        <f t="shared" ref="E31:S31" si="5">SUM(E29,E12,E10)</f>
        <v>2749972.0900000003</v>
      </c>
      <c r="F31" s="378">
        <f t="shared" si="5"/>
        <v>3549143.1670000004</v>
      </c>
      <c r="G31" s="414">
        <f t="shared" si="5"/>
        <v>0.99999999999999989</v>
      </c>
      <c r="H31" s="378">
        <f t="shared" si="5"/>
        <v>123875.80999708531</v>
      </c>
      <c r="I31" s="424">
        <f t="shared" si="5"/>
        <v>123875.80999708531</v>
      </c>
      <c r="J31" s="378">
        <f t="shared" si="5"/>
        <v>474190.1359799435</v>
      </c>
      <c r="K31" s="424">
        <f t="shared" si="5"/>
        <v>598065.94597702892</v>
      </c>
      <c r="L31" s="378">
        <f t="shared" si="5"/>
        <v>438113.95286172634</v>
      </c>
      <c r="M31" s="424">
        <f t="shared" si="5"/>
        <v>1036179.8988387551</v>
      </c>
      <c r="N31" s="378">
        <f t="shared" si="5"/>
        <v>378924.61064267508</v>
      </c>
      <c r="O31" s="424">
        <f t="shared" si="5"/>
        <v>1415104.5094814303</v>
      </c>
      <c r="P31" s="378">
        <f t="shared" si="5"/>
        <v>1183821.4102029717</v>
      </c>
      <c r="Q31" s="424">
        <f t="shared" si="5"/>
        <v>2598925.9196844017</v>
      </c>
      <c r="R31" s="378">
        <f t="shared" si="5"/>
        <v>950217.24731559795</v>
      </c>
      <c r="S31" s="424">
        <f t="shared" si="5"/>
        <v>3549143.1670000004</v>
      </c>
      <c r="T31" s="415">
        <f>S31/F31</f>
        <v>1</v>
      </c>
    </row>
    <row r="32" spans="1:20" ht="18.75" x14ac:dyDescent="0.25">
      <c r="A32" s="50"/>
      <c r="B32" s="51"/>
      <c r="C32" s="51"/>
      <c r="D32" s="77"/>
      <c r="E32" s="77"/>
      <c r="F32" s="77"/>
      <c r="G32" s="77"/>
      <c r="H32" s="77"/>
      <c r="I32" s="77"/>
      <c r="J32" s="77"/>
      <c r="K32" s="77"/>
      <c r="L32" s="77"/>
      <c r="M32" s="77"/>
      <c r="N32" s="77"/>
      <c r="O32" s="77"/>
      <c r="P32" s="77"/>
      <c r="Q32" s="77"/>
      <c r="R32" s="77"/>
      <c r="S32" s="403"/>
      <c r="T32" s="393"/>
    </row>
    <row r="33" spans="1:20" x14ac:dyDescent="0.25">
      <c r="A33" s="44"/>
      <c r="B33" s="45"/>
      <c r="C33" s="45"/>
      <c r="D33" s="46"/>
      <c r="E33" s="46"/>
      <c r="F33" s="46"/>
      <c r="G33" s="46"/>
      <c r="H33" s="46"/>
      <c r="I33" s="46"/>
      <c r="J33" s="46"/>
      <c r="K33" s="46"/>
      <c r="L33" s="46"/>
      <c r="M33" s="46"/>
      <c r="N33" s="46"/>
      <c r="O33" s="46"/>
      <c r="P33" s="46"/>
      <c r="Q33" s="46"/>
      <c r="R33" s="46"/>
      <c r="S33" s="46"/>
      <c r="T33" s="394"/>
    </row>
    <row r="34" spans="1:20" x14ac:dyDescent="0.25">
      <c r="A34" s="50"/>
      <c r="B34" s="51"/>
      <c r="C34" s="51"/>
      <c r="D34" s="389"/>
      <c r="E34" s="389"/>
      <c r="F34" s="389"/>
      <c r="G34" s="389"/>
      <c r="H34" s="389"/>
      <c r="I34" s="389"/>
      <c r="J34" s="389"/>
      <c r="K34" s="389"/>
      <c r="L34" s="389"/>
      <c r="M34" s="389"/>
      <c r="N34" s="389"/>
      <c r="O34" s="389"/>
      <c r="P34" s="389"/>
      <c r="Q34" s="389"/>
      <c r="R34" s="389"/>
      <c r="S34" s="389"/>
      <c r="T34" s="395"/>
    </row>
    <row r="35" spans="1:20" x14ac:dyDescent="0.25">
      <c r="A35" s="50"/>
      <c r="B35" s="51"/>
      <c r="C35" s="51"/>
      <c r="D35" s="389"/>
      <c r="E35" s="389"/>
      <c r="F35" s="389"/>
      <c r="G35" s="389"/>
      <c r="H35" s="389"/>
      <c r="I35" s="389"/>
      <c r="J35" s="389"/>
      <c r="K35" s="389"/>
      <c r="L35" s="389"/>
      <c r="M35" s="389"/>
      <c r="N35" s="389"/>
      <c r="O35" s="389"/>
      <c r="P35" s="389"/>
      <c r="Q35" s="389"/>
      <c r="R35" s="389"/>
      <c r="S35" s="389"/>
      <c r="T35" s="395"/>
    </row>
    <row r="36" spans="1:20" x14ac:dyDescent="0.25">
      <c r="A36" s="50"/>
      <c r="B36" s="385" t="s">
        <v>33</v>
      </c>
      <c r="C36" s="52"/>
      <c r="D36" s="385" t="s">
        <v>33</v>
      </c>
      <c r="E36" s="385"/>
      <c r="F36" s="385"/>
      <c r="G36" s="385"/>
      <c r="H36" s="385"/>
      <c r="I36" s="385"/>
      <c r="J36" s="385"/>
      <c r="K36" s="385"/>
      <c r="L36" s="385"/>
      <c r="M36" s="385"/>
      <c r="N36" s="385"/>
      <c r="O36" s="385"/>
      <c r="P36" s="385"/>
      <c r="Q36" s="385"/>
      <c r="R36" s="385"/>
      <c r="S36" s="385"/>
      <c r="T36" s="396"/>
    </row>
    <row r="37" spans="1:20" x14ac:dyDescent="0.25">
      <c r="A37" s="50"/>
      <c r="B37" s="386" t="s">
        <v>34</v>
      </c>
      <c r="C37" s="386"/>
      <c r="D37" s="386"/>
      <c r="E37" s="386"/>
      <c r="F37" s="386"/>
      <c r="G37" s="386"/>
      <c r="H37" s="386"/>
      <c r="I37" s="386"/>
      <c r="J37" s="386"/>
      <c r="K37" s="386"/>
      <c r="L37" s="386"/>
      <c r="M37" s="386"/>
      <c r="N37" s="386"/>
      <c r="O37" s="386"/>
      <c r="P37" s="386"/>
      <c r="Q37" s="386"/>
      <c r="R37" s="386"/>
      <c r="S37" s="386"/>
      <c r="T37" s="397"/>
    </row>
    <row r="38" spans="1:20" x14ac:dyDescent="0.25">
      <c r="A38" s="50"/>
      <c r="B38" s="387" t="str">
        <f>Q4&amp;" "&amp;R4</f>
        <v>CAU-SP Nº A 116.079-6</v>
      </c>
      <c r="C38" s="387"/>
      <c r="D38" s="387"/>
      <c r="E38" s="387"/>
      <c r="F38" s="387"/>
      <c r="G38" s="387"/>
      <c r="H38" s="387"/>
      <c r="I38" s="387"/>
      <c r="J38" s="387"/>
      <c r="K38" s="387"/>
      <c r="L38" s="387"/>
      <c r="M38" s="387"/>
      <c r="N38" s="387"/>
      <c r="O38" s="387"/>
      <c r="P38" s="387"/>
      <c r="Q38" s="387"/>
      <c r="R38" s="387"/>
      <c r="S38" s="387"/>
      <c r="T38" s="398"/>
    </row>
    <row r="39" spans="1:20" x14ac:dyDescent="0.25">
      <c r="A39" s="55"/>
      <c r="B39" s="56" t="str">
        <f>$Q$5&amp;" "&amp;$R$5</f>
        <v>RRT Nº 4774233</v>
      </c>
      <c r="C39" s="388"/>
      <c r="D39" s="388"/>
      <c r="E39" s="388"/>
      <c r="F39" s="388"/>
      <c r="G39" s="388"/>
      <c r="H39" s="388"/>
      <c r="I39" s="388"/>
      <c r="J39" s="388"/>
      <c r="K39" s="388"/>
      <c r="L39" s="388"/>
      <c r="M39" s="388"/>
      <c r="N39" s="388"/>
      <c r="O39" s="388"/>
      <c r="P39" s="388"/>
      <c r="Q39" s="388"/>
      <c r="R39" s="388"/>
      <c r="S39" s="388"/>
      <c r="T39" s="399"/>
    </row>
    <row r="40" spans="1:20" x14ac:dyDescent="0.25">
      <c r="A40" s="75"/>
      <c r="B40" s="59"/>
      <c r="C40" s="59"/>
      <c r="D40" s="400"/>
      <c r="E40" s="400"/>
      <c r="F40" s="400"/>
      <c r="G40" s="400"/>
      <c r="H40" s="400"/>
      <c r="I40" s="400"/>
      <c r="J40" s="400"/>
      <c r="K40" s="400"/>
      <c r="L40" s="400"/>
      <c r="M40" s="400"/>
      <c r="N40" s="400"/>
      <c r="O40" s="400"/>
      <c r="P40" s="400"/>
      <c r="Q40" s="400"/>
      <c r="R40" s="400"/>
      <c r="S40" s="400"/>
      <c r="T40" s="401"/>
    </row>
    <row r="41" spans="1:20" x14ac:dyDescent="0.25">
      <c r="A41" s="416"/>
      <c r="B41" s="417"/>
      <c r="C41" s="417"/>
      <c r="D41" s="417"/>
      <c r="E41" s="417"/>
      <c r="F41" s="417"/>
      <c r="G41" s="417"/>
      <c r="H41" s="417"/>
      <c r="I41" s="417"/>
      <c r="J41" s="417"/>
      <c r="K41" s="417"/>
      <c r="L41" s="417"/>
      <c r="M41" s="417"/>
      <c r="N41" s="417"/>
      <c r="O41" s="417"/>
      <c r="P41" s="417"/>
      <c r="Q41" s="417"/>
      <c r="R41" s="417"/>
      <c r="S41" s="417"/>
      <c r="T41" s="417"/>
    </row>
    <row r="44" spans="1:20" x14ac:dyDescent="0.25">
      <c r="F44" s="427"/>
    </row>
  </sheetData>
  <mergeCells count="3">
    <mergeCell ref="E8:E9"/>
    <mergeCell ref="F8:F9"/>
    <mergeCell ref="G8:G9"/>
  </mergeCells>
  <pageMargins left="0.78740157480314965" right="0.59055118110236227" top="0.78740157480314965" bottom="0.78740157480314965" header="0.31496062992125984" footer="0.31496062992125984"/>
  <pageSetup paperSize="9" scale="30" orientation="landscape" r:id="rId1"/>
  <ignoredErrors>
    <ignoredError sqref="I13 I17 K19 G12 P18:P26 O2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210"/>
  <sheetViews>
    <sheetView view="pageBreakPreview" topLeftCell="B203" zoomScale="85" zoomScaleNormal="70" zoomScaleSheetLayoutView="85" workbookViewId="0">
      <selection activeCell="J3210" sqref="A1:J3210"/>
    </sheetView>
  </sheetViews>
  <sheetFormatPr defaultColWidth="9.140625" defaultRowHeight="15.75" x14ac:dyDescent="0.25"/>
  <cols>
    <col min="1" max="1" width="16.7109375" style="146" customWidth="1"/>
    <col min="2" max="2" width="16.7109375" style="147" customWidth="1"/>
    <col min="3" max="3" width="11.5703125" style="147" customWidth="1"/>
    <col min="4" max="4" width="51.85546875" style="147" customWidth="1"/>
    <col min="5" max="5" width="12" style="147" customWidth="1"/>
    <col min="6" max="6" width="13.42578125" style="147" customWidth="1"/>
    <col min="7" max="7" width="15.140625" style="148" customWidth="1"/>
    <col min="8" max="10" width="18.7109375" style="147" customWidth="1"/>
    <col min="11" max="12" width="9.140625" style="102"/>
    <col min="13" max="13" width="9.140625" style="103"/>
    <col min="14" max="16384" width="9.140625" style="102"/>
  </cols>
  <sheetData>
    <row r="1" spans="1:11" x14ac:dyDescent="0.25">
      <c r="A1" s="99"/>
      <c r="B1" s="100"/>
      <c r="C1" s="100"/>
      <c r="D1" s="100"/>
      <c r="E1" s="100"/>
      <c r="F1" s="100"/>
      <c r="G1" s="101"/>
      <c r="H1" s="100"/>
      <c r="I1" s="100"/>
      <c r="J1" s="100"/>
    </row>
    <row r="2" spans="1:11" ht="15.75" customHeight="1" x14ac:dyDescent="0.25">
      <c r="A2" s="99"/>
      <c r="B2" s="100"/>
      <c r="C2" s="510" t="s">
        <v>35</v>
      </c>
      <c r="D2" s="509"/>
      <c r="E2" s="509"/>
      <c r="F2" s="509"/>
      <c r="G2" s="509"/>
      <c r="H2" s="83" t="s">
        <v>0</v>
      </c>
      <c r="I2" s="84">
        <f>'PO-SEDE'!$G$2</f>
        <v>0</v>
      </c>
      <c r="J2" s="91"/>
    </row>
    <row r="3" spans="1:11" ht="18.75" x14ac:dyDescent="0.25">
      <c r="A3" s="99"/>
      <c r="B3" s="100"/>
      <c r="C3" s="100"/>
      <c r="D3" s="68" t="s">
        <v>36</v>
      </c>
      <c r="E3" s="69"/>
      <c r="F3" s="83"/>
      <c r="G3" s="86"/>
      <c r="H3" s="83" t="s">
        <v>1</v>
      </c>
      <c r="I3" s="86" t="str">
        <f>'PO-SEDE'!$G$3</f>
        <v>Carlos Wieck</v>
      </c>
      <c r="J3" s="91" t="str">
        <f>'PO-SEDE'!$H$3</f>
        <v>Rev. 01</v>
      </c>
    </row>
    <row r="4" spans="1:11" ht="18.75" x14ac:dyDescent="0.25">
      <c r="A4" s="99"/>
      <c r="B4" s="100"/>
      <c r="C4" s="100"/>
      <c r="D4" s="68" t="s">
        <v>4</v>
      </c>
      <c r="E4" s="69"/>
      <c r="F4" s="83"/>
      <c r="G4" s="87"/>
      <c r="H4" s="83" t="s">
        <v>5</v>
      </c>
      <c r="I4" s="87" t="str">
        <f>'PO-SEDE'!$G$5</f>
        <v>A 116.079-6</v>
      </c>
      <c r="J4" s="92" t="s">
        <v>7</v>
      </c>
    </row>
    <row r="5" spans="1:11" ht="18.75" x14ac:dyDescent="0.25">
      <c r="A5" s="99"/>
      <c r="B5" s="100"/>
      <c r="C5" s="100"/>
      <c r="D5" s="68" t="s">
        <v>4421</v>
      </c>
      <c r="E5" s="69"/>
      <c r="F5" s="83"/>
      <c r="G5" s="89"/>
      <c r="H5" s="83" t="s">
        <v>8</v>
      </c>
      <c r="I5" s="87">
        <f>'PO-SEDE'!$G$6</f>
        <v>4774233</v>
      </c>
      <c r="J5" s="93">
        <f>'PO-SEDE'!$H$6</f>
        <v>43040</v>
      </c>
    </row>
    <row r="6" spans="1:11" x14ac:dyDescent="0.25">
      <c r="A6" s="99"/>
      <c r="B6" s="100"/>
      <c r="C6" s="100"/>
      <c r="D6" s="100"/>
      <c r="E6" s="100"/>
      <c r="F6" s="100"/>
      <c r="G6" s="101"/>
      <c r="H6" s="100"/>
      <c r="I6" s="100"/>
      <c r="J6" s="98" t="str">
        <f>'PO-SEDE'!H7</f>
        <v>C/ DESONERAÇÃO</v>
      </c>
    </row>
    <row r="7" spans="1:11" x14ac:dyDescent="0.25">
      <c r="A7" s="99"/>
      <c r="B7" s="100"/>
      <c r="C7" s="100"/>
      <c r="D7" s="100"/>
      <c r="E7" s="100"/>
      <c r="F7" s="100"/>
      <c r="G7" s="101"/>
      <c r="H7" s="100"/>
      <c r="I7" s="100"/>
      <c r="J7" s="98"/>
    </row>
    <row r="8" spans="1:11" ht="15" customHeight="1" x14ac:dyDescent="0.25">
      <c r="A8" s="524" t="s">
        <v>40</v>
      </c>
      <c r="B8" s="525"/>
      <c r="C8" s="104" t="s">
        <v>41</v>
      </c>
      <c r="D8" s="526" t="str">
        <f>IF(B9="","",VLOOKUP(B9,SERVIÇOS!B:E,3,0))</f>
        <v>Portas para divisórias chapa fibra mad prens BP com Ferragens</v>
      </c>
      <c r="E8" s="526"/>
      <c r="F8" s="526"/>
      <c r="G8" s="526"/>
      <c r="H8" s="526"/>
      <c r="I8" s="527"/>
      <c r="J8" s="105" t="s">
        <v>42</v>
      </c>
    </row>
    <row r="9" spans="1:11" ht="15" x14ac:dyDescent="0.25">
      <c r="A9" s="230" t="s">
        <v>4704</v>
      </c>
      <c r="B9" s="230">
        <v>501028</v>
      </c>
      <c r="C9" s="106"/>
      <c r="D9" s="528"/>
      <c r="E9" s="528"/>
      <c r="F9" s="528"/>
      <c r="G9" s="528"/>
      <c r="H9" s="528"/>
      <c r="I9" s="529"/>
      <c r="J9" s="107" t="str">
        <f>IF(B9="","",VLOOKUP(B9,SERVIÇOS!B:E,4,0))</f>
        <v>un</v>
      </c>
    </row>
    <row r="10" spans="1:11" ht="15" x14ac:dyDescent="0.25">
      <c r="A10" s="530" t="s">
        <v>4397</v>
      </c>
      <c r="B10" s="531" t="s">
        <v>11</v>
      </c>
      <c r="C10" s="533" t="s">
        <v>43</v>
      </c>
      <c r="D10" s="534"/>
      <c r="E10" s="530" t="s">
        <v>13</v>
      </c>
      <c r="F10" s="530" t="s">
        <v>44</v>
      </c>
      <c r="G10" s="538" t="s">
        <v>45</v>
      </c>
      <c r="H10" s="108" t="s">
        <v>46</v>
      </c>
      <c r="I10" s="108"/>
      <c r="J10" s="108"/>
    </row>
    <row r="11" spans="1:11" ht="15" x14ac:dyDescent="0.25">
      <c r="A11" s="530"/>
      <c r="B11" s="532"/>
      <c r="C11" s="535"/>
      <c r="D11" s="536"/>
      <c r="E11" s="537"/>
      <c r="F11" s="537"/>
      <c r="G11" s="539"/>
      <c r="H11" s="108" t="s">
        <v>47</v>
      </c>
      <c r="I11" s="108" t="s">
        <v>48</v>
      </c>
      <c r="J11" s="108" t="s">
        <v>49</v>
      </c>
    </row>
    <row r="12" spans="1:11" ht="15" x14ac:dyDescent="0.25">
      <c r="A12" s="109" t="s">
        <v>4701</v>
      </c>
      <c r="B12" s="110">
        <v>23535</v>
      </c>
      <c r="C12" s="540" t="str">
        <f>IF(A12&amp;B12="","",VLOOKUP(A12&amp;B12,INSUMOS!C:G,2,0))</f>
        <v>Divisória porta 0,82x2,10 colocada G1-C7</v>
      </c>
      <c r="D12" s="541"/>
      <c r="E12" s="111" t="str">
        <f>IF(A12&amp;B12="","",VLOOKUP(A12&amp;B12,INSUMOS!C:G,3,0))</f>
        <v>un</v>
      </c>
      <c r="F12" s="112">
        <v>1</v>
      </c>
      <c r="G12" s="113">
        <f>IF(A12&amp;B12="","",VLOOKUP(A12&amp;B12,INSUMOS!C:G,4,0))</f>
        <v>169.96</v>
      </c>
      <c r="H12" s="114" t="str">
        <f>IF(K12="MO",TRUNC(F12*G12,2),"")</f>
        <v/>
      </c>
      <c r="I12" s="114">
        <f>IF(K12="MT",TRUNC(F12*G12,2),"")</f>
        <v>169.96</v>
      </c>
      <c r="J12" s="115" t="str">
        <f>IF(K12="EQ",TRUNC(F12*G12,2),"")</f>
        <v/>
      </c>
      <c r="K12" s="102" t="str">
        <f>IF(A12&amp;B12="","",VLOOKUP(A12&amp;B12,INSUMOS!C:G,5,0))</f>
        <v>MT</v>
      </c>
    </row>
    <row r="13" spans="1:11" ht="15" x14ac:dyDescent="0.25">
      <c r="A13" s="109" t="s">
        <v>4701</v>
      </c>
      <c r="B13" s="116">
        <v>31533</v>
      </c>
      <c r="C13" s="518" t="str">
        <f>IF(A13&amp;B13="","",VLOOKUP(A13&amp;B13,INSUMOS!C:G,2,0))</f>
        <v>Dobradiça aço crom. c/pino bolas aço 3 1/2x3"</v>
      </c>
      <c r="D13" s="519"/>
      <c r="E13" s="117" t="str">
        <f>IF(A13&amp;B13="","",VLOOKUP(A13&amp;B13,INSUMOS!C:G,3,0))</f>
        <v>un</v>
      </c>
      <c r="F13" s="118">
        <v>3</v>
      </c>
      <c r="G13" s="113">
        <f>IF(A13&amp;B13="","",VLOOKUP(A13&amp;B13,INSUMOS!C:G,4,0))</f>
        <v>9.44</v>
      </c>
      <c r="H13" s="119" t="str">
        <f t="shared" ref="H13:H24" si="0">IF(K13="MO",TRUNC(F13*G13,2),"")</f>
        <v/>
      </c>
      <c r="I13" s="119">
        <f t="shared" ref="I13:I24" si="1">IF(K13="MT",TRUNC(F13*G13,2),"")</f>
        <v>28.32</v>
      </c>
      <c r="J13" s="115" t="str">
        <f t="shared" ref="J13:J24" si="2">IF(K13="EQ",TRUNC(F13*G13,2),"")</f>
        <v/>
      </c>
      <c r="K13" s="102" t="str">
        <f>IF(A13&amp;B13="","",VLOOKUP(A13&amp;B13,INSUMOS!C:G,5,0))</f>
        <v>MT</v>
      </c>
    </row>
    <row r="14" spans="1:11" ht="15" x14ac:dyDescent="0.25">
      <c r="A14" s="109" t="s">
        <v>4701</v>
      </c>
      <c r="B14" s="116">
        <v>31671</v>
      </c>
      <c r="C14" s="518" t="str">
        <f>IF(A14&amp;B14="","",VLOOKUP(A14&amp;B14,INSUMOS!C:G,2,0))</f>
        <v>Fechadura tipo tubular completa - 90mm dist.</v>
      </c>
      <c r="D14" s="519"/>
      <c r="E14" s="117" t="str">
        <f>IF(A14&amp;B14="","",VLOOKUP(A14&amp;B14,INSUMOS!C:G,3,0))</f>
        <v>un</v>
      </c>
      <c r="F14" s="118">
        <v>1</v>
      </c>
      <c r="G14" s="113">
        <f>IF(A14&amp;B14="","",VLOOKUP(A14&amp;B14,INSUMOS!C:G,4,0))</f>
        <v>58.22</v>
      </c>
      <c r="H14" s="119" t="str">
        <f t="shared" si="0"/>
        <v/>
      </c>
      <c r="I14" s="119">
        <f t="shared" si="1"/>
        <v>58.22</v>
      </c>
      <c r="J14" s="115" t="str">
        <f t="shared" si="2"/>
        <v/>
      </c>
      <c r="K14" s="102" t="str">
        <f>IF(A14&amp;B14="","",VLOOKUP(A14&amp;B14,INSUMOS!C:G,5,0))</f>
        <v>MT</v>
      </c>
    </row>
    <row r="15" spans="1:11" ht="15" x14ac:dyDescent="0.25">
      <c r="A15" s="109"/>
      <c r="B15" s="116"/>
      <c r="C15" s="518" t="str">
        <f>IF(A15&amp;B15="","",VLOOKUP(A15&amp;B15,INSUMOS!C:G,2,0))</f>
        <v/>
      </c>
      <c r="D15" s="519"/>
      <c r="E15" s="117" t="str">
        <f>IF(A15&amp;B15="","",VLOOKUP(A15&amp;B15,INSUMOS!C:G,3,0))</f>
        <v/>
      </c>
      <c r="F15" s="118"/>
      <c r="G15" s="113" t="str">
        <f>IF(A15&amp;B15="","",VLOOKUP(A15&amp;B15,INSUMOS!C:G,4,0))</f>
        <v/>
      </c>
      <c r="H15" s="119" t="str">
        <f t="shared" si="0"/>
        <v/>
      </c>
      <c r="I15" s="119" t="str">
        <f t="shared" si="1"/>
        <v/>
      </c>
      <c r="J15" s="115" t="str">
        <f t="shared" si="2"/>
        <v/>
      </c>
      <c r="K15" s="102" t="str">
        <f>IF(A15&amp;B15="","",VLOOKUP(A15&amp;B15,INSUMOS!C:G,5,0))</f>
        <v/>
      </c>
    </row>
    <row r="16" spans="1:11" ht="15" x14ac:dyDescent="0.25">
      <c r="A16" s="109"/>
      <c r="B16" s="116"/>
      <c r="C16" s="518" t="str">
        <f>IF(A16&amp;B16="","",VLOOKUP(A16&amp;B16,INSUMOS!C:G,2,0))</f>
        <v/>
      </c>
      <c r="D16" s="519"/>
      <c r="E16" s="117" t="str">
        <f>IF(A16&amp;B16="","",VLOOKUP(A16&amp;B16,INSUMOS!C:G,3,0))</f>
        <v/>
      </c>
      <c r="F16" s="118"/>
      <c r="G16" s="113" t="str">
        <f>IF(A16&amp;B16="","",VLOOKUP(A16&amp;B16,INSUMOS!C:G,4,0))</f>
        <v/>
      </c>
      <c r="H16" s="119" t="str">
        <f t="shared" si="0"/>
        <v/>
      </c>
      <c r="I16" s="119" t="str">
        <f t="shared" si="1"/>
        <v/>
      </c>
      <c r="J16" s="115" t="str">
        <f t="shared" si="2"/>
        <v/>
      </c>
      <c r="K16" s="102" t="str">
        <f>IF(A16&amp;B16="","",VLOOKUP(A16&amp;B16,INSUMOS!C:G,5,0))</f>
        <v/>
      </c>
    </row>
    <row r="17" spans="1:17" ht="15" x14ac:dyDescent="0.25">
      <c r="A17" s="109"/>
      <c r="B17" s="116"/>
      <c r="C17" s="518" t="str">
        <f>IF(A17&amp;B17="","",VLOOKUP(A17&amp;B17,INSUMOS!C:G,2,0))</f>
        <v/>
      </c>
      <c r="D17" s="519"/>
      <c r="E17" s="117" t="str">
        <f>IF(A17&amp;B17="","",VLOOKUP(A17&amp;B17,INSUMOS!C:G,3,0))</f>
        <v/>
      </c>
      <c r="F17" s="118"/>
      <c r="G17" s="113" t="str">
        <f>IF(A17&amp;B17="","",VLOOKUP(A17&amp;B17,INSUMOS!C:G,4,0))</f>
        <v/>
      </c>
      <c r="H17" s="119" t="str">
        <f t="shared" si="0"/>
        <v/>
      </c>
      <c r="I17" s="119" t="str">
        <f t="shared" si="1"/>
        <v/>
      </c>
      <c r="J17" s="115" t="str">
        <f t="shared" si="2"/>
        <v/>
      </c>
      <c r="K17" s="102" t="str">
        <f>IF(A17&amp;B17="","",VLOOKUP(A17&amp;B17,INSUMOS!C:G,5,0))</f>
        <v/>
      </c>
    </row>
    <row r="18" spans="1:17" ht="15" x14ac:dyDescent="0.25">
      <c r="A18" s="109"/>
      <c r="B18" s="116"/>
      <c r="C18" s="518" t="str">
        <f>IF(A18&amp;B18="","",VLOOKUP(A18&amp;B18,INSUMOS!C:G,2,0))</f>
        <v/>
      </c>
      <c r="D18" s="519"/>
      <c r="E18" s="117" t="str">
        <f>IF(A18&amp;B18="","",VLOOKUP(A18&amp;B18,INSUMOS!C:G,3,0))</f>
        <v/>
      </c>
      <c r="F18" s="118"/>
      <c r="G18" s="113" t="str">
        <f>IF(A18&amp;B18="","",VLOOKUP(A18&amp;B18,INSUMOS!C:G,4,0))</f>
        <v/>
      </c>
      <c r="H18" s="119" t="str">
        <f t="shared" si="0"/>
        <v/>
      </c>
      <c r="I18" s="119" t="str">
        <f t="shared" si="1"/>
        <v/>
      </c>
      <c r="J18" s="115" t="str">
        <f t="shared" si="2"/>
        <v/>
      </c>
      <c r="K18" s="102" t="str">
        <f>IF(A18&amp;B18="","",VLOOKUP(A18&amp;B18,INSUMOS!C:G,5,0))</f>
        <v/>
      </c>
    </row>
    <row r="19" spans="1:17" ht="15" x14ac:dyDescent="0.25">
      <c r="A19" s="109"/>
      <c r="B19" s="116"/>
      <c r="C19" s="518" t="str">
        <f>IF(A19&amp;B19="","",VLOOKUP(A19&amp;B19,INSUMOS!C:G,2,0))</f>
        <v/>
      </c>
      <c r="D19" s="519"/>
      <c r="E19" s="117" t="str">
        <f>IF(A19&amp;B19="","",VLOOKUP(A19&amp;B19,INSUMOS!C:G,3,0))</f>
        <v/>
      </c>
      <c r="F19" s="118"/>
      <c r="G19" s="113" t="str">
        <f>IF(A19&amp;B19="","",VLOOKUP(A19&amp;B19,INSUMOS!C:G,4,0))</f>
        <v/>
      </c>
      <c r="H19" s="119" t="str">
        <f t="shared" si="0"/>
        <v/>
      </c>
      <c r="I19" s="119" t="str">
        <f t="shared" si="1"/>
        <v/>
      </c>
      <c r="J19" s="115" t="str">
        <f t="shared" si="2"/>
        <v/>
      </c>
      <c r="K19" s="102" t="str">
        <f>IF(A19&amp;B19="","",VLOOKUP(A19&amp;B19,INSUMOS!C:G,5,0))</f>
        <v/>
      </c>
    </row>
    <row r="20" spans="1:17" ht="15" x14ac:dyDescent="0.25">
      <c r="A20" s="109"/>
      <c r="B20" s="116"/>
      <c r="C20" s="518" t="str">
        <f>IF(A20&amp;B20="","",VLOOKUP(A20&amp;B20,INSUMOS!C:G,2,0))</f>
        <v/>
      </c>
      <c r="D20" s="519"/>
      <c r="E20" s="117" t="str">
        <f>IF(A20&amp;B20="","",VLOOKUP(A20&amp;B20,INSUMOS!C:G,3,0))</f>
        <v/>
      </c>
      <c r="F20" s="118"/>
      <c r="G20" s="113" t="str">
        <f>IF(A20&amp;B20="","",VLOOKUP(A20&amp;B20,INSUMOS!C:G,4,0))</f>
        <v/>
      </c>
      <c r="H20" s="119" t="str">
        <f t="shared" si="0"/>
        <v/>
      </c>
      <c r="I20" s="119" t="str">
        <f t="shared" si="1"/>
        <v/>
      </c>
      <c r="J20" s="115" t="str">
        <f t="shared" si="2"/>
        <v/>
      </c>
      <c r="K20" s="102" t="str">
        <f>IF(A20&amp;B20="","",VLOOKUP(A20&amp;B20,INSUMOS!C:G,5,0))</f>
        <v/>
      </c>
    </row>
    <row r="21" spans="1:17" ht="15" x14ac:dyDescent="0.25">
      <c r="A21" s="109"/>
      <c r="B21" s="116"/>
      <c r="C21" s="518" t="str">
        <f>IF(A21&amp;B21="","",VLOOKUP(A21&amp;B21,INSUMOS!C:G,2,0))</f>
        <v/>
      </c>
      <c r="D21" s="519"/>
      <c r="E21" s="117" t="str">
        <f>IF(A21&amp;B21="","",VLOOKUP(A21&amp;B21,INSUMOS!C:G,3,0))</f>
        <v/>
      </c>
      <c r="F21" s="118"/>
      <c r="G21" s="113" t="str">
        <f>IF(A21&amp;B21="","",VLOOKUP(A21&amp;B21,INSUMOS!C:G,4,0))</f>
        <v/>
      </c>
      <c r="H21" s="119" t="str">
        <f t="shared" si="0"/>
        <v/>
      </c>
      <c r="I21" s="119" t="str">
        <f t="shared" si="1"/>
        <v/>
      </c>
      <c r="J21" s="115" t="str">
        <f t="shared" si="2"/>
        <v/>
      </c>
      <c r="K21" s="102" t="str">
        <f>IF(A21&amp;B21="","",VLOOKUP(A21&amp;B21,INSUMOS!C:G,5,0))</f>
        <v/>
      </c>
    </row>
    <row r="22" spans="1:17" ht="15" x14ac:dyDescent="0.25">
      <c r="A22" s="120"/>
      <c r="B22" s="121"/>
      <c r="C22" s="518" t="str">
        <f>IF(A22&amp;B22="","",VLOOKUP(A22&amp;B22,INSUMOS!C:G,2,0))</f>
        <v/>
      </c>
      <c r="D22" s="519"/>
      <c r="E22" s="117" t="str">
        <f>IF(A22&amp;B22="","",VLOOKUP(A22&amp;B22,INSUMOS!C:G,3,0))</f>
        <v/>
      </c>
      <c r="F22" s="118"/>
      <c r="G22" s="122" t="str">
        <f>IF(A22&amp;B22="","",VLOOKUP(A22&amp;B22,INSUMOS!C:G,4,0))</f>
        <v/>
      </c>
      <c r="H22" s="119" t="str">
        <f t="shared" si="0"/>
        <v/>
      </c>
      <c r="I22" s="119" t="str">
        <f t="shared" si="1"/>
        <v/>
      </c>
      <c r="J22" s="115" t="str">
        <f t="shared" si="2"/>
        <v/>
      </c>
      <c r="K22" s="102" t="str">
        <f>IF(A22&amp;B22="","",VLOOKUP(A22&amp;B22,INSUMOS!C:G,5,0))</f>
        <v/>
      </c>
    </row>
    <row r="23" spans="1:17" ht="15" x14ac:dyDescent="0.25">
      <c r="A23" s="120"/>
      <c r="B23" s="121"/>
      <c r="C23" s="518" t="str">
        <f>IF(A23&amp;B23="","",VLOOKUP(A23&amp;B23,INSUMOS!C:G,2,0))</f>
        <v/>
      </c>
      <c r="D23" s="519"/>
      <c r="E23" s="117" t="str">
        <f>IF(A23&amp;B23="","",VLOOKUP(A23&amp;B23,INSUMOS!C:G,3,0))</f>
        <v/>
      </c>
      <c r="F23" s="118"/>
      <c r="G23" s="122" t="str">
        <f>IF(A23&amp;B23="","",VLOOKUP(A23&amp;B23,INSUMOS!C:G,4,0))</f>
        <v/>
      </c>
      <c r="H23" s="119" t="str">
        <f t="shared" si="0"/>
        <v/>
      </c>
      <c r="I23" s="119" t="str">
        <f t="shared" si="1"/>
        <v/>
      </c>
      <c r="J23" s="115" t="str">
        <f t="shared" si="2"/>
        <v/>
      </c>
      <c r="K23" s="102" t="str">
        <f>IF(A23&amp;B23="","",VLOOKUP(A23&amp;B23,INSUMOS!C:G,5,0))</f>
        <v/>
      </c>
    </row>
    <row r="24" spans="1:17" ht="15" x14ac:dyDescent="0.25">
      <c r="A24" s="120"/>
      <c r="B24" s="121"/>
      <c r="C24" s="518" t="str">
        <f>IF(A24&amp;B24="","",VLOOKUP(A24&amp;B24,INSUMOS!C:G,2,0))</f>
        <v/>
      </c>
      <c r="D24" s="519"/>
      <c r="E24" s="117" t="str">
        <f>IF(A24&amp;B24="","",VLOOKUP(A24&amp;B24,INSUMOS!C:G,3,0))</f>
        <v/>
      </c>
      <c r="F24" s="118"/>
      <c r="G24" s="122" t="str">
        <f>IF(A24&amp;B24="","",VLOOKUP(A24&amp;B24,INSUMOS!C:G,4,0))</f>
        <v/>
      </c>
      <c r="H24" s="119" t="str">
        <f t="shared" si="0"/>
        <v/>
      </c>
      <c r="I24" s="119" t="str">
        <f t="shared" si="1"/>
        <v/>
      </c>
      <c r="J24" s="115" t="str">
        <f t="shared" si="2"/>
        <v/>
      </c>
      <c r="K24" s="102" t="str">
        <f>IF(A24&amp;B24="","",VLOOKUP(A24&amp;B24,INSUMOS!C:G,5,0))</f>
        <v/>
      </c>
    </row>
    <row r="25" spans="1:17" ht="15" x14ac:dyDescent="0.25">
      <c r="A25" s="123" t="s">
        <v>4399</v>
      </c>
      <c r="B25" s="520"/>
      <c r="C25" s="520"/>
      <c r="D25" s="520"/>
      <c r="E25" s="520"/>
      <c r="F25" s="521"/>
      <c r="G25" s="124" t="s">
        <v>50</v>
      </c>
      <c r="H25" s="125">
        <f>SUM(H12:H24)</f>
        <v>0</v>
      </c>
      <c r="I25" s="125">
        <f>SUM(I12:I24)</f>
        <v>256.5</v>
      </c>
      <c r="J25" s="126">
        <f>SUM(J12:J24)</f>
        <v>0</v>
      </c>
    </row>
    <row r="26" spans="1:17" ht="15" x14ac:dyDescent="0.25">
      <c r="A26" s="127" t="s">
        <v>4400</v>
      </c>
      <c r="B26" s="128"/>
      <c r="C26" s="128"/>
      <c r="D26" s="127" t="s">
        <v>51</v>
      </c>
      <c r="E26" s="128"/>
      <c r="F26" s="129"/>
      <c r="G26" s="130" t="s">
        <v>55</v>
      </c>
      <c r="H26" s="131" t="s">
        <v>52</v>
      </c>
      <c r="I26" s="132"/>
      <c r="J26" s="125">
        <f>SUM(H25:J25)</f>
        <v>256.5</v>
      </c>
    </row>
    <row r="27" spans="1:17" ht="15" x14ac:dyDescent="0.25">
      <c r="A27" s="313" t="str">
        <f>$I$3</f>
        <v>Carlos Wieck</v>
      </c>
      <c r="B27" s="133"/>
      <c r="C27" s="133"/>
      <c r="D27" s="134"/>
      <c r="E27" s="133"/>
      <c r="F27" s="135"/>
      <c r="G27" s="522">
        <f>$J$5</f>
        <v>43040</v>
      </c>
      <c r="H27" s="136" t="s">
        <v>53</v>
      </c>
      <c r="I27" s="137"/>
      <c r="J27" s="125">
        <f>TRUNC(I27*J26,2)</f>
        <v>0</v>
      </c>
    </row>
    <row r="28" spans="1:17" ht="15" x14ac:dyDescent="0.25">
      <c r="A28" s="314"/>
      <c r="B28" s="139"/>
      <c r="C28" s="139"/>
      <c r="D28" s="138"/>
      <c r="E28" s="139"/>
      <c r="F28" s="140"/>
      <c r="G28" s="523"/>
      <c r="H28" s="141" t="s">
        <v>54</v>
      </c>
      <c r="I28" s="142"/>
      <c r="J28" s="143">
        <f>J27+J26</f>
        <v>256.5</v>
      </c>
      <c r="L28" s="102" t="str">
        <f>A9</f>
        <v>FDE ADAPTADO</v>
      </c>
      <c r="M28" s="144">
        <f>B9</f>
        <v>501028</v>
      </c>
      <c r="N28" s="102" t="str">
        <f>L28&amp;M28</f>
        <v>FDE ADAPTADO501028</v>
      </c>
      <c r="O28" s="103" t="str">
        <f>D8</f>
        <v>Portas para divisórias chapa fibra mad prens BP com Ferragens</v>
      </c>
      <c r="P28" s="145" t="str">
        <f>J9</f>
        <v>un</v>
      </c>
      <c r="Q28" s="145">
        <f>J28</f>
        <v>256.5</v>
      </c>
    </row>
    <row r="29" spans="1:17" ht="15" customHeight="1" x14ac:dyDescent="0.25">
      <c r="A29" s="524" t="s">
        <v>40</v>
      </c>
      <c r="B29" s="525"/>
      <c r="C29" s="104" t="s">
        <v>41</v>
      </c>
      <c r="D29" s="526" t="str">
        <f>IF(B30="","",VLOOKUP(B30,SERVIÇOS!B:E,3,0))</f>
        <v>Rufo liso de alumínio acab. Natural e=0,80mm corte até 0,16m</v>
      </c>
      <c r="E29" s="526"/>
      <c r="F29" s="526"/>
      <c r="G29" s="526"/>
      <c r="H29" s="526"/>
      <c r="I29" s="527"/>
      <c r="J29" s="105" t="s">
        <v>42</v>
      </c>
    </row>
    <row r="30" spans="1:17" ht="15" x14ac:dyDescent="0.25">
      <c r="A30" s="230" t="s">
        <v>4704</v>
      </c>
      <c r="B30" s="230">
        <v>704051</v>
      </c>
      <c r="C30" s="106"/>
      <c r="D30" s="528"/>
      <c r="E30" s="528"/>
      <c r="F30" s="528"/>
      <c r="G30" s="528"/>
      <c r="H30" s="528"/>
      <c r="I30" s="529"/>
      <c r="J30" s="107" t="str">
        <f>IF(B30="","",VLOOKUP(B30,SERVIÇOS!B:E,4,0))</f>
        <v>m</v>
      </c>
    </row>
    <row r="31" spans="1:17" ht="15" x14ac:dyDescent="0.25">
      <c r="A31" s="530" t="s">
        <v>4397</v>
      </c>
      <c r="B31" s="531" t="s">
        <v>11</v>
      </c>
      <c r="C31" s="533" t="s">
        <v>43</v>
      </c>
      <c r="D31" s="534"/>
      <c r="E31" s="530" t="s">
        <v>13</v>
      </c>
      <c r="F31" s="530" t="s">
        <v>44</v>
      </c>
      <c r="G31" s="538" t="s">
        <v>45</v>
      </c>
      <c r="H31" s="108" t="s">
        <v>46</v>
      </c>
      <c r="I31" s="108"/>
      <c r="J31" s="108"/>
    </row>
    <row r="32" spans="1:17" ht="15" x14ac:dyDescent="0.25">
      <c r="A32" s="530"/>
      <c r="B32" s="532"/>
      <c r="C32" s="535"/>
      <c r="D32" s="536"/>
      <c r="E32" s="537"/>
      <c r="F32" s="537"/>
      <c r="G32" s="539"/>
      <c r="H32" s="108" t="s">
        <v>47</v>
      </c>
      <c r="I32" s="108" t="s">
        <v>48</v>
      </c>
      <c r="J32" s="108" t="s">
        <v>49</v>
      </c>
    </row>
    <row r="33" spans="1:11" ht="15" x14ac:dyDescent="0.25">
      <c r="A33" s="109" t="s">
        <v>4398</v>
      </c>
      <c r="B33" s="110">
        <v>10118</v>
      </c>
      <c r="C33" s="540" t="str">
        <f>IF(A33&amp;B33="","",VLOOKUP(A33&amp;B33,INSUMOS!C:G,2,0))</f>
        <v xml:space="preserve">Encanador </v>
      </c>
      <c r="D33" s="541"/>
      <c r="E33" s="111" t="str">
        <f>IF(A33&amp;B33="","",VLOOKUP(A33&amp;B33,INSUMOS!C:G,3,0))</f>
        <v>h</v>
      </c>
      <c r="F33" s="112">
        <v>0.6</v>
      </c>
      <c r="G33" s="113">
        <f>IF(A33&amp;B33="","",VLOOKUP(A33&amp;B33,INSUMOS!C:G,4,0))</f>
        <v>16.906036</v>
      </c>
      <c r="H33" s="114">
        <f>IF(K33="MO",TRUNC(F33*G33,2),"")</f>
        <v>10.14</v>
      </c>
      <c r="I33" s="114" t="str">
        <f>IF(K33="MT",TRUNC(F33*G33,2),"")</f>
        <v/>
      </c>
      <c r="J33" s="115" t="str">
        <f>IF(K33="EQ",TRUNC(F33*G33,2),"")</f>
        <v/>
      </c>
      <c r="K33" s="102" t="str">
        <f>IF(A33&amp;B33="","",VLOOKUP(A33&amp;B33,INSUMOS!C:G,5,0))</f>
        <v>MO</v>
      </c>
    </row>
    <row r="34" spans="1:11" ht="15" x14ac:dyDescent="0.25">
      <c r="A34" s="109" t="s">
        <v>4398</v>
      </c>
      <c r="B34" s="116">
        <v>10119</v>
      </c>
      <c r="C34" s="518" t="str">
        <f>IF(A34&amp;B34="","",VLOOKUP(A34&amp;B34,INSUMOS!C:G,2,0))</f>
        <v>Ajudante de encanador</v>
      </c>
      <c r="D34" s="519"/>
      <c r="E34" s="117" t="str">
        <f>IF(A34&amp;B34="","",VLOOKUP(A34&amp;B34,INSUMOS!C:G,3,0))</f>
        <v>h</v>
      </c>
      <c r="F34" s="118">
        <v>0.6</v>
      </c>
      <c r="G34" s="113">
        <f>IF(A34&amp;B34="","",VLOOKUP(A34&amp;B34,INSUMOS!C:G,4,0))</f>
        <v>10.985028</v>
      </c>
      <c r="H34" s="119">
        <f t="shared" ref="H34:H45" si="3">IF(K34="MO",TRUNC(F34*G34,2),"")</f>
        <v>6.59</v>
      </c>
      <c r="I34" s="119" t="str">
        <f t="shared" ref="I34:I45" si="4">IF(K34="MT",TRUNC(F34*G34,2),"")</f>
        <v/>
      </c>
      <c r="J34" s="115" t="str">
        <f t="shared" ref="J34:J45" si="5">IF(K34="EQ",TRUNC(F34*G34,2),"")</f>
        <v/>
      </c>
      <c r="K34" s="102" t="str">
        <f>IF(A34&amp;B34="","",VLOOKUP(A34&amp;B34,INSUMOS!C:G,5,0))</f>
        <v>MO</v>
      </c>
    </row>
    <row r="35" spans="1:11" ht="15" x14ac:dyDescent="0.25">
      <c r="A35" s="109" t="s">
        <v>4701</v>
      </c>
      <c r="B35" s="116">
        <v>25530</v>
      </c>
      <c r="C35" s="518" t="str">
        <f>IF(A35&amp;B35="","",VLOOKUP(A35&amp;B35,INSUMOS!C:G,2,0))</f>
        <v>Telha/Cumeeira/Rufo de Alumínio Natural</v>
      </c>
      <c r="D35" s="519"/>
      <c r="E35" s="117" t="str">
        <f>IF(A35&amp;B35="","",VLOOKUP(A35&amp;B35,INSUMOS!C:G,3,0))</f>
        <v>kg</v>
      </c>
      <c r="F35" s="118">
        <v>0.41</v>
      </c>
      <c r="G35" s="113">
        <f>IF(A35&amp;B35="","",VLOOKUP(A35&amp;B35,INSUMOS!C:G,4,0))</f>
        <v>20.94</v>
      </c>
      <c r="H35" s="119" t="str">
        <f t="shared" si="3"/>
        <v/>
      </c>
      <c r="I35" s="119">
        <f t="shared" si="4"/>
        <v>8.58</v>
      </c>
      <c r="J35" s="115" t="str">
        <f t="shared" si="5"/>
        <v/>
      </c>
      <c r="K35" s="102" t="str">
        <f>IF(A35&amp;B35="","",VLOOKUP(A35&amp;B35,INSUMOS!C:G,5,0))</f>
        <v>MT</v>
      </c>
    </row>
    <row r="36" spans="1:11" ht="15" x14ac:dyDescent="0.25">
      <c r="A36" s="109" t="s">
        <v>4398</v>
      </c>
      <c r="B36" s="116">
        <v>26760</v>
      </c>
      <c r="C36" s="518" t="str">
        <f>IF(A36&amp;B36="","",VLOOKUP(A36&amp;B36,INSUMOS!C:G,2,0))</f>
        <v>Prego diversas bitolas (referência 18 x 27)</v>
      </c>
      <c r="D36" s="519"/>
      <c r="E36" s="117" t="str">
        <f>IF(A36&amp;B36="","",VLOOKUP(A36&amp;B36,INSUMOS!C:G,3,0))</f>
        <v>kg</v>
      </c>
      <c r="F36" s="118">
        <v>0.1</v>
      </c>
      <c r="G36" s="113">
        <f>IF(A36&amp;B36="","",VLOOKUP(A36&amp;B36,INSUMOS!C:G,4,0))</f>
        <v>5.0999999999999996</v>
      </c>
      <c r="H36" s="119" t="str">
        <f t="shared" si="3"/>
        <v/>
      </c>
      <c r="I36" s="119">
        <f t="shared" si="4"/>
        <v>0.51</v>
      </c>
      <c r="J36" s="115" t="str">
        <f t="shared" si="5"/>
        <v/>
      </c>
      <c r="K36" s="102" t="str">
        <f>IF(A36&amp;B36="","",VLOOKUP(A36&amp;B36,INSUMOS!C:G,5,0))</f>
        <v>MT</v>
      </c>
    </row>
    <row r="37" spans="1:11" ht="15" x14ac:dyDescent="0.25">
      <c r="A37" s="109"/>
      <c r="B37" s="116"/>
      <c r="C37" s="518" t="str">
        <f>IF(A37&amp;B37="","",VLOOKUP(A37&amp;B37,INSUMOS!C:G,2,0))</f>
        <v/>
      </c>
      <c r="D37" s="519"/>
      <c r="E37" s="117" t="str">
        <f>IF(A37&amp;B37="","",VLOOKUP(A37&amp;B37,INSUMOS!C:G,3,0))</f>
        <v/>
      </c>
      <c r="F37" s="118"/>
      <c r="G37" s="113" t="str">
        <f>IF(A37&amp;B37="","",VLOOKUP(A37&amp;B37,INSUMOS!C:G,4,0))</f>
        <v/>
      </c>
      <c r="H37" s="119" t="str">
        <f t="shared" si="3"/>
        <v/>
      </c>
      <c r="I37" s="119" t="str">
        <f t="shared" si="4"/>
        <v/>
      </c>
      <c r="J37" s="115" t="str">
        <f t="shared" si="5"/>
        <v/>
      </c>
      <c r="K37" s="102" t="str">
        <f>IF(A37&amp;B37="","",VLOOKUP(A37&amp;B37,INSUMOS!C:G,5,0))</f>
        <v/>
      </c>
    </row>
    <row r="38" spans="1:11" ht="15" x14ac:dyDescent="0.25">
      <c r="A38" s="109"/>
      <c r="B38" s="116"/>
      <c r="C38" s="518" t="str">
        <f>IF(A38&amp;B38="","",VLOOKUP(A38&amp;B38,INSUMOS!C:G,2,0))</f>
        <v/>
      </c>
      <c r="D38" s="519"/>
      <c r="E38" s="117" t="str">
        <f>IF(A38&amp;B38="","",VLOOKUP(A38&amp;B38,INSUMOS!C:G,3,0))</f>
        <v/>
      </c>
      <c r="F38" s="118"/>
      <c r="G38" s="113" t="str">
        <f>IF(A38&amp;B38="","",VLOOKUP(A38&amp;B38,INSUMOS!C:G,4,0))</f>
        <v/>
      </c>
      <c r="H38" s="119" t="str">
        <f t="shared" si="3"/>
        <v/>
      </c>
      <c r="I38" s="119" t="str">
        <f t="shared" si="4"/>
        <v/>
      </c>
      <c r="J38" s="115" t="str">
        <f t="shared" si="5"/>
        <v/>
      </c>
      <c r="K38" s="102" t="str">
        <f>IF(A38&amp;B38="","",VLOOKUP(A38&amp;B38,INSUMOS!C:G,5,0))</f>
        <v/>
      </c>
    </row>
    <row r="39" spans="1:11" ht="15" x14ac:dyDescent="0.25">
      <c r="A39" s="109"/>
      <c r="B39" s="116"/>
      <c r="C39" s="518" t="str">
        <f>IF(A39&amp;B39="","",VLOOKUP(A39&amp;B39,INSUMOS!C:G,2,0))</f>
        <v/>
      </c>
      <c r="D39" s="519"/>
      <c r="E39" s="117" t="str">
        <f>IF(A39&amp;B39="","",VLOOKUP(A39&amp;B39,INSUMOS!C:G,3,0))</f>
        <v/>
      </c>
      <c r="F39" s="118"/>
      <c r="G39" s="113" t="str">
        <f>IF(A39&amp;B39="","",VLOOKUP(A39&amp;B39,INSUMOS!C:G,4,0))</f>
        <v/>
      </c>
      <c r="H39" s="119" t="str">
        <f t="shared" si="3"/>
        <v/>
      </c>
      <c r="I39" s="119" t="str">
        <f t="shared" si="4"/>
        <v/>
      </c>
      <c r="J39" s="115" t="str">
        <f t="shared" si="5"/>
        <v/>
      </c>
      <c r="K39" s="102" t="str">
        <f>IF(A39&amp;B39="","",VLOOKUP(A39&amp;B39,INSUMOS!C:G,5,0))</f>
        <v/>
      </c>
    </row>
    <row r="40" spans="1:11" ht="15" x14ac:dyDescent="0.25">
      <c r="A40" s="109"/>
      <c r="B40" s="116"/>
      <c r="C40" s="518" t="str">
        <f>IF(A40&amp;B40="","",VLOOKUP(A40&amp;B40,INSUMOS!C:G,2,0))</f>
        <v/>
      </c>
      <c r="D40" s="519"/>
      <c r="E40" s="117" t="str">
        <f>IF(A40&amp;B40="","",VLOOKUP(A40&amp;B40,INSUMOS!C:G,3,0))</f>
        <v/>
      </c>
      <c r="F40" s="118"/>
      <c r="G40" s="113" t="str">
        <f>IF(A40&amp;B40="","",VLOOKUP(A40&amp;B40,INSUMOS!C:G,4,0))</f>
        <v/>
      </c>
      <c r="H40" s="119" t="str">
        <f t="shared" si="3"/>
        <v/>
      </c>
      <c r="I40" s="119" t="str">
        <f t="shared" si="4"/>
        <v/>
      </c>
      <c r="J40" s="115" t="str">
        <f t="shared" si="5"/>
        <v/>
      </c>
      <c r="K40" s="102" t="str">
        <f>IF(A40&amp;B40="","",VLOOKUP(A40&amp;B40,INSUMOS!C:G,5,0))</f>
        <v/>
      </c>
    </row>
    <row r="41" spans="1:11" ht="15" x14ac:dyDescent="0.25">
      <c r="A41" s="109"/>
      <c r="B41" s="116"/>
      <c r="C41" s="518" t="str">
        <f>IF(A41&amp;B41="","",VLOOKUP(A41&amp;B41,INSUMOS!C:G,2,0))</f>
        <v/>
      </c>
      <c r="D41" s="519"/>
      <c r="E41" s="117" t="str">
        <f>IF(A41&amp;B41="","",VLOOKUP(A41&amp;B41,INSUMOS!C:G,3,0))</f>
        <v/>
      </c>
      <c r="F41" s="118"/>
      <c r="G41" s="113" t="str">
        <f>IF(A41&amp;B41="","",VLOOKUP(A41&amp;B41,INSUMOS!C:G,4,0))</f>
        <v/>
      </c>
      <c r="H41" s="119" t="str">
        <f t="shared" si="3"/>
        <v/>
      </c>
      <c r="I41" s="119" t="str">
        <f t="shared" si="4"/>
        <v/>
      </c>
      <c r="J41" s="115" t="str">
        <f t="shared" si="5"/>
        <v/>
      </c>
      <c r="K41" s="102" t="str">
        <f>IF(A41&amp;B41="","",VLOOKUP(A41&amp;B41,INSUMOS!C:G,5,0))</f>
        <v/>
      </c>
    </row>
    <row r="42" spans="1:11" ht="15" x14ac:dyDescent="0.25">
      <c r="A42" s="109"/>
      <c r="B42" s="116"/>
      <c r="C42" s="518" t="str">
        <f>IF(A42&amp;B42="","",VLOOKUP(A42&amp;B42,INSUMOS!C:G,2,0))</f>
        <v/>
      </c>
      <c r="D42" s="519"/>
      <c r="E42" s="117" t="str">
        <f>IF(A42&amp;B42="","",VLOOKUP(A42&amp;B42,INSUMOS!C:G,3,0))</f>
        <v/>
      </c>
      <c r="F42" s="118"/>
      <c r="G42" s="113" t="str">
        <f>IF(A42&amp;B42="","",VLOOKUP(A42&amp;B42,INSUMOS!C:G,4,0))</f>
        <v/>
      </c>
      <c r="H42" s="119" t="str">
        <f t="shared" si="3"/>
        <v/>
      </c>
      <c r="I42" s="119" t="str">
        <f t="shared" si="4"/>
        <v/>
      </c>
      <c r="J42" s="115" t="str">
        <f t="shared" si="5"/>
        <v/>
      </c>
      <c r="K42" s="102" t="str">
        <f>IF(A42&amp;B42="","",VLOOKUP(A42&amp;B42,INSUMOS!C:G,5,0))</f>
        <v/>
      </c>
    </row>
    <row r="43" spans="1:11" ht="15" x14ac:dyDescent="0.25">
      <c r="A43" s="120"/>
      <c r="B43" s="121"/>
      <c r="C43" s="518" t="str">
        <f>IF(A43&amp;B43="","",VLOOKUP(A43&amp;B43,INSUMOS!C:G,2,0))</f>
        <v/>
      </c>
      <c r="D43" s="519"/>
      <c r="E43" s="117" t="str">
        <f>IF(A43&amp;B43="","",VLOOKUP(A43&amp;B43,INSUMOS!C:G,3,0))</f>
        <v/>
      </c>
      <c r="F43" s="118"/>
      <c r="G43" s="122" t="str">
        <f>IF(A43&amp;B43="","",VLOOKUP(A43&amp;B43,INSUMOS!C:G,4,0))</f>
        <v/>
      </c>
      <c r="H43" s="119" t="str">
        <f t="shared" si="3"/>
        <v/>
      </c>
      <c r="I43" s="119" t="str">
        <f t="shared" si="4"/>
        <v/>
      </c>
      <c r="J43" s="115" t="str">
        <f t="shared" si="5"/>
        <v/>
      </c>
      <c r="K43" s="102" t="str">
        <f>IF(A43&amp;B43="","",VLOOKUP(A43&amp;B43,INSUMOS!C:G,5,0))</f>
        <v/>
      </c>
    </row>
    <row r="44" spans="1:11" ht="15" x14ac:dyDescent="0.25">
      <c r="A44" s="120"/>
      <c r="B44" s="121"/>
      <c r="C44" s="518" t="str">
        <f>IF(A44&amp;B44="","",VLOOKUP(A44&amp;B44,INSUMOS!C:G,2,0))</f>
        <v/>
      </c>
      <c r="D44" s="519"/>
      <c r="E44" s="117" t="str">
        <f>IF(A44&amp;B44="","",VLOOKUP(A44&amp;B44,INSUMOS!C:G,3,0))</f>
        <v/>
      </c>
      <c r="F44" s="118"/>
      <c r="G44" s="122" t="str">
        <f>IF(A44&amp;B44="","",VLOOKUP(A44&amp;B44,INSUMOS!C:G,4,0))</f>
        <v/>
      </c>
      <c r="H44" s="119" t="str">
        <f t="shared" si="3"/>
        <v/>
      </c>
      <c r="I44" s="119" t="str">
        <f t="shared" si="4"/>
        <v/>
      </c>
      <c r="J44" s="115" t="str">
        <f t="shared" si="5"/>
        <v/>
      </c>
      <c r="K44" s="102" t="str">
        <f>IF(A44&amp;B44="","",VLOOKUP(A44&amp;B44,INSUMOS!C:G,5,0))</f>
        <v/>
      </c>
    </row>
    <row r="45" spans="1:11" ht="15" x14ac:dyDescent="0.25">
      <c r="A45" s="120"/>
      <c r="B45" s="121"/>
      <c r="C45" s="518" t="str">
        <f>IF(A45&amp;B45="","",VLOOKUP(A45&amp;B45,INSUMOS!C:G,2,0))</f>
        <v/>
      </c>
      <c r="D45" s="519"/>
      <c r="E45" s="117" t="str">
        <f>IF(A45&amp;B45="","",VLOOKUP(A45&amp;B45,INSUMOS!C:G,3,0))</f>
        <v/>
      </c>
      <c r="F45" s="118"/>
      <c r="G45" s="122" t="str">
        <f>IF(A45&amp;B45="","",VLOOKUP(A45&amp;B45,INSUMOS!C:G,4,0))</f>
        <v/>
      </c>
      <c r="H45" s="119" t="str">
        <f t="shared" si="3"/>
        <v/>
      </c>
      <c r="I45" s="119" t="str">
        <f t="shared" si="4"/>
        <v/>
      </c>
      <c r="J45" s="115" t="str">
        <f t="shared" si="5"/>
        <v/>
      </c>
      <c r="K45" s="102" t="str">
        <f>IF(A45&amp;B45="","",VLOOKUP(A45&amp;B45,INSUMOS!C:G,5,0))</f>
        <v/>
      </c>
    </row>
    <row r="46" spans="1:11" ht="15" x14ac:dyDescent="0.25">
      <c r="A46" s="123" t="s">
        <v>4399</v>
      </c>
      <c r="B46" s="520"/>
      <c r="C46" s="520"/>
      <c r="D46" s="520"/>
      <c r="E46" s="520"/>
      <c r="F46" s="521"/>
      <c r="G46" s="124" t="s">
        <v>50</v>
      </c>
      <c r="H46" s="125">
        <f>SUM(H33:H45)</f>
        <v>16.73</v>
      </c>
      <c r="I46" s="125">
        <f>SUM(I33:I45)</f>
        <v>9.09</v>
      </c>
      <c r="J46" s="126">
        <f>SUM(J33:J45)</f>
        <v>0</v>
      </c>
    </row>
    <row r="47" spans="1:11" ht="15" x14ac:dyDescent="0.25">
      <c r="A47" s="127" t="s">
        <v>4400</v>
      </c>
      <c r="B47" s="128"/>
      <c r="C47" s="128"/>
      <c r="D47" s="127" t="s">
        <v>51</v>
      </c>
      <c r="E47" s="128"/>
      <c r="F47" s="129"/>
      <c r="G47" s="130" t="s">
        <v>55</v>
      </c>
      <c r="H47" s="131" t="s">
        <v>52</v>
      </c>
      <c r="I47" s="132"/>
      <c r="J47" s="125">
        <f>SUM(H46:J46)</f>
        <v>25.82</v>
      </c>
    </row>
    <row r="48" spans="1:11" ht="15" x14ac:dyDescent="0.25">
      <c r="A48" s="313" t="str">
        <f>$I$3</f>
        <v>Carlos Wieck</v>
      </c>
      <c r="B48" s="133"/>
      <c r="C48" s="133"/>
      <c r="D48" s="134"/>
      <c r="E48" s="133"/>
      <c r="F48" s="135"/>
      <c r="G48" s="522">
        <f>$J$5</f>
        <v>43040</v>
      </c>
      <c r="H48" s="136" t="s">
        <v>53</v>
      </c>
      <c r="I48" s="137"/>
      <c r="J48" s="125">
        <f>TRUNC(I48*J47,2)</f>
        <v>0</v>
      </c>
    </row>
    <row r="49" spans="1:17" ht="15" x14ac:dyDescent="0.25">
      <c r="A49" s="314"/>
      <c r="B49" s="139"/>
      <c r="C49" s="139"/>
      <c r="D49" s="138"/>
      <c r="E49" s="139"/>
      <c r="F49" s="140"/>
      <c r="G49" s="523"/>
      <c r="H49" s="141" t="s">
        <v>54</v>
      </c>
      <c r="I49" s="142"/>
      <c r="J49" s="143">
        <f>J48+J47</f>
        <v>25.82</v>
      </c>
      <c r="L49" s="102" t="str">
        <f>A30</f>
        <v>FDE ADAPTADO</v>
      </c>
      <c r="M49" s="144">
        <f>B30</f>
        <v>704051</v>
      </c>
      <c r="N49" s="102" t="str">
        <f>L49&amp;M49</f>
        <v>FDE ADAPTADO704051</v>
      </c>
      <c r="O49" s="103" t="str">
        <f>D29</f>
        <v>Rufo liso de alumínio acab. Natural e=0,80mm corte até 0,16m</v>
      </c>
      <c r="P49" s="145" t="str">
        <f>J30</f>
        <v>m</v>
      </c>
      <c r="Q49" s="145">
        <f>J49</f>
        <v>25.82</v>
      </c>
    </row>
    <row r="50" spans="1:17" ht="15" customHeight="1" x14ac:dyDescent="0.25">
      <c r="A50" s="524" t="s">
        <v>40</v>
      </c>
      <c r="B50" s="525"/>
      <c r="C50" s="104" t="s">
        <v>41</v>
      </c>
      <c r="D50" s="526" t="str">
        <f>IF(B51="","",VLOOKUP(B51,SERVIÇOS!B:E,3,0))</f>
        <v>Rufo liso de alumínio acab. Natural e=0,80mm corte  0,25m</v>
      </c>
      <c r="E50" s="526"/>
      <c r="F50" s="526"/>
      <c r="G50" s="526"/>
      <c r="H50" s="526"/>
      <c r="I50" s="527"/>
      <c r="J50" s="105" t="s">
        <v>42</v>
      </c>
    </row>
    <row r="51" spans="1:17" ht="15" x14ac:dyDescent="0.25">
      <c r="A51" s="230" t="s">
        <v>4704</v>
      </c>
      <c r="B51" s="230">
        <v>704052</v>
      </c>
      <c r="C51" s="106"/>
      <c r="D51" s="528"/>
      <c r="E51" s="528"/>
      <c r="F51" s="528"/>
      <c r="G51" s="528"/>
      <c r="H51" s="528"/>
      <c r="I51" s="529"/>
      <c r="J51" s="107" t="str">
        <f>IF(B51="","",VLOOKUP(B51,SERVIÇOS!B:E,4,0))</f>
        <v>m</v>
      </c>
    </row>
    <row r="52" spans="1:17" ht="15" x14ac:dyDescent="0.25">
      <c r="A52" s="530" t="s">
        <v>4397</v>
      </c>
      <c r="B52" s="531" t="s">
        <v>11</v>
      </c>
      <c r="C52" s="533" t="s">
        <v>43</v>
      </c>
      <c r="D52" s="534"/>
      <c r="E52" s="530" t="s">
        <v>13</v>
      </c>
      <c r="F52" s="530" t="s">
        <v>44</v>
      </c>
      <c r="G52" s="538" t="s">
        <v>45</v>
      </c>
      <c r="H52" s="108" t="s">
        <v>46</v>
      </c>
      <c r="I52" s="108"/>
      <c r="J52" s="108"/>
    </row>
    <row r="53" spans="1:17" ht="15" x14ac:dyDescent="0.25">
      <c r="A53" s="530"/>
      <c r="B53" s="532"/>
      <c r="C53" s="535"/>
      <c r="D53" s="536"/>
      <c r="E53" s="537"/>
      <c r="F53" s="537"/>
      <c r="G53" s="539"/>
      <c r="H53" s="108" t="s">
        <v>47</v>
      </c>
      <c r="I53" s="108" t="s">
        <v>48</v>
      </c>
      <c r="J53" s="108" t="s">
        <v>49</v>
      </c>
    </row>
    <row r="54" spans="1:17" ht="15" x14ac:dyDescent="0.25">
      <c r="A54" s="109" t="s">
        <v>4398</v>
      </c>
      <c r="B54" s="110">
        <v>10118</v>
      </c>
      <c r="C54" s="540" t="str">
        <f>IF(A54&amp;B54="","",VLOOKUP(A54&amp;B54,INSUMOS!C:G,2,0))</f>
        <v xml:space="preserve">Encanador </v>
      </c>
      <c r="D54" s="541"/>
      <c r="E54" s="111" t="str">
        <f>IF(A54&amp;B54="","",VLOOKUP(A54&amp;B54,INSUMOS!C:G,3,0))</f>
        <v>h</v>
      </c>
      <c r="F54" s="112">
        <v>0.6</v>
      </c>
      <c r="G54" s="113">
        <f>IF(A54&amp;B54="","",VLOOKUP(A54&amp;B54,INSUMOS!C:G,4,0))</f>
        <v>16.906036</v>
      </c>
      <c r="H54" s="114">
        <f>IF(K54="MO",TRUNC(F54*G54,2),"")</f>
        <v>10.14</v>
      </c>
      <c r="I54" s="114" t="str">
        <f>IF(K54="MT",TRUNC(F54*G54,2),"")</f>
        <v/>
      </c>
      <c r="J54" s="115" t="str">
        <f>IF(K54="EQ",TRUNC(F54*G54,2),"")</f>
        <v/>
      </c>
      <c r="K54" s="102" t="str">
        <f>IF(A54&amp;B54="","",VLOOKUP(A54&amp;B54,INSUMOS!C:G,5,0))</f>
        <v>MO</v>
      </c>
    </row>
    <row r="55" spans="1:17" ht="15" x14ac:dyDescent="0.25">
      <c r="A55" s="109" t="s">
        <v>4398</v>
      </c>
      <c r="B55" s="116">
        <v>10119</v>
      </c>
      <c r="C55" s="518" t="str">
        <f>IF(A55&amp;B55="","",VLOOKUP(A55&amp;B55,INSUMOS!C:G,2,0))</f>
        <v>Ajudante de encanador</v>
      </c>
      <c r="D55" s="519"/>
      <c r="E55" s="117" t="str">
        <f>IF(A55&amp;B55="","",VLOOKUP(A55&amp;B55,INSUMOS!C:G,3,0))</f>
        <v>h</v>
      </c>
      <c r="F55" s="118">
        <v>0.6</v>
      </c>
      <c r="G55" s="113">
        <f>IF(A55&amp;B55="","",VLOOKUP(A55&amp;B55,INSUMOS!C:G,4,0))</f>
        <v>10.985028</v>
      </c>
      <c r="H55" s="119">
        <f t="shared" ref="H55:H66" si="6">IF(K55="MO",TRUNC(F55*G55,2),"")</f>
        <v>6.59</v>
      </c>
      <c r="I55" s="119" t="str">
        <f t="shared" ref="I55:I66" si="7">IF(K55="MT",TRUNC(F55*G55,2),"")</f>
        <v/>
      </c>
      <c r="J55" s="115" t="str">
        <f t="shared" ref="J55:J66" si="8">IF(K55="EQ",TRUNC(F55*G55,2),"")</f>
        <v/>
      </c>
      <c r="K55" s="102" t="str">
        <f>IF(A55&amp;B55="","",VLOOKUP(A55&amp;B55,INSUMOS!C:G,5,0))</f>
        <v>MO</v>
      </c>
    </row>
    <row r="56" spans="1:17" ht="15" x14ac:dyDescent="0.25">
      <c r="A56" s="109" t="s">
        <v>4701</v>
      </c>
      <c r="B56" s="116">
        <v>25530</v>
      </c>
      <c r="C56" s="518" t="str">
        <f>IF(A56&amp;B56="","",VLOOKUP(A56&amp;B56,INSUMOS!C:G,2,0))</f>
        <v>Telha/Cumeeira/Rufo de Alumínio Natural</v>
      </c>
      <c r="D56" s="519"/>
      <c r="E56" s="117" t="str">
        <f>IF(A56&amp;B56="","",VLOOKUP(A56&amp;B56,INSUMOS!C:G,3,0))</f>
        <v>kg</v>
      </c>
      <c r="F56" s="118">
        <v>0.63</v>
      </c>
      <c r="G56" s="113">
        <f>IF(A56&amp;B56="","",VLOOKUP(A56&amp;B56,INSUMOS!C:G,4,0))</f>
        <v>20.94</v>
      </c>
      <c r="H56" s="119" t="str">
        <f t="shared" si="6"/>
        <v/>
      </c>
      <c r="I56" s="119">
        <f t="shared" si="7"/>
        <v>13.19</v>
      </c>
      <c r="J56" s="115" t="str">
        <f t="shared" si="8"/>
        <v/>
      </c>
      <c r="K56" s="102" t="str">
        <f>IF(A56&amp;B56="","",VLOOKUP(A56&amp;B56,INSUMOS!C:G,5,0))</f>
        <v>MT</v>
      </c>
    </row>
    <row r="57" spans="1:17" ht="15" x14ac:dyDescent="0.25">
      <c r="A57" s="109" t="s">
        <v>4398</v>
      </c>
      <c r="B57" s="116">
        <v>26760</v>
      </c>
      <c r="C57" s="518" t="str">
        <f>IF(A57&amp;B57="","",VLOOKUP(A57&amp;B57,INSUMOS!C:G,2,0))</f>
        <v>Prego diversas bitolas (referência 18 x 27)</v>
      </c>
      <c r="D57" s="519"/>
      <c r="E57" s="117" t="str">
        <f>IF(A57&amp;B57="","",VLOOKUP(A57&amp;B57,INSUMOS!C:G,3,0))</f>
        <v>kg</v>
      </c>
      <c r="F57" s="118">
        <v>0.1</v>
      </c>
      <c r="G57" s="113">
        <f>IF(A57&amp;B57="","",VLOOKUP(A57&amp;B57,INSUMOS!C:G,4,0))</f>
        <v>5.0999999999999996</v>
      </c>
      <c r="H57" s="119" t="str">
        <f t="shared" si="6"/>
        <v/>
      </c>
      <c r="I57" s="119">
        <f t="shared" si="7"/>
        <v>0.51</v>
      </c>
      <c r="J57" s="115" t="str">
        <f t="shared" si="8"/>
        <v/>
      </c>
      <c r="K57" s="102" t="str">
        <f>IF(A57&amp;B57="","",VLOOKUP(A57&amp;B57,INSUMOS!C:G,5,0))</f>
        <v>MT</v>
      </c>
    </row>
    <row r="58" spans="1:17" ht="15" x14ac:dyDescent="0.25">
      <c r="A58" s="109"/>
      <c r="B58" s="116"/>
      <c r="C58" s="518" t="str">
        <f>IF(A58&amp;B58="","",VLOOKUP(A58&amp;B58,INSUMOS!C:G,2,0))</f>
        <v/>
      </c>
      <c r="D58" s="519"/>
      <c r="E58" s="117" t="str">
        <f>IF(A58&amp;B58="","",VLOOKUP(A58&amp;B58,INSUMOS!C:G,3,0))</f>
        <v/>
      </c>
      <c r="F58" s="118"/>
      <c r="G58" s="113" t="str">
        <f>IF(A58&amp;B58="","",VLOOKUP(A58&amp;B58,INSUMOS!C:G,4,0))</f>
        <v/>
      </c>
      <c r="H58" s="119" t="str">
        <f t="shared" si="6"/>
        <v/>
      </c>
      <c r="I58" s="119" t="str">
        <f t="shared" si="7"/>
        <v/>
      </c>
      <c r="J58" s="115" t="str">
        <f t="shared" si="8"/>
        <v/>
      </c>
      <c r="K58" s="102" t="str">
        <f>IF(A58&amp;B58="","",VLOOKUP(A58&amp;B58,INSUMOS!C:G,5,0))</f>
        <v/>
      </c>
    </row>
    <row r="59" spans="1:17" ht="15" x14ac:dyDescent="0.25">
      <c r="A59" s="109"/>
      <c r="B59" s="116"/>
      <c r="C59" s="518" t="str">
        <f>IF(A59&amp;B59="","",VLOOKUP(A59&amp;B59,INSUMOS!C:G,2,0))</f>
        <v/>
      </c>
      <c r="D59" s="519"/>
      <c r="E59" s="117" t="str">
        <f>IF(A59&amp;B59="","",VLOOKUP(A59&amp;B59,INSUMOS!C:G,3,0))</f>
        <v/>
      </c>
      <c r="F59" s="118"/>
      <c r="G59" s="113" t="str">
        <f>IF(A59&amp;B59="","",VLOOKUP(A59&amp;B59,INSUMOS!C:G,4,0))</f>
        <v/>
      </c>
      <c r="H59" s="119" t="str">
        <f t="shared" si="6"/>
        <v/>
      </c>
      <c r="I59" s="119" t="str">
        <f t="shared" si="7"/>
        <v/>
      </c>
      <c r="J59" s="115" t="str">
        <f t="shared" si="8"/>
        <v/>
      </c>
      <c r="K59" s="102" t="str">
        <f>IF(A59&amp;B59="","",VLOOKUP(A59&amp;B59,INSUMOS!C:G,5,0))</f>
        <v/>
      </c>
    </row>
    <row r="60" spans="1:17" ht="15" x14ac:dyDescent="0.25">
      <c r="A60" s="109"/>
      <c r="B60" s="116"/>
      <c r="C60" s="518" t="str">
        <f>IF(A60&amp;B60="","",VLOOKUP(A60&amp;B60,INSUMOS!C:G,2,0))</f>
        <v/>
      </c>
      <c r="D60" s="519"/>
      <c r="E60" s="117" t="str">
        <f>IF(A60&amp;B60="","",VLOOKUP(A60&amp;B60,INSUMOS!C:G,3,0))</f>
        <v/>
      </c>
      <c r="F60" s="118"/>
      <c r="G60" s="113" t="str">
        <f>IF(A60&amp;B60="","",VLOOKUP(A60&amp;B60,INSUMOS!C:G,4,0))</f>
        <v/>
      </c>
      <c r="H60" s="119" t="str">
        <f t="shared" si="6"/>
        <v/>
      </c>
      <c r="I60" s="119" t="str">
        <f t="shared" si="7"/>
        <v/>
      </c>
      <c r="J60" s="115" t="str">
        <f t="shared" si="8"/>
        <v/>
      </c>
      <c r="K60" s="102" t="str">
        <f>IF(A60&amp;B60="","",VLOOKUP(A60&amp;B60,INSUMOS!C:G,5,0))</f>
        <v/>
      </c>
    </row>
    <row r="61" spans="1:17" ht="15" x14ac:dyDescent="0.25">
      <c r="A61" s="109"/>
      <c r="B61" s="116"/>
      <c r="C61" s="518" t="str">
        <f>IF(A61&amp;B61="","",VLOOKUP(A61&amp;B61,INSUMOS!C:G,2,0))</f>
        <v/>
      </c>
      <c r="D61" s="519"/>
      <c r="E61" s="117" t="str">
        <f>IF(A61&amp;B61="","",VLOOKUP(A61&amp;B61,INSUMOS!C:G,3,0))</f>
        <v/>
      </c>
      <c r="F61" s="118"/>
      <c r="G61" s="113" t="str">
        <f>IF(A61&amp;B61="","",VLOOKUP(A61&amp;B61,INSUMOS!C:G,4,0))</f>
        <v/>
      </c>
      <c r="H61" s="119" t="str">
        <f t="shared" si="6"/>
        <v/>
      </c>
      <c r="I61" s="119" t="str">
        <f t="shared" si="7"/>
        <v/>
      </c>
      <c r="J61" s="115" t="str">
        <f t="shared" si="8"/>
        <v/>
      </c>
      <c r="K61" s="102" t="str">
        <f>IF(A61&amp;B61="","",VLOOKUP(A61&amp;B61,INSUMOS!C:G,5,0))</f>
        <v/>
      </c>
    </row>
    <row r="62" spans="1:17" ht="15" x14ac:dyDescent="0.25">
      <c r="A62" s="109"/>
      <c r="B62" s="116"/>
      <c r="C62" s="518" t="str">
        <f>IF(A62&amp;B62="","",VLOOKUP(A62&amp;B62,INSUMOS!C:G,2,0))</f>
        <v/>
      </c>
      <c r="D62" s="519"/>
      <c r="E62" s="117" t="str">
        <f>IF(A62&amp;B62="","",VLOOKUP(A62&amp;B62,INSUMOS!C:G,3,0))</f>
        <v/>
      </c>
      <c r="F62" s="118"/>
      <c r="G62" s="113" t="str">
        <f>IF(A62&amp;B62="","",VLOOKUP(A62&amp;B62,INSUMOS!C:G,4,0))</f>
        <v/>
      </c>
      <c r="H62" s="119" t="str">
        <f t="shared" si="6"/>
        <v/>
      </c>
      <c r="I62" s="119" t="str">
        <f t="shared" si="7"/>
        <v/>
      </c>
      <c r="J62" s="115" t="str">
        <f t="shared" si="8"/>
        <v/>
      </c>
      <c r="K62" s="102" t="str">
        <f>IF(A62&amp;B62="","",VLOOKUP(A62&amp;B62,INSUMOS!C:G,5,0))</f>
        <v/>
      </c>
    </row>
    <row r="63" spans="1:17" ht="15" x14ac:dyDescent="0.25">
      <c r="A63" s="109"/>
      <c r="B63" s="116"/>
      <c r="C63" s="518" t="str">
        <f>IF(A63&amp;B63="","",VLOOKUP(A63&amp;B63,INSUMOS!C:G,2,0))</f>
        <v/>
      </c>
      <c r="D63" s="519"/>
      <c r="E63" s="117" t="str">
        <f>IF(A63&amp;B63="","",VLOOKUP(A63&amp;B63,INSUMOS!C:G,3,0))</f>
        <v/>
      </c>
      <c r="F63" s="118"/>
      <c r="G63" s="113" t="str">
        <f>IF(A63&amp;B63="","",VLOOKUP(A63&amp;B63,INSUMOS!C:G,4,0))</f>
        <v/>
      </c>
      <c r="H63" s="119" t="str">
        <f t="shared" si="6"/>
        <v/>
      </c>
      <c r="I63" s="119" t="str">
        <f t="shared" si="7"/>
        <v/>
      </c>
      <c r="J63" s="115" t="str">
        <f t="shared" si="8"/>
        <v/>
      </c>
      <c r="K63" s="102" t="str">
        <f>IF(A63&amp;B63="","",VLOOKUP(A63&amp;B63,INSUMOS!C:G,5,0))</f>
        <v/>
      </c>
    </row>
    <row r="64" spans="1:17" ht="15" x14ac:dyDescent="0.25">
      <c r="A64" s="120"/>
      <c r="B64" s="121"/>
      <c r="C64" s="518" t="str">
        <f>IF(A64&amp;B64="","",VLOOKUP(A64&amp;B64,INSUMOS!C:G,2,0))</f>
        <v/>
      </c>
      <c r="D64" s="519"/>
      <c r="E64" s="117" t="str">
        <f>IF(A64&amp;B64="","",VLOOKUP(A64&amp;B64,INSUMOS!C:G,3,0))</f>
        <v/>
      </c>
      <c r="F64" s="118"/>
      <c r="G64" s="122" t="str">
        <f>IF(A64&amp;B64="","",VLOOKUP(A64&amp;B64,INSUMOS!C:G,4,0))</f>
        <v/>
      </c>
      <c r="H64" s="119" t="str">
        <f t="shared" si="6"/>
        <v/>
      </c>
      <c r="I64" s="119" t="str">
        <f t="shared" si="7"/>
        <v/>
      </c>
      <c r="J64" s="115" t="str">
        <f t="shared" si="8"/>
        <v/>
      </c>
      <c r="K64" s="102" t="str">
        <f>IF(A64&amp;B64="","",VLOOKUP(A64&amp;B64,INSUMOS!C:G,5,0))</f>
        <v/>
      </c>
    </row>
    <row r="65" spans="1:17" ht="15" x14ac:dyDescent="0.25">
      <c r="A65" s="120"/>
      <c r="B65" s="121"/>
      <c r="C65" s="518" t="str">
        <f>IF(A65&amp;B65="","",VLOOKUP(A65&amp;B65,INSUMOS!C:G,2,0))</f>
        <v/>
      </c>
      <c r="D65" s="519"/>
      <c r="E65" s="117" t="str">
        <f>IF(A65&amp;B65="","",VLOOKUP(A65&amp;B65,INSUMOS!C:G,3,0))</f>
        <v/>
      </c>
      <c r="F65" s="118"/>
      <c r="G65" s="122" t="str">
        <f>IF(A65&amp;B65="","",VLOOKUP(A65&amp;B65,INSUMOS!C:G,4,0))</f>
        <v/>
      </c>
      <c r="H65" s="119" t="str">
        <f t="shared" si="6"/>
        <v/>
      </c>
      <c r="I65" s="119" t="str">
        <f t="shared" si="7"/>
        <v/>
      </c>
      <c r="J65" s="115" t="str">
        <f t="shared" si="8"/>
        <v/>
      </c>
      <c r="K65" s="102" t="str">
        <f>IF(A65&amp;B65="","",VLOOKUP(A65&amp;B65,INSUMOS!C:G,5,0))</f>
        <v/>
      </c>
    </row>
    <row r="66" spans="1:17" ht="15" x14ac:dyDescent="0.25">
      <c r="A66" s="120"/>
      <c r="B66" s="121"/>
      <c r="C66" s="518" t="str">
        <f>IF(A66&amp;B66="","",VLOOKUP(A66&amp;B66,INSUMOS!C:G,2,0))</f>
        <v/>
      </c>
      <c r="D66" s="519"/>
      <c r="E66" s="117" t="str">
        <f>IF(A66&amp;B66="","",VLOOKUP(A66&amp;B66,INSUMOS!C:G,3,0))</f>
        <v/>
      </c>
      <c r="F66" s="118"/>
      <c r="G66" s="122" t="str">
        <f>IF(A66&amp;B66="","",VLOOKUP(A66&amp;B66,INSUMOS!C:G,4,0))</f>
        <v/>
      </c>
      <c r="H66" s="119" t="str">
        <f t="shared" si="6"/>
        <v/>
      </c>
      <c r="I66" s="119" t="str">
        <f t="shared" si="7"/>
        <v/>
      </c>
      <c r="J66" s="115" t="str">
        <f t="shared" si="8"/>
        <v/>
      </c>
      <c r="K66" s="102" t="str">
        <f>IF(A66&amp;B66="","",VLOOKUP(A66&amp;B66,INSUMOS!C:G,5,0))</f>
        <v/>
      </c>
    </row>
    <row r="67" spans="1:17" ht="15" x14ac:dyDescent="0.25">
      <c r="A67" s="123" t="s">
        <v>4399</v>
      </c>
      <c r="B67" s="520"/>
      <c r="C67" s="520"/>
      <c r="D67" s="520"/>
      <c r="E67" s="520"/>
      <c r="F67" s="521"/>
      <c r="G67" s="124" t="s">
        <v>50</v>
      </c>
      <c r="H67" s="125">
        <f>SUM(H54:H66)</f>
        <v>16.73</v>
      </c>
      <c r="I67" s="125">
        <f>SUM(I54:I66)</f>
        <v>13.7</v>
      </c>
      <c r="J67" s="126">
        <f>SUM(J54:J66)</f>
        <v>0</v>
      </c>
    </row>
    <row r="68" spans="1:17" ht="15" x14ac:dyDescent="0.25">
      <c r="A68" s="127" t="s">
        <v>4400</v>
      </c>
      <c r="B68" s="128"/>
      <c r="C68" s="128"/>
      <c r="D68" s="127" t="s">
        <v>51</v>
      </c>
      <c r="E68" s="128"/>
      <c r="F68" s="129"/>
      <c r="G68" s="130" t="s">
        <v>55</v>
      </c>
      <c r="H68" s="131" t="s">
        <v>52</v>
      </c>
      <c r="I68" s="132"/>
      <c r="J68" s="125">
        <f>SUM(H67:J67)</f>
        <v>30.43</v>
      </c>
    </row>
    <row r="69" spans="1:17" ht="15" x14ac:dyDescent="0.25">
      <c r="A69" s="313" t="str">
        <f>$I$3</f>
        <v>Carlos Wieck</v>
      </c>
      <c r="B69" s="133"/>
      <c r="C69" s="133"/>
      <c r="D69" s="134"/>
      <c r="E69" s="133"/>
      <c r="F69" s="135"/>
      <c r="G69" s="522">
        <f>$J$5</f>
        <v>43040</v>
      </c>
      <c r="H69" s="136" t="s">
        <v>53</v>
      </c>
      <c r="I69" s="137"/>
      <c r="J69" s="125">
        <f>TRUNC(I69*J68,2)</f>
        <v>0</v>
      </c>
    </row>
    <row r="70" spans="1:17" ht="15" x14ac:dyDescent="0.25">
      <c r="A70" s="314"/>
      <c r="B70" s="139"/>
      <c r="C70" s="139"/>
      <c r="D70" s="138"/>
      <c r="E70" s="139"/>
      <c r="F70" s="140"/>
      <c r="G70" s="523"/>
      <c r="H70" s="141" t="s">
        <v>54</v>
      </c>
      <c r="I70" s="142"/>
      <c r="J70" s="143">
        <f>J69+J68</f>
        <v>30.43</v>
      </c>
      <c r="L70" s="102" t="str">
        <f>A51</f>
        <v>FDE ADAPTADO</v>
      </c>
      <c r="M70" s="144">
        <f>B51</f>
        <v>704052</v>
      </c>
      <c r="N70" s="102" t="str">
        <f>L70&amp;M70</f>
        <v>FDE ADAPTADO704052</v>
      </c>
      <c r="O70" s="103" t="str">
        <f>D50</f>
        <v>Rufo liso de alumínio acab. Natural e=0,80mm corte  0,25m</v>
      </c>
      <c r="P70" s="145" t="str">
        <f>J51</f>
        <v>m</v>
      </c>
      <c r="Q70" s="145">
        <f>J70</f>
        <v>30.43</v>
      </c>
    </row>
    <row r="71" spans="1:17" ht="15" customHeight="1" x14ac:dyDescent="0.25">
      <c r="A71" s="524" t="s">
        <v>40</v>
      </c>
      <c r="B71" s="525"/>
      <c r="C71" s="104" t="s">
        <v>41</v>
      </c>
      <c r="D71" s="526" t="str">
        <f>IF(B72="","",VLOOKUP(B72,SERVIÇOS!B:E,3,0))</f>
        <v>Rufo liso de alumínio acab. Natural e=0,80mm corte  0,33m</v>
      </c>
      <c r="E71" s="526"/>
      <c r="F71" s="526"/>
      <c r="G71" s="526"/>
      <c r="H71" s="526"/>
      <c r="I71" s="527"/>
      <c r="J71" s="105" t="s">
        <v>42</v>
      </c>
    </row>
    <row r="72" spans="1:17" ht="15" x14ac:dyDescent="0.25">
      <c r="A72" s="230" t="s">
        <v>4704</v>
      </c>
      <c r="B72" s="230">
        <v>704053</v>
      </c>
      <c r="C72" s="106"/>
      <c r="D72" s="528"/>
      <c r="E72" s="528"/>
      <c r="F72" s="528"/>
      <c r="G72" s="528"/>
      <c r="H72" s="528"/>
      <c r="I72" s="529"/>
      <c r="J72" s="107" t="str">
        <f>IF(B72="","",VLOOKUP(B72,SERVIÇOS!B:E,4,0))</f>
        <v>m</v>
      </c>
    </row>
    <row r="73" spans="1:17" ht="15" x14ac:dyDescent="0.25">
      <c r="A73" s="530" t="s">
        <v>4397</v>
      </c>
      <c r="B73" s="531" t="s">
        <v>11</v>
      </c>
      <c r="C73" s="533" t="s">
        <v>43</v>
      </c>
      <c r="D73" s="534"/>
      <c r="E73" s="530" t="s">
        <v>13</v>
      </c>
      <c r="F73" s="530" t="s">
        <v>44</v>
      </c>
      <c r="G73" s="538" t="s">
        <v>45</v>
      </c>
      <c r="H73" s="108" t="s">
        <v>46</v>
      </c>
      <c r="I73" s="108"/>
      <c r="J73" s="108"/>
    </row>
    <row r="74" spans="1:17" ht="15" x14ac:dyDescent="0.25">
      <c r="A74" s="530"/>
      <c r="B74" s="532"/>
      <c r="C74" s="535"/>
      <c r="D74" s="536"/>
      <c r="E74" s="537"/>
      <c r="F74" s="537"/>
      <c r="G74" s="539"/>
      <c r="H74" s="108" t="s">
        <v>47</v>
      </c>
      <c r="I74" s="108" t="s">
        <v>48</v>
      </c>
      <c r="J74" s="108" t="s">
        <v>49</v>
      </c>
    </row>
    <row r="75" spans="1:17" ht="15" x14ac:dyDescent="0.25">
      <c r="A75" s="109" t="s">
        <v>4398</v>
      </c>
      <c r="B75" s="110">
        <v>10118</v>
      </c>
      <c r="C75" s="540" t="str">
        <f>IF(A75&amp;B75="","",VLOOKUP(A75&amp;B75,INSUMOS!C:G,2,0))</f>
        <v xml:space="preserve">Encanador </v>
      </c>
      <c r="D75" s="541"/>
      <c r="E75" s="111" t="str">
        <f>IF(A75&amp;B75="","",VLOOKUP(A75&amp;B75,INSUMOS!C:G,3,0))</f>
        <v>h</v>
      </c>
      <c r="F75" s="112">
        <v>0.75</v>
      </c>
      <c r="G75" s="113">
        <f>IF(A75&amp;B75="","",VLOOKUP(A75&amp;B75,INSUMOS!C:G,4,0))</f>
        <v>16.906036</v>
      </c>
      <c r="H75" s="114">
        <f>IF(K75="MO",TRUNC(F75*G75,2),"")</f>
        <v>12.67</v>
      </c>
      <c r="I75" s="114" t="str">
        <f>IF(K75="MT",TRUNC(F75*G75,2),"")</f>
        <v/>
      </c>
      <c r="J75" s="115" t="str">
        <f>IF(K75="EQ",TRUNC(F75*G75,2),"")</f>
        <v/>
      </c>
      <c r="K75" s="102" t="str">
        <f>IF(A75&amp;B75="","",VLOOKUP(A75&amp;B75,INSUMOS!C:G,5,0))</f>
        <v>MO</v>
      </c>
    </row>
    <row r="76" spans="1:17" ht="15" x14ac:dyDescent="0.25">
      <c r="A76" s="109" t="s">
        <v>4398</v>
      </c>
      <c r="B76" s="116">
        <v>10119</v>
      </c>
      <c r="C76" s="518" t="str">
        <f>IF(A76&amp;B76="","",VLOOKUP(A76&amp;B76,INSUMOS!C:G,2,0))</f>
        <v>Ajudante de encanador</v>
      </c>
      <c r="D76" s="519"/>
      <c r="E76" s="117" t="str">
        <f>IF(A76&amp;B76="","",VLOOKUP(A76&amp;B76,INSUMOS!C:G,3,0))</f>
        <v>h</v>
      </c>
      <c r="F76" s="118">
        <v>0.75</v>
      </c>
      <c r="G76" s="113">
        <f>IF(A76&amp;B76="","",VLOOKUP(A76&amp;B76,INSUMOS!C:G,4,0))</f>
        <v>10.985028</v>
      </c>
      <c r="H76" s="119">
        <f t="shared" ref="H76:H87" si="9">IF(K76="MO",TRUNC(F76*G76,2),"")</f>
        <v>8.23</v>
      </c>
      <c r="I76" s="119" t="str">
        <f t="shared" ref="I76:I87" si="10">IF(K76="MT",TRUNC(F76*G76,2),"")</f>
        <v/>
      </c>
      <c r="J76" s="115" t="str">
        <f t="shared" ref="J76:J87" si="11">IF(K76="EQ",TRUNC(F76*G76,2),"")</f>
        <v/>
      </c>
      <c r="K76" s="102" t="str">
        <f>IF(A76&amp;B76="","",VLOOKUP(A76&amp;B76,INSUMOS!C:G,5,0))</f>
        <v>MO</v>
      </c>
    </row>
    <row r="77" spans="1:17" ht="15" x14ac:dyDescent="0.25">
      <c r="A77" s="109" t="s">
        <v>4701</v>
      </c>
      <c r="B77" s="116">
        <v>25530</v>
      </c>
      <c r="C77" s="518" t="str">
        <f>IF(A77&amp;B77="","",VLOOKUP(A77&amp;B77,INSUMOS!C:G,2,0))</f>
        <v>Telha/Cumeeira/Rufo de Alumínio Natural</v>
      </c>
      <c r="D77" s="519"/>
      <c r="E77" s="117" t="str">
        <f>IF(A77&amp;B77="","",VLOOKUP(A77&amp;B77,INSUMOS!C:G,3,0))</f>
        <v>kg</v>
      </c>
      <c r="F77" s="118">
        <v>0.84</v>
      </c>
      <c r="G77" s="113">
        <f>IF(A77&amp;B77="","",VLOOKUP(A77&amp;B77,INSUMOS!C:G,4,0))</f>
        <v>20.94</v>
      </c>
      <c r="H77" s="119" t="str">
        <f t="shared" si="9"/>
        <v/>
      </c>
      <c r="I77" s="119">
        <f t="shared" si="10"/>
        <v>17.579999999999998</v>
      </c>
      <c r="J77" s="115" t="str">
        <f t="shared" si="11"/>
        <v/>
      </c>
      <c r="K77" s="102" t="str">
        <f>IF(A77&amp;B77="","",VLOOKUP(A77&amp;B77,INSUMOS!C:G,5,0))</f>
        <v>MT</v>
      </c>
    </row>
    <row r="78" spans="1:17" ht="15" x14ac:dyDescent="0.25">
      <c r="A78" s="109" t="s">
        <v>4398</v>
      </c>
      <c r="B78" s="116">
        <v>26760</v>
      </c>
      <c r="C78" s="518" t="str">
        <f>IF(A78&amp;B78="","",VLOOKUP(A78&amp;B78,INSUMOS!C:G,2,0))</f>
        <v>Prego diversas bitolas (referência 18 x 27)</v>
      </c>
      <c r="D78" s="519"/>
      <c r="E78" s="117" t="str">
        <f>IF(A78&amp;B78="","",VLOOKUP(A78&amp;B78,INSUMOS!C:G,3,0))</f>
        <v>kg</v>
      </c>
      <c r="F78" s="118">
        <v>0.1</v>
      </c>
      <c r="G78" s="113">
        <f>IF(A78&amp;B78="","",VLOOKUP(A78&amp;B78,INSUMOS!C:G,4,0))</f>
        <v>5.0999999999999996</v>
      </c>
      <c r="H78" s="119" t="str">
        <f t="shared" si="9"/>
        <v/>
      </c>
      <c r="I78" s="119">
        <f t="shared" si="10"/>
        <v>0.51</v>
      </c>
      <c r="J78" s="115" t="str">
        <f t="shared" si="11"/>
        <v/>
      </c>
      <c r="K78" s="102" t="str">
        <f>IF(A78&amp;B78="","",VLOOKUP(A78&amp;B78,INSUMOS!C:G,5,0))</f>
        <v>MT</v>
      </c>
    </row>
    <row r="79" spans="1:17" ht="15" x14ac:dyDescent="0.25">
      <c r="A79" s="109"/>
      <c r="B79" s="116"/>
      <c r="C79" s="518" t="str">
        <f>IF(A79&amp;B79="","",VLOOKUP(A79&amp;B79,INSUMOS!C:G,2,0))</f>
        <v/>
      </c>
      <c r="D79" s="519"/>
      <c r="E79" s="117" t="str">
        <f>IF(A79&amp;B79="","",VLOOKUP(A79&amp;B79,INSUMOS!C:G,3,0))</f>
        <v/>
      </c>
      <c r="F79" s="118"/>
      <c r="G79" s="113" t="str">
        <f>IF(A79&amp;B79="","",VLOOKUP(A79&amp;B79,INSUMOS!C:G,4,0))</f>
        <v/>
      </c>
      <c r="H79" s="119" t="str">
        <f t="shared" si="9"/>
        <v/>
      </c>
      <c r="I79" s="119" t="str">
        <f t="shared" si="10"/>
        <v/>
      </c>
      <c r="J79" s="115" t="str">
        <f t="shared" si="11"/>
        <v/>
      </c>
      <c r="K79" s="102" t="str">
        <f>IF(A79&amp;B79="","",VLOOKUP(A79&amp;B79,INSUMOS!C:G,5,0))</f>
        <v/>
      </c>
    </row>
    <row r="80" spans="1:17" ht="15" x14ac:dyDescent="0.25">
      <c r="A80" s="109"/>
      <c r="B80" s="116"/>
      <c r="C80" s="518" t="str">
        <f>IF(A80&amp;B80="","",VLOOKUP(A80&amp;B80,INSUMOS!C:G,2,0))</f>
        <v/>
      </c>
      <c r="D80" s="519"/>
      <c r="E80" s="117" t="str">
        <f>IF(A80&amp;B80="","",VLOOKUP(A80&amp;B80,INSUMOS!C:G,3,0))</f>
        <v/>
      </c>
      <c r="F80" s="118"/>
      <c r="G80" s="113" t="str">
        <f>IF(A80&amp;B80="","",VLOOKUP(A80&amp;B80,INSUMOS!C:G,4,0))</f>
        <v/>
      </c>
      <c r="H80" s="119" t="str">
        <f t="shared" si="9"/>
        <v/>
      </c>
      <c r="I80" s="119" t="str">
        <f t="shared" si="10"/>
        <v/>
      </c>
      <c r="J80" s="115" t="str">
        <f t="shared" si="11"/>
        <v/>
      </c>
      <c r="K80" s="102" t="str">
        <f>IF(A80&amp;B80="","",VLOOKUP(A80&amp;B80,INSUMOS!C:G,5,0))</f>
        <v/>
      </c>
    </row>
    <row r="81" spans="1:17" ht="15" x14ac:dyDescent="0.25">
      <c r="A81" s="109"/>
      <c r="B81" s="116"/>
      <c r="C81" s="518" t="str">
        <f>IF(A81&amp;B81="","",VLOOKUP(A81&amp;B81,INSUMOS!C:G,2,0))</f>
        <v/>
      </c>
      <c r="D81" s="519"/>
      <c r="E81" s="117" t="str">
        <f>IF(A81&amp;B81="","",VLOOKUP(A81&amp;B81,INSUMOS!C:G,3,0))</f>
        <v/>
      </c>
      <c r="F81" s="118"/>
      <c r="G81" s="113" t="str">
        <f>IF(A81&amp;B81="","",VLOOKUP(A81&amp;B81,INSUMOS!C:G,4,0))</f>
        <v/>
      </c>
      <c r="H81" s="119" t="str">
        <f t="shared" si="9"/>
        <v/>
      </c>
      <c r="I81" s="119" t="str">
        <f t="shared" si="10"/>
        <v/>
      </c>
      <c r="J81" s="115" t="str">
        <f t="shared" si="11"/>
        <v/>
      </c>
      <c r="K81" s="102" t="str">
        <f>IF(A81&amp;B81="","",VLOOKUP(A81&amp;B81,INSUMOS!C:G,5,0))</f>
        <v/>
      </c>
    </row>
    <row r="82" spans="1:17" ht="15" x14ac:dyDescent="0.25">
      <c r="A82" s="109"/>
      <c r="B82" s="116"/>
      <c r="C82" s="518" t="str">
        <f>IF(A82&amp;B82="","",VLOOKUP(A82&amp;B82,INSUMOS!C:G,2,0))</f>
        <v/>
      </c>
      <c r="D82" s="519"/>
      <c r="E82" s="117" t="str">
        <f>IF(A82&amp;B82="","",VLOOKUP(A82&amp;B82,INSUMOS!C:G,3,0))</f>
        <v/>
      </c>
      <c r="F82" s="118"/>
      <c r="G82" s="113" t="str">
        <f>IF(A82&amp;B82="","",VLOOKUP(A82&amp;B82,INSUMOS!C:G,4,0))</f>
        <v/>
      </c>
      <c r="H82" s="119" t="str">
        <f t="shared" si="9"/>
        <v/>
      </c>
      <c r="I82" s="119" t="str">
        <f t="shared" si="10"/>
        <v/>
      </c>
      <c r="J82" s="115" t="str">
        <f t="shared" si="11"/>
        <v/>
      </c>
      <c r="K82" s="102" t="str">
        <f>IF(A82&amp;B82="","",VLOOKUP(A82&amp;B82,INSUMOS!C:G,5,0))</f>
        <v/>
      </c>
    </row>
    <row r="83" spans="1:17" ht="15" x14ac:dyDescent="0.25">
      <c r="A83" s="109"/>
      <c r="B83" s="116"/>
      <c r="C83" s="518" t="str">
        <f>IF(A83&amp;B83="","",VLOOKUP(A83&amp;B83,INSUMOS!C:G,2,0))</f>
        <v/>
      </c>
      <c r="D83" s="519"/>
      <c r="E83" s="117" t="str">
        <f>IF(A83&amp;B83="","",VLOOKUP(A83&amp;B83,INSUMOS!C:G,3,0))</f>
        <v/>
      </c>
      <c r="F83" s="118"/>
      <c r="G83" s="113" t="str">
        <f>IF(A83&amp;B83="","",VLOOKUP(A83&amp;B83,INSUMOS!C:G,4,0))</f>
        <v/>
      </c>
      <c r="H83" s="119" t="str">
        <f t="shared" si="9"/>
        <v/>
      </c>
      <c r="I83" s="119" t="str">
        <f t="shared" si="10"/>
        <v/>
      </c>
      <c r="J83" s="115" t="str">
        <f t="shared" si="11"/>
        <v/>
      </c>
      <c r="K83" s="102" t="str">
        <f>IF(A83&amp;B83="","",VLOOKUP(A83&amp;B83,INSUMOS!C:G,5,0))</f>
        <v/>
      </c>
    </row>
    <row r="84" spans="1:17" ht="15" x14ac:dyDescent="0.25">
      <c r="A84" s="109"/>
      <c r="B84" s="116"/>
      <c r="C84" s="518" t="str">
        <f>IF(A84&amp;B84="","",VLOOKUP(A84&amp;B84,INSUMOS!C:G,2,0))</f>
        <v/>
      </c>
      <c r="D84" s="519"/>
      <c r="E84" s="117" t="str">
        <f>IF(A84&amp;B84="","",VLOOKUP(A84&amp;B84,INSUMOS!C:G,3,0))</f>
        <v/>
      </c>
      <c r="F84" s="118"/>
      <c r="G84" s="113" t="str">
        <f>IF(A84&amp;B84="","",VLOOKUP(A84&amp;B84,INSUMOS!C:G,4,0))</f>
        <v/>
      </c>
      <c r="H84" s="119" t="str">
        <f t="shared" si="9"/>
        <v/>
      </c>
      <c r="I84" s="119" t="str">
        <f t="shared" si="10"/>
        <v/>
      </c>
      <c r="J84" s="115" t="str">
        <f t="shared" si="11"/>
        <v/>
      </c>
      <c r="K84" s="102" t="str">
        <f>IF(A84&amp;B84="","",VLOOKUP(A84&amp;B84,INSUMOS!C:G,5,0))</f>
        <v/>
      </c>
    </row>
    <row r="85" spans="1:17" ht="15" x14ac:dyDescent="0.25">
      <c r="A85" s="120"/>
      <c r="B85" s="121"/>
      <c r="C85" s="518" t="str">
        <f>IF(A85&amp;B85="","",VLOOKUP(A85&amp;B85,INSUMOS!C:G,2,0))</f>
        <v/>
      </c>
      <c r="D85" s="519"/>
      <c r="E85" s="117" t="str">
        <f>IF(A85&amp;B85="","",VLOOKUP(A85&amp;B85,INSUMOS!C:G,3,0))</f>
        <v/>
      </c>
      <c r="F85" s="118"/>
      <c r="G85" s="122" t="str">
        <f>IF(A85&amp;B85="","",VLOOKUP(A85&amp;B85,INSUMOS!C:G,4,0))</f>
        <v/>
      </c>
      <c r="H85" s="119" t="str">
        <f t="shared" si="9"/>
        <v/>
      </c>
      <c r="I85" s="119" t="str">
        <f t="shared" si="10"/>
        <v/>
      </c>
      <c r="J85" s="115" t="str">
        <f t="shared" si="11"/>
        <v/>
      </c>
      <c r="K85" s="102" t="str">
        <f>IF(A85&amp;B85="","",VLOOKUP(A85&amp;B85,INSUMOS!C:G,5,0))</f>
        <v/>
      </c>
    </row>
    <row r="86" spans="1:17" ht="15" x14ac:dyDescent="0.25">
      <c r="A86" s="120"/>
      <c r="B86" s="121"/>
      <c r="C86" s="518" t="str">
        <f>IF(A86&amp;B86="","",VLOOKUP(A86&amp;B86,INSUMOS!C:G,2,0))</f>
        <v/>
      </c>
      <c r="D86" s="519"/>
      <c r="E86" s="117" t="str">
        <f>IF(A86&amp;B86="","",VLOOKUP(A86&amp;B86,INSUMOS!C:G,3,0))</f>
        <v/>
      </c>
      <c r="F86" s="118"/>
      <c r="G86" s="122" t="str">
        <f>IF(A86&amp;B86="","",VLOOKUP(A86&amp;B86,INSUMOS!C:G,4,0))</f>
        <v/>
      </c>
      <c r="H86" s="119" t="str">
        <f t="shared" si="9"/>
        <v/>
      </c>
      <c r="I86" s="119" t="str">
        <f t="shared" si="10"/>
        <v/>
      </c>
      <c r="J86" s="115" t="str">
        <f t="shared" si="11"/>
        <v/>
      </c>
      <c r="K86" s="102" t="str">
        <f>IF(A86&amp;B86="","",VLOOKUP(A86&amp;B86,INSUMOS!C:G,5,0))</f>
        <v/>
      </c>
    </row>
    <row r="87" spans="1:17" ht="15" x14ac:dyDescent="0.25">
      <c r="A87" s="120"/>
      <c r="B87" s="121"/>
      <c r="C87" s="518" t="str">
        <f>IF(A87&amp;B87="","",VLOOKUP(A87&amp;B87,INSUMOS!C:G,2,0))</f>
        <v/>
      </c>
      <c r="D87" s="519"/>
      <c r="E87" s="117" t="str">
        <f>IF(A87&amp;B87="","",VLOOKUP(A87&amp;B87,INSUMOS!C:G,3,0))</f>
        <v/>
      </c>
      <c r="F87" s="118"/>
      <c r="G87" s="122" t="str">
        <f>IF(A87&amp;B87="","",VLOOKUP(A87&amp;B87,INSUMOS!C:G,4,0))</f>
        <v/>
      </c>
      <c r="H87" s="119" t="str">
        <f t="shared" si="9"/>
        <v/>
      </c>
      <c r="I87" s="119" t="str">
        <f t="shared" si="10"/>
        <v/>
      </c>
      <c r="J87" s="115" t="str">
        <f t="shared" si="11"/>
        <v/>
      </c>
      <c r="K87" s="102" t="str">
        <f>IF(A87&amp;B87="","",VLOOKUP(A87&amp;B87,INSUMOS!C:G,5,0))</f>
        <v/>
      </c>
    </row>
    <row r="88" spans="1:17" ht="15" x14ac:dyDescent="0.25">
      <c r="A88" s="123" t="s">
        <v>4399</v>
      </c>
      <c r="B88" s="520"/>
      <c r="C88" s="520"/>
      <c r="D88" s="520"/>
      <c r="E88" s="520"/>
      <c r="F88" s="521"/>
      <c r="G88" s="124" t="s">
        <v>50</v>
      </c>
      <c r="H88" s="125">
        <f>SUM(H75:H87)</f>
        <v>20.9</v>
      </c>
      <c r="I88" s="125">
        <f>SUM(I75:I87)</f>
        <v>18.09</v>
      </c>
      <c r="J88" s="126">
        <f>SUM(J75:J87)</f>
        <v>0</v>
      </c>
    </row>
    <row r="89" spans="1:17" ht="15" x14ac:dyDescent="0.25">
      <c r="A89" s="127" t="s">
        <v>4400</v>
      </c>
      <c r="B89" s="128"/>
      <c r="C89" s="128"/>
      <c r="D89" s="127" t="s">
        <v>51</v>
      </c>
      <c r="E89" s="128"/>
      <c r="F89" s="129"/>
      <c r="G89" s="130" t="s">
        <v>55</v>
      </c>
      <c r="H89" s="131" t="s">
        <v>52</v>
      </c>
      <c r="I89" s="132"/>
      <c r="J89" s="125">
        <f>SUM(H88:J88)</f>
        <v>38.989999999999995</v>
      </c>
    </row>
    <row r="90" spans="1:17" ht="15" x14ac:dyDescent="0.25">
      <c r="A90" s="313" t="str">
        <f>$I$3</f>
        <v>Carlos Wieck</v>
      </c>
      <c r="B90" s="133"/>
      <c r="C90" s="133"/>
      <c r="D90" s="134"/>
      <c r="E90" s="133"/>
      <c r="F90" s="135"/>
      <c r="G90" s="522">
        <f>$J$5</f>
        <v>43040</v>
      </c>
      <c r="H90" s="136" t="s">
        <v>53</v>
      </c>
      <c r="I90" s="137"/>
      <c r="J90" s="125">
        <f>TRUNC(I90*J89,2)</f>
        <v>0</v>
      </c>
    </row>
    <row r="91" spans="1:17" ht="15" x14ac:dyDescent="0.25">
      <c r="A91" s="314"/>
      <c r="B91" s="139"/>
      <c r="C91" s="139"/>
      <c r="D91" s="138"/>
      <c r="E91" s="139"/>
      <c r="F91" s="140"/>
      <c r="G91" s="523"/>
      <c r="H91" s="141" t="s">
        <v>54</v>
      </c>
      <c r="I91" s="142"/>
      <c r="J91" s="143">
        <f>J90+J89</f>
        <v>38.989999999999995</v>
      </c>
      <c r="L91" s="102" t="str">
        <f>A72</f>
        <v>FDE ADAPTADO</v>
      </c>
      <c r="M91" s="144">
        <f>B72</f>
        <v>704053</v>
      </c>
      <c r="N91" s="102" t="str">
        <f>L91&amp;M91</f>
        <v>FDE ADAPTADO704053</v>
      </c>
      <c r="O91" s="103" t="str">
        <f>D71</f>
        <v>Rufo liso de alumínio acab. Natural e=0,80mm corte  0,33m</v>
      </c>
      <c r="P91" s="145" t="str">
        <f>J72</f>
        <v>m</v>
      </c>
      <c r="Q91" s="145">
        <f>J91</f>
        <v>38.989999999999995</v>
      </c>
    </row>
    <row r="92" spans="1:17" ht="15" customHeight="1" x14ac:dyDescent="0.25">
      <c r="A92" s="524" t="s">
        <v>40</v>
      </c>
      <c r="B92" s="525"/>
      <c r="C92" s="104" t="s">
        <v>41</v>
      </c>
      <c r="D92" s="526" t="str">
        <f>IF(B93="","",VLOOKUP(B93,SERVIÇOS!B:E,3,0))</f>
        <v>Rufo liso de alumínio acab. Natural e=0,80mm corte  0,50m</v>
      </c>
      <c r="E92" s="526"/>
      <c r="F92" s="526"/>
      <c r="G92" s="526"/>
      <c r="H92" s="526"/>
      <c r="I92" s="527"/>
      <c r="J92" s="105" t="s">
        <v>42</v>
      </c>
    </row>
    <row r="93" spans="1:17" ht="15" x14ac:dyDescent="0.25">
      <c r="A93" s="230" t="s">
        <v>4704</v>
      </c>
      <c r="B93" s="230">
        <v>704054</v>
      </c>
      <c r="C93" s="106"/>
      <c r="D93" s="528"/>
      <c r="E93" s="528"/>
      <c r="F93" s="528"/>
      <c r="G93" s="528"/>
      <c r="H93" s="528"/>
      <c r="I93" s="529"/>
      <c r="J93" s="107" t="str">
        <f>IF(B93="","",VLOOKUP(B93,SERVIÇOS!B:E,4,0))</f>
        <v>m</v>
      </c>
    </row>
    <row r="94" spans="1:17" ht="15" x14ac:dyDescent="0.25">
      <c r="A94" s="530" t="s">
        <v>4397</v>
      </c>
      <c r="B94" s="531" t="s">
        <v>11</v>
      </c>
      <c r="C94" s="533" t="s">
        <v>43</v>
      </c>
      <c r="D94" s="534"/>
      <c r="E94" s="530" t="s">
        <v>13</v>
      </c>
      <c r="F94" s="530" t="s">
        <v>44</v>
      </c>
      <c r="G94" s="538" t="s">
        <v>45</v>
      </c>
      <c r="H94" s="108" t="s">
        <v>46</v>
      </c>
      <c r="I94" s="108"/>
      <c r="J94" s="108"/>
    </row>
    <row r="95" spans="1:17" ht="15" x14ac:dyDescent="0.25">
      <c r="A95" s="530"/>
      <c r="B95" s="532"/>
      <c r="C95" s="535"/>
      <c r="D95" s="536"/>
      <c r="E95" s="537"/>
      <c r="F95" s="537"/>
      <c r="G95" s="539"/>
      <c r="H95" s="108" t="s">
        <v>47</v>
      </c>
      <c r="I95" s="108" t="s">
        <v>48</v>
      </c>
      <c r="J95" s="108" t="s">
        <v>49</v>
      </c>
    </row>
    <row r="96" spans="1:17" ht="15" x14ac:dyDescent="0.25">
      <c r="A96" s="109" t="s">
        <v>4398</v>
      </c>
      <c r="B96" s="110">
        <v>10118</v>
      </c>
      <c r="C96" s="540" t="str">
        <f>IF(A96&amp;B96="","",VLOOKUP(A96&amp;B96,INSUMOS!C:G,2,0))</f>
        <v xml:space="preserve">Encanador </v>
      </c>
      <c r="D96" s="541"/>
      <c r="E96" s="111" t="str">
        <f>IF(A96&amp;B96="","",VLOOKUP(A96&amp;B96,INSUMOS!C:G,3,0))</f>
        <v>h</v>
      </c>
      <c r="F96" s="112">
        <v>1.4</v>
      </c>
      <c r="G96" s="113">
        <f>IF(A96&amp;B96="","",VLOOKUP(A96&amp;B96,INSUMOS!C:G,4,0))</f>
        <v>16.906036</v>
      </c>
      <c r="H96" s="114">
        <f>IF(K96="MO",TRUNC(F96*G96,2),"")</f>
        <v>23.66</v>
      </c>
      <c r="I96" s="114" t="str">
        <f>IF(K96="MT",TRUNC(F96*G96,2),"")</f>
        <v/>
      </c>
      <c r="J96" s="115" t="str">
        <f>IF(K96="EQ",TRUNC(F96*G96,2),"")</f>
        <v/>
      </c>
      <c r="K96" s="102" t="str">
        <f>IF(A96&amp;B96="","",VLOOKUP(A96&amp;B96,INSUMOS!C:G,5,0))</f>
        <v>MO</v>
      </c>
    </row>
    <row r="97" spans="1:17" ht="15" x14ac:dyDescent="0.25">
      <c r="A97" s="109" t="s">
        <v>4398</v>
      </c>
      <c r="B97" s="116">
        <v>10119</v>
      </c>
      <c r="C97" s="518" t="str">
        <f>IF(A97&amp;B97="","",VLOOKUP(A97&amp;B97,INSUMOS!C:G,2,0))</f>
        <v>Ajudante de encanador</v>
      </c>
      <c r="D97" s="519"/>
      <c r="E97" s="117" t="str">
        <f>IF(A97&amp;B97="","",VLOOKUP(A97&amp;B97,INSUMOS!C:G,3,0))</f>
        <v>h</v>
      </c>
      <c r="F97" s="118">
        <v>1.4</v>
      </c>
      <c r="G97" s="113">
        <f>IF(A97&amp;B97="","",VLOOKUP(A97&amp;B97,INSUMOS!C:G,4,0))</f>
        <v>10.985028</v>
      </c>
      <c r="H97" s="119">
        <f t="shared" ref="H97:H108" si="12">IF(K97="MO",TRUNC(F97*G97,2),"")</f>
        <v>15.37</v>
      </c>
      <c r="I97" s="119" t="str">
        <f t="shared" ref="I97:I108" si="13">IF(K97="MT",TRUNC(F97*G97,2),"")</f>
        <v/>
      </c>
      <c r="J97" s="115" t="str">
        <f t="shared" ref="J97:J108" si="14">IF(K97="EQ",TRUNC(F97*G97,2),"")</f>
        <v/>
      </c>
      <c r="K97" s="102" t="str">
        <f>IF(A97&amp;B97="","",VLOOKUP(A97&amp;B97,INSUMOS!C:G,5,0))</f>
        <v>MO</v>
      </c>
    </row>
    <row r="98" spans="1:17" ht="15" x14ac:dyDescent="0.25">
      <c r="A98" s="109" t="s">
        <v>4701</v>
      </c>
      <c r="B98" s="116">
        <v>25530</v>
      </c>
      <c r="C98" s="518" t="str">
        <f>IF(A98&amp;B98="","",VLOOKUP(A98&amp;B98,INSUMOS!C:G,2,0))</f>
        <v>Telha/Cumeeira/Rufo de Alumínio Natural</v>
      </c>
      <c r="D98" s="519"/>
      <c r="E98" s="117" t="str">
        <f>IF(A98&amp;B98="","",VLOOKUP(A98&amp;B98,INSUMOS!C:G,3,0))</f>
        <v>kg</v>
      </c>
      <c r="F98" s="118">
        <v>1.27</v>
      </c>
      <c r="G98" s="113">
        <f>IF(A98&amp;B98="","",VLOOKUP(A98&amp;B98,INSUMOS!C:G,4,0))</f>
        <v>20.94</v>
      </c>
      <c r="H98" s="119" t="str">
        <f t="shared" si="12"/>
        <v/>
      </c>
      <c r="I98" s="119">
        <f t="shared" si="13"/>
        <v>26.59</v>
      </c>
      <c r="J98" s="115" t="str">
        <f t="shared" si="14"/>
        <v/>
      </c>
      <c r="K98" s="102" t="str">
        <f>IF(A98&amp;B98="","",VLOOKUP(A98&amp;B98,INSUMOS!C:G,5,0))</f>
        <v>MT</v>
      </c>
    </row>
    <row r="99" spans="1:17" ht="15" x14ac:dyDescent="0.25">
      <c r="A99" s="109" t="s">
        <v>4398</v>
      </c>
      <c r="B99" s="116">
        <v>26760</v>
      </c>
      <c r="C99" s="518" t="str">
        <f>IF(A99&amp;B99="","",VLOOKUP(A99&amp;B99,INSUMOS!C:G,2,0))</f>
        <v>Prego diversas bitolas (referência 18 x 27)</v>
      </c>
      <c r="D99" s="519"/>
      <c r="E99" s="117" t="str">
        <f>IF(A99&amp;B99="","",VLOOKUP(A99&amp;B99,INSUMOS!C:G,3,0))</f>
        <v>kg</v>
      </c>
      <c r="F99" s="118">
        <v>0.1</v>
      </c>
      <c r="G99" s="113">
        <f>IF(A99&amp;B99="","",VLOOKUP(A99&amp;B99,INSUMOS!C:G,4,0))</f>
        <v>5.0999999999999996</v>
      </c>
      <c r="H99" s="119" t="str">
        <f t="shared" si="12"/>
        <v/>
      </c>
      <c r="I99" s="119">
        <f t="shared" si="13"/>
        <v>0.51</v>
      </c>
      <c r="J99" s="115" t="str">
        <f t="shared" si="14"/>
        <v/>
      </c>
      <c r="K99" s="102" t="str">
        <f>IF(A99&amp;B99="","",VLOOKUP(A99&amp;B99,INSUMOS!C:G,5,0))</f>
        <v>MT</v>
      </c>
    </row>
    <row r="100" spans="1:17" ht="15" x14ac:dyDescent="0.25">
      <c r="A100" s="109"/>
      <c r="B100" s="116"/>
      <c r="C100" s="518" t="str">
        <f>IF(A100&amp;B100="","",VLOOKUP(A100&amp;B100,INSUMOS!C:G,2,0))</f>
        <v/>
      </c>
      <c r="D100" s="519"/>
      <c r="E100" s="117" t="str">
        <f>IF(A100&amp;B100="","",VLOOKUP(A100&amp;B100,INSUMOS!C:G,3,0))</f>
        <v/>
      </c>
      <c r="F100" s="118"/>
      <c r="G100" s="113" t="str">
        <f>IF(A100&amp;B100="","",VLOOKUP(A100&amp;B100,INSUMOS!C:G,4,0))</f>
        <v/>
      </c>
      <c r="H100" s="119" t="str">
        <f t="shared" si="12"/>
        <v/>
      </c>
      <c r="I100" s="119" t="str">
        <f t="shared" si="13"/>
        <v/>
      </c>
      <c r="J100" s="115" t="str">
        <f t="shared" si="14"/>
        <v/>
      </c>
      <c r="K100" s="102" t="str">
        <f>IF(A100&amp;B100="","",VLOOKUP(A100&amp;B100,INSUMOS!C:G,5,0))</f>
        <v/>
      </c>
    </row>
    <row r="101" spans="1:17" ht="15" x14ac:dyDescent="0.25">
      <c r="A101" s="109"/>
      <c r="B101" s="116"/>
      <c r="C101" s="518" t="str">
        <f>IF(A101&amp;B101="","",VLOOKUP(A101&amp;B101,INSUMOS!C:G,2,0))</f>
        <v/>
      </c>
      <c r="D101" s="519"/>
      <c r="E101" s="117" t="str">
        <f>IF(A101&amp;B101="","",VLOOKUP(A101&amp;B101,INSUMOS!C:G,3,0))</f>
        <v/>
      </c>
      <c r="F101" s="118"/>
      <c r="G101" s="113" t="str">
        <f>IF(A101&amp;B101="","",VLOOKUP(A101&amp;B101,INSUMOS!C:G,4,0))</f>
        <v/>
      </c>
      <c r="H101" s="119" t="str">
        <f t="shared" si="12"/>
        <v/>
      </c>
      <c r="I101" s="119" t="str">
        <f t="shared" si="13"/>
        <v/>
      </c>
      <c r="J101" s="115" t="str">
        <f t="shared" si="14"/>
        <v/>
      </c>
      <c r="K101" s="102" t="str">
        <f>IF(A101&amp;B101="","",VLOOKUP(A101&amp;B101,INSUMOS!C:G,5,0))</f>
        <v/>
      </c>
    </row>
    <row r="102" spans="1:17" ht="15" x14ac:dyDescent="0.25">
      <c r="A102" s="109"/>
      <c r="B102" s="116"/>
      <c r="C102" s="518" t="str">
        <f>IF(A102&amp;B102="","",VLOOKUP(A102&amp;B102,INSUMOS!C:G,2,0))</f>
        <v/>
      </c>
      <c r="D102" s="519"/>
      <c r="E102" s="117" t="str">
        <f>IF(A102&amp;B102="","",VLOOKUP(A102&amp;B102,INSUMOS!C:G,3,0))</f>
        <v/>
      </c>
      <c r="F102" s="118"/>
      <c r="G102" s="113" t="str">
        <f>IF(A102&amp;B102="","",VLOOKUP(A102&amp;B102,INSUMOS!C:G,4,0))</f>
        <v/>
      </c>
      <c r="H102" s="119" t="str">
        <f t="shared" si="12"/>
        <v/>
      </c>
      <c r="I102" s="119" t="str">
        <f t="shared" si="13"/>
        <v/>
      </c>
      <c r="J102" s="115" t="str">
        <f t="shared" si="14"/>
        <v/>
      </c>
      <c r="K102" s="102" t="str">
        <f>IF(A102&amp;B102="","",VLOOKUP(A102&amp;B102,INSUMOS!C:G,5,0))</f>
        <v/>
      </c>
    </row>
    <row r="103" spans="1:17" ht="15" x14ac:dyDescent="0.25">
      <c r="A103" s="109"/>
      <c r="B103" s="116"/>
      <c r="C103" s="518" t="str">
        <f>IF(A103&amp;B103="","",VLOOKUP(A103&amp;B103,INSUMOS!C:G,2,0))</f>
        <v/>
      </c>
      <c r="D103" s="519"/>
      <c r="E103" s="117" t="str">
        <f>IF(A103&amp;B103="","",VLOOKUP(A103&amp;B103,INSUMOS!C:G,3,0))</f>
        <v/>
      </c>
      <c r="F103" s="118"/>
      <c r="G103" s="113" t="str">
        <f>IF(A103&amp;B103="","",VLOOKUP(A103&amp;B103,INSUMOS!C:G,4,0))</f>
        <v/>
      </c>
      <c r="H103" s="119" t="str">
        <f t="shared" si="12"/>
        <v/>
      </c>
      <c r="I103" s="119" t="str">
        <f t="shared" si="13"/>
        <v/>
      </c>
      <c r="J103" s="115" t="str">
        <f t="shared" si="14"/>
        <v/>
      </c>
      <c r="K103" s="102" t="str">
        <f>IF(A103&amp;B103="","",VLOOKUP(A103&amp;B103,INSUMOS!C:G,5,0))</f>
        <v/>
      </c>
    </row>
    <row r="104" spans="1:17" ht="15" x14ac:dyDescent="0.25">
      <c r="A104" s="109"/>
      <c r="B104" s="116"/>
      <c r="C104" s="518" t="str">
        <f>IF(A104&amp;B104="","",VLOOKUP(A104&amp;B104,INSUMOS!C:G,2,0))</f>
        <v/>
      </c>
      <c r="D104" s="519"/>
      <c r="E104" s="117" t="str">
        <f>IF(A104&amp;B104="","",VLOOKUP(A104&amp;B104,INSUMOS!C:G,3,0))</f>
        <v/>
      </c>
      <c r="F104" s="118"/>
      <c r="G104" s="113" t="str">
        <f>IF(A104&amp;B104="","",VLOOKUP(A104&amp;B104,INSUMOS!C:G,4,0))</f>
        <v/>
      </c>
      <c r="H104" s="119" t="str">
        <f t="shared" si="12"/>
        <v/>
      </c>
      <c r="I104" s="119" t="str">
        <f t="shared" si="13"/>
        <v/>
      </c>
      <c r="J104" s="115" t="str">
        <f t="shared" si="14"/>
        <v/>
      </c>
      <c r="K104" s="102" t="str">
        <f>IF(A104&amp;B104="","",VLOOKUP(A104&amp;B104,INSUMOS!C:G,5,0))</f>
        <v/>
      </c>
    </row>
    <row r="105" spans="1:17" ht="15" x14ac:dyDescent="0.25">
      <c r="A105" s="109"/>
      <c r="B105" s="116"/>
      <c r="C105" s="518" t="str">
        <f>IF(A105&amp;B105="","",VLOOKUP(A105&amp;B105,INSUMOS!C:G,2,0))</f>
        <v/>
      </c>
      <c r="D105" s="519"/>
      <c r="E105" s="117" t="str">
        <f>IF(A105&amp;B105="","",VLOOKUP(A105&amp;B105,INSUMOS!C:G,3,0))</f>
        <v/>
      </c>
      <c r="F105" s="118"/>
      <c r="G105" s="113" t="str">
        <f>IF(A105&amp;B105="","",VLOOKUP(A105&amp;B105,INSUMOS!C:G,4,0))</f>
        <v/>
      </c>
      <c r="H105" s="119" t="str">
        <f t="shared" si="12"/>
        <v/>
      </c>
      <c r="I105" s="119" t="str">
        <f t="shared" si="13"/>
        <v/>
      </c>
      <c r="J105" s="115" t="str">
        <f t="shared" si="14"/>
        <v/>
      </c>
      <c r="K105" s="102" t="str">
        <f>IF(A105&amp;B105="","",VLOOKUP(A105&amp;B105,INSUMOS!C:G,5,0))</f>
        <v/>
      </c>
    </row>
    <row r="106" spans="1:17" ht="15" x14ac:dyDescent="0.25">
      <c r="A106" s="120"/>
      <c r="B106" s="121"/>
      <c r="C106" s="518" t="str">
        <f>IF(A106&amp;B106="","",VLOOKUP(A106&amp;B106,INSUMOS!C:G,2,0))</f>
        <v/>
      </c>
      <c r="D106" s="519"/>
      <c r="E106" s="117" t="str">
        <f>IF(A106&amp;B106="","",VLOOKUP(A106&amp;B106,INSUMOS!C:G,3,0))</f>
        <v/>
      </c>
      <c r="F106" s="118"/>
      <c r="G106" s="122" t="str">
        <f>IF(A106&amp;B106="","",VLOOKUP(A106&amp;B106,INSUMOS!C:G,4,0))</f>
        <v/>
      </c>
      <c r="H106" s="119" t="str">
        <f t="shared" si="12"/>
        <v/>
      </c>
      <c r="I106" s="119" t="str">
        <f t="shared" si="13"/>
        <v/>
      </c>
      <c r="J106" s="115" t="str">
        <f t="shared" si="14"/>
        <v/>
      </c>
      <c r="K106" s="102" t="str">
        <f>IF(A106&amp;B106="","",VLOOKUP(A106&amp;B106,INSUMOS!C:G,5,0))</f>
        <v/>
      </c>
    </row>
    <row r="107" spans="1:17" ht="15" x14ac:dyDescent="0.25">
      <c r="A107" s="120"/>
      <c r="B107" s="121"/>
      <c r="C107" s="518" t="str">
        <f>IF(A107&amp;B107="","",VLOOKUP(A107&amp;B107,INSUMOS!C:G,2,0))</f>
        <v/>
      </c>
      <c r="D107" s="519"/>
      <c r="E107" s="117" t="str">
        <f>IF(A107&amp;B107="","",VLOOKUP(A107&amp;B107,INSUMOS!C:G,3,0))</f>
        <v/>
      </c>
      <c r="F107" s="118"/>
      <c r="G107" s="122" t="str">
        <f>IF(A107&amp;B107="","",VLOOKUP(A107&amp;B107,INSUMOS!C:G,4,0))</f>
        <v/>
      </c>
      <c r="H107" s="119" t="str">
        <f t="shared" si="12"/>
        <v/>
      </c>
      <c r="I107" s="119" t="str">
        <f t="shared" si="13"/>
        <v/>
      </c>
      <c r="J107" s="115" t="str">
        <f t="shared" si="14"/>
        <v/>
      </c>
      <c r="K107" s="102" t="str">
        <f>IF(A107&amp;B107="","",VLOOKUP(A107&amp;B107,INSUMOS!C:G,5,0))</f>
        <v/>
      </c>
    </row>
    <row r="108" spans="1:17" ht="15" x14ac:dyDescent="0.25">
      <c r="A108" s="120"/>
      <c r="B108" s="121"/>
      <c r="C108" s="518" t="str">
        <f>IF(A108&amp;B108="","",VLOOKUP(A108&amp;B108,INSUMOS!C:G,2,0))</f>
        <v/>
      </c>
      <c r="D108" s="519"/>
      <c r="E108" s="117" t="str">
        <f>IF(A108&amp;B108="","",VLOOKUP(A108&amp;B108,INSUMOS!C:G,3,0))</f>
        <v/>
      </c>
      <c r="F108" s="118"/>
      <c r="G108" s="122" t="str">
        <f>IF(A108&amp;B108="","",VLOOKUP(A108&amp;B108,INSUMOS!C:G,4,0))</f>
        <v/>
      </c>
      <c r="H108" s="119" t="str">
        <f t="shared" si="12"/>
        <v/>
      </c>
      <c r="I108" s="119" t="str">
        <f t="shared" si="13"/>
        <v/>
      </c>
      <c r="J108" s="115" t="str">
        <f t="shared" si="14"/>
        <v/>
      </c>
      <c r="K108" s="102" t="str">
        <f>IF(A108&amp;B108="","",VLOOKUP(A108&amp;B108,INSUMOS!C:G,5,0))</f>
        <v/>
      </c>
    </row>
    <row r="109" spans="1:17" ht="15" x14ac:dyDescent="0.25">
      <c r="A109" s="123" t="s">
        <v>4399</v>
      </c>
      <c r="B109" s="520"/>
      <c r="C109" s="520"/>
      <c r="D109" s="520"/>
      <c r="E109" s="520"/>
      <c r="F109" s="521"/>
      <c r="G109" s="124" t="s">
        <v>50</v>
      </c>
      <c r="H109" s="125">
        <f>SUM(H96:H108)</f>
        <v>39.03</v>
      </c>
      <c r="I109" s="125">
        <f>SUM(I96:I108)</f>
        <v>27.1</v>
      </c>
      <c r="J109" s="126">
        <f>SUM(J96:J108)</f>
        <v>0</v>
      </c>
    </row>
    <row r="110" spans="1:17" ht="15" x14ac:dyDescent="0.25">
      <c r="A110" s="127" t="s">
        <v>4400</v>
      </c>
      <c r="B110" s="128"/>
      <c r="C110" s="128"/>
      <c r="D110" s="127" t="s">
        <v>51</v>
      </c>
      <c r="E110" s="128"/>
      <c r="F110" s="129"/>
      <c r="G110" s="130" t="s">
        <v>55</v>
      </c>
      <c r="H110" s="131" t="s">
        <v>52</v>
      </c>
      <c r="I110" s="132"/>
      <c r="J110" s="125">
        <f>SUM(H109:J109)</f>
        <v>66.13</v>
      </c>
    </row>
    <row r="111" spans="1:17" ht="15" x14ac:dyDescent="0.25">
      <c r="A111" s="313" t="str">
        <f>$I$3</f>
        <v>Carlos Wieck</v>
      </c>
      <c r="B111" s="133"/>
      <c r="C111" s="133"/>
      <c r="D111" s="134"/>
      <c r="E111" s="133"/>
      <c r="F111" s="135"/>
      <c r="G111" s="522">
        <f>$J$5</f>
        <v>43040</v>
      </c>
      <c r="H111" s="136" t="s">
        <v>53</v>
      </c>
      <c r="I111" s="137"/>
      <c r="J111" s="125">
        <f>TRUNC(I111*J110,2)</f>
        <v>0</v>
      </c>
    </row>
    <row r="112" spans="1:17" ht="15" x14ac:dyDescent="0.25">
      <c r="A112" s="314"/>
      <c r="B112" s="139"/>
      <c r="C112" s="139"/>
      <c r="D112" s="138"/>
      <c r="E112" s="139"/>
      <c r="F112" s="140"/>
      <c r="G112" s="523"/>
      <c r="H112" s="141" t="s">
        <v>54</v>
      </c>
      <c r="I112" s="142"/>
      <c r="J112" s="143">
        <f>J111+J110</f>
        <v>66.13</v>
      </c>
      <c r="L112" s="102" t="str">
        <f>A93</f>
        <v>FDE ADAPTADO</v>
      </c>
      <c r="M112" s="144">
        <f>B93</f>
        <v>704054</v>
      </c>
      <c r="N112" s="102" t="str">
        <f>L112&amp;M112</f>
        <v>FDE ADAPTADO704054</v>
      </c>
      <c r="O112" s="103" t="str">
        <f>D92</f>
        <v>Rufo liso de alumínio acab. Natural e=0,80mm corte  0,50m</v>
      </c>
      <c r="P112" s="145" t="str">
        <f>J93</f>
        <v>m</v>
      </c>
      <c r="Q112" s="145">
        <f>J112</f>
        <v>66.13</v>
      </c>
    </row>
    <row r="113" spans="1:11" ht="15" customHeight="1" x14ac:dyDescent="0.25">
      <c r="A113" s="524" t="s">
        <v>40</v>
      </c>
      <c r="B113" s="525"/>
      <c r="C113" s="104" t="s">
        <v>41</v>
      </c>
      <c r="D113" s="526" t="str">
        <f>IF(B114="","",VLOOKUP(B114,SERVIÇOS!B:E,3,0))</f>
        <v>Rufo liso de alumínio acab. Natural e=0,80mm corte  1,00m</v>
      </c>
      <c r="E113" s="526"/>
      <c r="F113" s="526"/>
      <c r="G113" s="526"/>
      <c r="H113" s="526"/>
      <c r="I113" s="527"/>
      <c r="J113" s="105" t="s">
        <v>42</v>
      </c>
    </row>
    <row r="114" spans="1:11" ht="15" x14ac:dyDescent="0.25">
      <c r="A114" s="230" t="s">
        <v>4704</v>
      </c>
      <c r="B114" s="230">
        <v>704055</v>
      </c>
      <c r="C114" s="106"/>
      <c r="D114" s="528"/>
      <c r="E114" s="528"/>
      <c r="F114" s="528"/>
      <c r="G114" s="528"/>
      <c r="H114" s="528"/>
      <c r="I114" s="529"/>
      <c r="J114" s="107" t="str">
        <f>IF(B114="","",VLOOKUP(B114,SERVIÇOS!B:E,4,0))</f>
        <v>m</v>
      </c>
    </row>
    <row r="115" spans="1:11" ht="15" x14ac:dyDescent="0.25">
      <c r="A115" s="530" t="s">
        <v>4397</v>
      </c>
      <c r="B115" s="531" t="s">
        <v>11</v>
      </c>
      <c r="C115" s="533" t="s">
        <v>43</v>
      </c>
      <c r="D115" s="534"/>
      <c r="E115" s="530" t="s">
        <v>13</v>
      </c>
      <c r="F115" s="530" t="s">
        <v>44</v>
      </c>
      <c r="G115" s="538" t="s">
        <v>45</v>
      </c>
      <c r="H115" s="108" t="s">
        <v>46</v>
      </c>
      <c r="I115" s="108"/>
      <c r="J115" s="108"/>
    </row>
    <row r="116" spans="1:11" ht="15" x14ac:dyDescent="0.25">
      <c r="A116" s="530"/>
      <c r="B116" s="532"/>
      <c r="C116" s="535"/>
      <c r="D116" s="536"/>
      <c r="E116" s="537"/>
      <c r="F116" s="537"/>
      <c r="G116" s="539"/>
      <c r="H116" s="108" t="s">
        <v>47</v>
      </c>
      <c r="I116" s="108" t="s">
        <v>48</v>
      </c>
      <c r="J116" s="108" t="s">
        <v>49</v>
      </c>
    </row>
    <row r="117" spans="1:11" ht="15" x14ac:dyDescent="0.25">
      <c r="A117" s="109" t="s">
        <v>4398</v>
      </c>
      <c r="B117" s="110">
        <v>10118</v>
      </c>
      <c r="C117" s="540" t="str">
        <f>IF(A117&amp;B117="","",VLOOKUP(A117&amp;B117,INSUMOS!C:G,2,0))</f>
        <v xml:space="preserve">Encanador </v>
      </c>
      <c r="D117" s="541"/>
      <c r="E117" s="111" t="str">
        <f>IF(A117&amp;B117="","",VLOOKUP(A117&amp;B117,INSUMOS!C:G,3,0))</f>
        <v>h</v>
      </c>
      <c r="F117" s="112">
        <v>2</v>
      </c>
      <c r="G117" s="113">
        <f>IF(A117&amp;B117="","",VLOOKUP(A117&amp;B117,INSUMOS!C:G,4,0))</f>
        <v>16.906036</v>
      </c>
      <c r="H117" s="114">
        <f>IF(K117="MO",TRUNC(F117*G117,2),"")</f>
        <v>33.81</v>
      </c>
      <c r="I117" s="114" t="str">
        <f>IF(K117="MT",TRUNC(F117*G117,2),"")</f>
        <v/>
      </c>
      <c r="J117" s="115" t="str">
        <f>IF(K117="EQ",TRUNC(F117*G117,2),"")</f>
        <v/>
      </c>
      <c r="K117" s="102" t="str">
        <f>IF(A117&amp;B117="","",VLOOKUP(A117&amp;B117,INSUMOS!C:G,5,0))</f>
        <v>MO</v>
      </c>
    </row>
    <row r="118" spans="1:11" ht="15" x14ac:dyDescent="0.25">
      <c r="A118" s="109" t="s">
        <v>4398</v>
      </c>
      <c r="B118" s="116">
        <v>10119</v>
      </c>
      <c r="C118" s="518" t="str">
        <f>IF(A118&amp;B118="","",VLOOKUP(A118&amp;B118,INSUMOS!C:G,2,0))</f>
        <v>Ajudante de encanador</v>
      </c>
      <c r="D118" s="519"/>
      <c r="E118" s="117" t="str">
        <f>IF(A118&amp;B118="","",VLOOKUP(A118&amp;B118,INSUMOS!C:G,3,0))</f>
        <v>h</v>
      </c>
      <c r="F118" s="118">
        <v>2</v>
      </c>
      <c r="G118" s="113">
        <f>IF(A118&amp;B118="","",VLOOKUP(A118&amp;B118,INSUMOS!C:G,4,0))</f>
        <v>10.985028</v>
      </c>
      <c r="H118" s="119">
        <f t="shared" ref="H118:H129" si="15">IF(K118="MO",TRUNC(F118*G118,2),"")</f>
        <v>21.97</v>
      </c>
      <c r="I118" s="119" t="str">
        <f t="shared" ref="I118:I129" si="16">IF(K118="MT",TRUNC(F118*G118,2),"")</f>
        <v/>
      </c>
      <c r="J118" s="115" t="str">
        <f t="shared" ref="J118:J129" si="17">IF(K118="EQ",TRUNC(F118*G118,2),"")</f>
        <v/>
      </c>
      <c r="K118" s="102" t="str">
        <f>IF(A118&amp;B118="","",VLOOKUP(A118&amp;B118,INSUMOS!C:G,5,0))</f>
        <v>MO</v>
      </c>
    </row>
    <row r="119" spans="1:11" ht="15" x14ac:dyDescent="0.25">
      <c r="A119" s="109" t="s">
        <v>4701</v>
      </c>
      <c r="B119" s="116">
        <v>25530</v>
      </c>
      <c r="C119" s="518" t="str">
        <f>IF(A119&amp;B119="","",VLOOKUP(A119&amp;B119,INSUMOS!C:G,2,0))</f>
        <v>Telha/Cumeeira/Rufo de Alumínio Natural</v>
      </c>
      <c r="D119" s="519"/>
      <c r="E119" s="117" t="str">
        <f>IF(A119&amp;B119="","",VLOOKUP(A119&amp;B119,INSUMOS!C:G,3,0))</f>
        <v>kg</v>
      </c>
      <c r="F119" s="118">
        <v>2.54</v>
      </c>
      <c r="G119" s="113">
        <f>IF(A119&amp;B119="","",VLOOKUP(A119&amp;B119,INSUMOS!C:G,4,0))</f>
        <v>20.94</v>
      </c>
      <c r="H119" s="119" t="str">
        <f t="shared" si="15"/>
        <v/>
      </c>
      <c r="I119" s="119">
        <f t="shared" si="16"/>
        <v>53.18</v>
      </c>
      <c r="J119" s="115" t="str">
        <f t="shared" si="17"/>
        <v/>
      </c>
      <c r="K119" s="102" t="str">
        <f>IF(A119&amp;B119="","",VLOOKUP(A119&amp;B119,INSUMOS!C:G,5,0))</f>
        <v>MT</v>
      </c>
    </row>
    <row r="120" spans="1:11" ht="15" x14ac:dyDescent="0.25">
      <c r="A120" s="109" t="s">
        <v>4398</v>
      </c>
      <c r="B120" s="116">
        <v>26760</v>
      </c>
      <c r="C120" s="518" t="str">
        <f>IF(A120&amp;B120="","",VLOOKUP(A120&amp;B120,INSUMOS!C:G,2,0))</f>
        <v>Prego diversas bitolas (referência 18 x 27)</v>
      </c>
      <c r="D120" s="519"/>
      <c r="E120" s="117" t="str">
        <f>IF(A120&amp;B120="","",VLOOKUP(A120&amp;B120,INSUMOS!C:G,3,0))</f>
        <v>kg</v>
      </c>
      <c r="F120" s="118">
        <v>0.2</v>
      </c>
      <c r="G120" s="113">
        <f>IF(A120&amp;B120="","",VLOOKUP(A120&amp;B120,INSUMOS!C:G,4,0))</f>
        <v>5.0999999999999996</v>
      </c>
      <c r="H120" s="119" t="str">
        <f t="shared" si="15"/>
        <v/>
      </c>
      <c r="I120" s="119">
        <f t="shared" si="16"/>
        <v>1.02</v>
      </c>
      <c r="J120" s="115" t="str">
        <f t="shared" si="17"/>
        <v/>
      </c>
      <c r="K120" s="102" t="str">
        <f>IF(A120&amp;B120="","",VLOOKUP(A120&amp;B120,INSUMOS!C:G,5,0))</f>
        <v>MT</v>
      </c>
    </row>
    <row r="121" spans="1:11" ht="15" x14ac:dyDescent="0.25">
      <c r="A121" s="109"/>
      <c r="B121" s="116"/>
      <c r="C121" s="518" t="str">
        <f>IF(A121&amp;B121="","",VLOOKUP(A121&amp;B121,INSUMOS!C:G,2,0))</f>
        <v/>
      </c>
      <c r="D121" s="519"/>
      <c r="E121" s="117" t="str">
        <f>IF(A121&amp;B121="","",VLOOKUP(A121&amp;B121,INSUMOS!C:G,3,0))</f>
        <v/>
      </c>
      <c r="F121" s="118"/>
      <c r="G121" s="113" t="str">
        <f>IF(A121&amp;B121="","",VLOOKUP(A121&amp;B121,INSUMOS!C:G,4,0))</f>
        <v/>
      </c>
      <c r="H121" s="119" t="str">
        <f t="shared" si="15"/>
        <v/>
      </c>
      <c r="I121" s="119" t="str">
        <f t="shared" si="16"/>
        <v/>
      </c>
      <c r="J121" s="115" t="str">
        <f t="shared" si="17"/>
        <v/>
      </c>
      <c r="K121" s="102" t="str">
        <f>IF(A121&amp;B121="","",VLOOKUP(A121&amp;B121,INSUMOS!C:G,5,0))</f>
        <v/>
      </c>
    </row>
    <row r="122" spans="1:11" ht="15" x14ac:dyDescent="0.25">
      <c r="A122" s="109"/>
      <c r="B122" s="116"/>
      <c r="C122" s="518" t="str">
        <f>IF(A122&amp;B122="","",VLOOKUP(A122&amp;B122,INSUMOS!C:G,2,0))</f>
        <v/>
      </c>
      <c r="D122" s="519"/>
      <c r="E122" s="117" t="str">
        <f>IF(A122&amp;B122="","",VLOOKUP(A122&amp;B122,INSUMOS!C:G,3,0))</f>
        <v/>
      </c>
      <c r="F122" s="118"/>
      <c r="G122" s="113" t="str">
        <f>IF(A122&amp;B122="","",VLOOKUP(A122&amp;B122,INSUMOS!C:G,4,0))</f>
        <v/>
      </c>
      <c r="H122" s="119" t="str">
        <f t="shared" si="15"/>
        <v/>
      </c>
      <c r="I122" s="119" t="str">
        <f t="shared" si="16"/>
        <v/>
      </c>
      <c r="J122" s="115" t="str">
        <f t="shared" si="17"/>
        <v/>
      </c>
      <c r="K122" s="102" t="str">
        <f>IF(A122&amp;B122="","",VLOOKUP(A122&amp;B122,INSUMOS!C:G,5,0))</f>
        <v/>
      </c>
    </row>
    <row r="123" spans="1:11" ht="15" x14ac:dyDescent="0.25">
      <c r="A123" s="109"/>
      <c r="B123" s="116"/>
      <c r="C123" s="518" t="str">
        <f>IF(A123&amp;B123="","",VLOOKUP(A123&amp;B123,INSUMOS!C:G,2,0))</f>
        <v/>
      </c>
      <c r="D123" s="519"/>
      <c r="E123" s="117" t="str">
        <f>IF(A123&amp;B123="","",VLOOKUP(A123&amp;B123,INSUMOS!C:G,3,0))</f>
        <v/>
      </c>
      <c r="F123" s="118"/>
      <c r="G123" s="113" t="str">
        <f>IF(A123&amp;B123="","",VLOOKUP(A123&amp;B123,INSUMOS!C:G,4,0))</f>
        <v/>
      </c>
      <c r="H123" s="119" t="str">
        <f t="shared" si="15"/>
        <v/>
      </c>
      <c r="I123" s="119" t="str">
        <f t="shared" si="16"/>
        <v/>
      </c>
      <c r="J123" s="115" t="str">
        <f t="shared" si="17"/>
        <v/>
      </c>
      <c r="K123" s="102" t="str">
        <f>IF(A123&amp;B123="","",VLOOKUP(A123&amp;B123,INSUMOS!C:G,5,0))</f>
        <v/>
      </c>
    </row>
    <row r="124" spans="1:11" ht="15" x14ac:dyDescent="0.25">
      <c r="A124" s="109"/>
      <c r="B124" s="116"/>
      <c r="C124" s="518" t="str">
        <f>IF(A124&amp;B124="","",VLOOKUP(A124&amp;B124,INSUMOS!C:G,2,0))</f>
        <v/>
      </c>
      <c r="D124" s="519"/>
      <c r="E124" s="117" t="str">
        <f>IF(A124&amp;B124="","",VLOOKUP(A124&amp;B124,INSUMOS!C:G,3,0))</f>
        <v/>
      </c>
      <c r="F124" s="118"/>
      <c r="G124" s="113" t="str">
        <f>IF(A124&amp;B124="","",VLOOKUP(A124&amp;B124,INSUMOS!C:G,4,0))</f>
        <v/>
      </c>
      <c r="H124" s="119" t="str">
        <f t="shared" si="15"/>
        <v/>
      </c>
      <c r="I124" s="119" t="str">
        <f t="shared" si="16"/>
        <v/>
      </c>
      <c r="J124" s="115" t="str">
        <f t="shared" si="17"/>
        <v/>
      </c>
      <c r="K124" s="102" t="str">
        <f>IF(A124&amp;B124="","",VLOOKUP(A124&amp;B124,INSUMOS!C:G,5,0))</f>
        <v/>
      </c>
    </row>
    <row r="125" spans="1:11" ht="15" x14ac:dyDescent="0.25">
      <c r="A125" s="109"/>
      <c r="B125" s="116"/>
      <c r="C125" s="518" t="str">
        <f>IF(A125&amp;B125="","",VLOOKUP(A125&amp;B125,INSUMOS!C:G,2,0))</f>
        <v/>
      </c>
      <c r="D125" s="519"/>
      <c r="E125" s="117" t="str">
        <f>IF(A125&amp;B125="","",VLOOKUP(A125&amp;B125,INSUMOS!C:G,3,0))</f>
        <v/>
      </c>
      <c r="F125" s="118"/>
      <c r="G125" s="113" t="str">
        <f>IF(A125&amp;B125="","",VLOOKUP(A125&amp;B125,INSUMOS!C:G,4,0))</f>
        <v/>
      </c>
      <c r="H125" s="119" t="str">
        <f t="shared" si="15"/>
        <v/>
      </c>
      <c r="I125" s="119" t="str">
        <f t="shared" si="16"/>
        <v/>
      </c>
      <c r="J125" s="115" t="str">
        <f t="shared" si="17"/>
        <v/>
      </c>
      <c r="K125" s="102" t="str">
        <f>IF(A125&amp;B125="","",VLOOKUP(A125&amp;B125,INSUMOS!C:G,5,0))</f>
        <v/>
      </c>
    </row>
    <row r="126" spans="1:11" ht="15" x14ac:dyDescent="0.25">
      <c r="A126" s="109"/>
      <c r="B126" s="116"/>
      <c r="C126" s="518" t="str">
        <f>IF(A126&amp;B126="","",VLOOKUP(A126&amp;B126,INSUMOS!C:G,2,0))</f>
        <v/>
      </c>
      <c r="D126" s="519"/>
      <c r="E126" s="117" t="str">
        <f>IF(A126&amp;B126="","",VLOOKUP(A126&amp;B126,INSUMOS!C:G,3,0))</f>
        <v/>
      </c>
      <c r="F126" s="118"/>
      <c r="G126" s="113" t="str">
        <f>IF(A126&amp;B126="","",VLOOKUP(A126&amp;B126,INSUMOS!C:G,4,0))</f>
        <v/>
      </c>
      <c r="H126" s="119" t="str">
        <f t="shared" si="15"/>
        <v/>
      </c>
      <c r="I126" s="119" t="str">
        <f t="shared" si="16"/>
        <v/>
      </c>
      <c r="J126" s="115" t="str">
        <f t="shared" si="17"/>
        <v/>
      </c>
      <c r="K126" s="102" t="str">
        <f>IF(A126&amp;B126="","",VLOOKUP(A126&amp;B126,INSUMOS!C:G,5,0))</f>
        <v/>
      </c>
    </row>
    <row r="127" spans="1:11" ht="15" x14ac:dyDescent="0.25">
      <c r="A127" s="120"/>
      <c r="B127" s="121"/>
      <c r="C127" s="518" t="str">
        <f>IF(A127&amp;B127="","",VLOOKUP(A127&amp;B127,INSUMOS!C:G,2,0))</f>
        <v/>
      </c>
      <c r="D127" s="519"/>
      <c r="E127" s="117" t="str">
        <f>IF(A127&amp;B127="","",VLOOKUP(A127&amp;B127,INSUMOS!C:G,3,0))</f>
        <v/>
      </c>
      <c r="F127" s="118"/>
      <c r="G127" s="122" t="str">
        <f>IF(A127&amp;B127="","",VLOOKUP(A127&amp;B127,INSUMOS!C:G,4,0))</f>
        <v/>
      </c>
      <c r="H127" s="119" t="str">
        <f t="shared" si="15"/>
        <v/>
      </c>
      <c r="I127" s="119" t="str">
        <f t="shared" si="16"/>
        <v/>
      </c>
      <c r="J127" s="115" t="str">
        <f t="shared" si="17"/>
        <v/>
      </c>
      <c r="K127" s="102" t="str">
        <f>IF(A127&amp;B127="","",VLOOKUP(A127&amp;B127,INSUMOS!C:G,5,0))</f>
        <v/>
      </c>
    </row>
    <row r="128" spans="1:11" ht="15" x14ac:dyDescent="0.25">
      <c r="A128" s="120"/>
      <c r="B128" s="121"/>
      <c r="C128" s="518" t="str">
        <f>IF(A128&amp;B128="","",VLOOKUP(A128&amp;B128,INSUMOS!C:G,2,0))</f>
        <v/>
      </c>
      <c r="D128" s="519"/>
      <c r="E128" s="117" t="str">
        <f>IF(A128&amp;B128="","",VLOOKUP(A128&amp;B128,INSUMOS!C:G,3,0))</f>
        <v/>
      </c>
      <c r="F128" s="118"/>
      <c r="G128" s="122" t="str">
        <f>IF(A128&amp;B128="","",VLOOKUP(A128&amp;B128,INSUMOS!C:G,4,0))</f>
        <v/>
      </c>
      <c r="H128" s="119" t="str">
        <f t="shared" si="15"/>
        <v/>
      </c>
      <c r="I128" s="119" t="str">
        <f t="shared" si="16"/>
        <v/>
      </c>
      <c r="J128" s="115" t="str">
        <f t="shared" si="17"/>
        <v/>
      </c>
      <c r="K128" s="102" t="str">
        <f>IF(A128&amp;B128="","",VLOOKUP(A128&amp;B128,INSUMOS!C:G,5,0))</f>
        <v/>
      </c>
    </row>
    <row r="129" spans="1:17" ht="15" x14ac:dyDescent="0.25">
      <c r="A129" s="120"/>
      <c r="B129" s="121"/>
      <c r="C129" s="518" t="str">
        <f>IF(A129&amp;B129="","",VLOOKUP(A129&amp;B129,INSUMOS!C:G,2,0))</f>
        <v/>
      </c>
      <c r="D129" s="519"/>
      <c r="E129" s="117" t="str">
        <f>IF(A129&amp;B129="","",VLOOKUP(A129&amp;B129,INSUMOS!C:G,3,0))</f>
        <v/>
      </c>
      <c r="F129" s="118"/>
      <c r="G129" s="122" t="str">
        <f>IF(A129&amp;B129="","",VLOOKUP(A129&amp;B129,INSUMOS!C:G,4,0))</f>
        <v/>
      </c>
      <c r="H129" s="119" t="str">
        <f t="shared" si="15"/>
        <v/>
      </c>
      <c r="I129" s="119" t="str">
        <f t="shared" si="16"/>
        <v/>
      </c>
      <c r="J129" s="115" t="str">
        <f t="shared" si="17"/>
        <v/>
      </c>
      <c r="K129" s="102" t="str">
        <f>IF(A129&amp;B129="","",VLOOKUP(A129&amp;B129,INSUMOS!C:G,5,0))</f>
        <v/>
      </c>
    </row>
    <row r="130" spans="1:17" ht="15" x14ac:dyDescent="0.25">
      <c r="A130" s="123" t="s">
        <v>4399</v>
      </c>
      <c r="B130" s="520"/>
      <c r="C130" s="520"/>
      <c r="D130" s="520"/>
      <c r="E130" s="520"/>
      <c r="F130" s="521"/>
      <c r="G130" s="124" t="s">
        <v>50</v>
      </c>
      <c r="H130" s="125">
        <f>SUM(H117:H129)</f>
        <v>55.78</v>
      </c>
      <c r="I130" s="125">
        <f>SUM(I117:I129)</f>
        <v>54.2</v>
      </c>
      <c r="J130" s="126">
        <f>SUM(J117:J129)</f>
        <v>0</v>
      </c>
    </row>
    <row r="131" spans="1:17" ht="15" x14ac:dyDescent="0.25">
      <c r="A131" s="127" t="s">
        <v>4400</v>
      </c>
      <c r="B131" s="128"/>
      <c r="C131" s="128"/>
      <c r="D131" s="127" t="s">
        <v>51</v>
      </c>
      <c r="E131" s="128"/>
      <c r="F131" s="129"/>
      <c r="G131" s="130" t="s">
        <v>55</v>
      </c>
      <c r="H131" s="131" t="s">
        <v>52</v>
      </c>
      <c r="I131" s="132"/>
      <c r="J131" s="125">
        <f>SUM(H130:J130)</f>
        <v>109.98</v>
      </c>
    </row>
    <row r="132" spans="1:17" ht="15" x14ac:dyDescent="0.25">
      <c r="A132" s="313" t="str">
        <f>$I$3</f>
        <v>Carlos Wieck</v>
      </c>
      <c r="B132" s="133"/>
      <c r="C132" s="133"/>
      <c r="D132" s="134"/>
      <c r="E132" s="133"/>
      <c r="F132" s="135"/>
      <c r="G132" s="522">
        <f>$J$5</f>
        <v>43040</v>
      </c>
      <c r="H132" s="136" t="s">
        <v>53</v>
      </c>
      <c r="I132" s="137"/>
      <c r="J132" s="125">
        <f>TRUNC(I132*J131,2)</f>
        <v>0</v>
      </c>
    </row>
    <row r="133" spans="1:17" ht="15" x14ac:dyDescent="0.25">
      <c r="A133" s="314"/>
      <c r="B133" s="139"/>
      <c r="C133" s="139"/>
      <c r="D133" s="138"/>
      <c r="E133" s="139"/>
      <c r="F133" s="140"/>
      <c r="G133" s="523"/>
      <c r="H133" s="141" t="s">
        <v>54</v>
      </c>
      <c r="I133" s="142"/>
      <c r="J133" s="143">
        <f>J132+J131</f>
        <v>109.98</v>
      </c>
      <c r="L133" s="102" t="str">
        <f>A114</f>
        <v>FDE ADAPTADO</v>
      </c>
      <c r="M133" s="144">
        <f>B114</f>
        <v>704055</v>
      </c>
      <c r="N133" s="102" t="str">
        <f>L133&amp;M133</f>
        <v>FDE ADAPTADO704055</v>
      </c>
      <c r="O133" s="103" t="str">
        <f>D113</f>
        <v>Rufo liso de alumínio acab. Natural e=0,80mm corte  1,00m</v>
      </c>
      <c r="P133" s="145" t="str">
        <f>J114</f>
        <v>m</v>
      </c>
      <c r="Q133" s="145">
        <f>J133</f>
        <v>109.98</v>
      </c>
    </row>
    <row r="134" spans="1:17" ht="15" customHeight="1" x14ac:dyDescent="0.25">
      <c r="A134" s="524" t="s">
        <v>40</v>
      </c>
      <c r="B134" s="525"/>
      <c r="C134" s="104" t="s">
        <v>41</v>
      </c>
      <c r="D134" s="526" t="str">
        <f>IF(B135="","",VLOOKUP(B135,SERVIÇOS!B:E,3,0))</f>
        <v>Calha de alumínio acab natural e=0,8mm corte 1,00m</v>
      </c>
      <c r="E134" s="526"/>
      <c r="F134" s="526"/>
      <c r="G134" s="526"/>
      <c r="H134" s="526"/>
      <c r="I134" s="527"/>
      <c r="J134" s="105" t="s">
        <v>42</v>
      </c>
    </row>
    <row r="135" spans="1:17" ht="15" x14ac:dyDescent="0.25">
      <c r="A135" s="230" t="s">
        <v>4704</v>
      </c>
      <c r="B135" s="230">
        <v>812097</v>
      </c>
      <c r="C135" s="106"/>
      <c r="D135" s="528"/>
      <c r="E135" s="528"/>
      <c r="F135" s="528"/>
      <c r="G135" s="528"/>
      <c r="H135" s="528"/>
      <c r="I135" s="529"/>
      <c r="J135" s="107" t="str">
        <f>IF(B135="","",VLOOKUP(B135,SERVIÇOS!B:E,4,0))</f>
        <v>m</v>
      </c>
    </row>
    <row r="136" spans="1:17" ht="15" x14ac:dyDescent="0.25">
      <c r="A136" s="530" t="s">
        <v>4397</v>
      </c>
      <c r="B136" s="531" t="s">
        <v>11</v>
      </c>
      <c r="C136" s="533" t="s">
        <v>43</v>
      </c>
      <c r="D136" s="534"/>
      <c r="E136" s="530" t="s">
        <v>13</v>
      </c>
      <c r="F136" s="530" t="s">
        <v>44</v>
      </c>
      <c r="G136" s="538" t="s">
        <v>45</v>
      </c>
      <c r="H136" s="108" t="s">
        <v>46</v>
      </c>
      <c r="I136" s="108"/>
      <c r="J136" s="108"/>
    </row>
    <row r="137" spans="1:17" ht="15" x14ac:dyDescent="0.25">
      <c r="A137" s="530"/>
      <c r="B137" s="532"/>
      <c r="C137" s="535"/>
      <c r="D137" s="536"/>
      <c r="E137" s="537"/>
      <c r="F137" s="537"/>
      <c r="G137" s="539"/>
      <c r="H137" s="108" t="s">
        <v>47</v>
      </c>
      <c r="I137" s="108" t="s">
        <v>48</v>
      </c>
      <c r="J137" s="108" t="s">
        <v>49</v>
      </c>
    </row>
    <row r="138" spans="1:17" ht="15" x14ac:dyDescent="0.25">
      <c r="A138" s="109" t="s">
        <v>4398</v>
      </c>
      <c r="B138" s="110">
        <v>10118</v>
      </c>
      <c r="C138" s="540" t="str">
        <f>IF(A138&amp;B138="","",VLOOKUP(A138&amp;B138,INSUMOS!C:G,2,0))</f>
        <v xml:space="preserve">Encanador </v>
      </c>
      <c r="D138" s="541"/>
      <c r="E138" s="111" t="str">
        <f>IF(A138&amp;B138="","",VLOOKUP(A138&amp;B138,INSUMOS!C:G,3,0))</f>
        <v>h</v>
      </c>
      <c r="F138" s="112">
        <v>1.7</v>
      </c>
      <c r="G138" s="113">
        <f>IF(A138&amp;B138="","",VLOOKUP(A138&amp;B138,INSUMOS!C:G,4,0))</f>
        <v>16.906036</v>
      </c>
      <c r="H138" s="114">
        <f>IF(K138="MO",TRUNC(F138*G138,2),"")</f>
        <v>28.74</v>
      </c>
      <c r="I138" s="114" t="str">
        <f>IF(K138="MT",TRUNC(F138*G138,2),"")</f>
        <v/>
      </c>
      <c r="J138" s="115" t="str">
        <f>IF(K138="EQ",TRUNC(F138*G138,2),"")</f>
        <v/>
      </c>
      <c r="K138" s="102" t="str">
        <f>IF(A138&amp;B138="","",VLOOKUP(A138&amp;B138,INSUMOS!C:G,5,0))</f>
        <v>MO</v>
      </c>
    </row>
    <row r="139" spans="1:17" ht="15" x14ac:dyDescent="0.25">
      <c r="A139" s="109" t="s">
        <v>4398</v>
      </c>
      <c r="B139" s="116">
        <v>10119</v>
      </c>
      <c r="C139" s="518" t="str">
        <f>IF(A139&amp;B139="","",VLOOKUP(A139&amp;B139,INSUMOS!C:G,2,0))</f>
        <v>Ajudante de encanador</v>
      </c>
      <c r="D139" s="519"/>
      <c r="E139" s="117" t="str">
        <f>IF(A139&amp;B139="","",VLOOKUP(A139&amp;B139,INSUMOS!C:G,3,0))</f>
        <v>h</v>
      </c>
      <c r="F139" s="118">
        <v>1.7</v>
      </c>
      <c r="G139" s="113">
        <f>IF(A139&amp;B139="","",VLOOKUP(A139&amp;B139,INSUMOS!C:G,4,0))</f>
        <v>10.985028</v>
      </c>
      <c r="H139" s="119">
        <f t="shared" ref="H139:H150" si="18">IF(K139="MO",TRUNC(F139*G139,2),"")</f>
        <v>18.670000000000002</v>
      </c>
      <c r="I139" s="119" t="str">
        <f t="shared" ref="I139:I150" si="19">IF(K139="MT",TRUNC(F139*G139,2),"")</f>
        <v/>
      </c>
      <c r="J139" s="115" t="str">
        <f t="shared" ref="J139:J150" si="20">IF(K139="EQ",TRUNC(F139*G139,2),"")</f>
        <v/>
      </c>
      <c r="K139" s="102" t="str">
        <f>IF(A139&amp;B139="","",VLOOKUP(A139&amp;B139,INSUMOS!C:G,5,0))</f>
        <v>MO</v>
      </c>
    </row>
    <row r="140" spans="1:17" ht="15" x14ac:dyDescent="0.25">
      <c r="A140" s="109" t="s">
        <v>4701</v>
      </c>
      <c r="B140" s="116">
        <v>24096</v>
      </c>
      <c r="C140" s="518" t="str">
        <f>IF(A140&amp;B140="","",VLOOKUP(A140&amp;B140,INSUMOS!C:G,2,0))</f>
        <v>Silicone</v>
      </c>
      <c r="D140" s="519"/>
      <c r="E140" s="117" t="str">
        <f>IF(A140&amp;B140="","",VLOOKUP(A140&amp;B140,INSUMOS!C:G,3,0))</f>
        <v>kg</v>
      </c>
      <c r="F140" s="118">
        <v>0.14000000000000001</v>
      </c>
      <c r="G140" s="113">
        <f>IF(A140&amp;B140="","",VLOOKUP(A140&amp;B140,INSUMOS!C:G,4,0))</f>
        <v>41.51</v>
      </c>
      <c r="H140" s="119" t="str">
        <f t="shared" si="18"/>
        <v/>
      </c>
      <c r="I140" s="119">
        <f t="shared" si="19"/>
        <v>5.81</v>
      </c>
      <c r="J140" s="115" t="str">
        <f t="shared" si="20"/>
        <v/>
      </c>
      <c r="K140" s="102" t="str">
        <f>IF(A140&amp;B140="","",VLOOKUP(A140&amp;B140,INSUMOS!C:G,5,0))</f>
        <v>MT</v>
      </c>
    </row>
    <row r="141" spans="1:17" ht="15" x14ac:dyDescent="0.25">
      <c r="A141" s="109" t="s">
        <v>4701</v>
      </c>
      <c r="B141" s="116">
        <v>25530</v>
      </c>
      <c r="C141" s="518" t="str">
        <f>IF(A141&amp;B141="","",VLOOKUP(A141&amp;B141,INSUMOS!C:G,2,0))</f>
        <v>Telha/Cumeeira/Rufo de Alumínio Natural</v>
      </c>
      <c r="D141" s="519"/>
      <c r="E141" s="117" t="str">
        <f>IF(A141&amp;B141="","",VLOOKUP(A141&amp;B141,INSUMOS!C:G,3,0))</f>
        <v>kg</v>
      </c>
      <c r="F141" s="118">
        <v>2.54</v>
      </c>
      <c r="G141" s="113">
        <f>IF(A141&amp;B141="","",VLOOKUP(A141&amp;B141,INSUMOS!C:G,4,0))</f>
        <v>20.94</v>
      </c>
      <c r="H141" s="119" t="str">
        <f t="shared" si="18"/>
        <v/>
      </c>
      <c r="I141" s="119">
        <f t="shared" si="19"/>
        <v>53.18</v>
      </c>
      <c r="J141" s="115" t="str">
        <f t="shared" si="20"/>
        <v/>
      </c>
      <c r="K141" s="102" t="str">
        <f>IF(A141&amp;B141="","",VLOOKUP(A141&amp;B141,INSUMOS!C:G,5,0))</f>
        <v>MT</v>
      </c>
    </row>
    <row r="142" spans="1:17" ht="15" x14ac:dyDescent="0.25">
      <c r="A142" s="109" t="s">
        <v>4398</v>
      </c>
      <c r="B142" s="116">
        <v>26760</v>
      </c>
      <c r="C142" s="518" t="str">
        <f>IF(A142&amp;B142="","",VLOOKUP(A142&amp;B142,INSUMOS!C:G,2,0))</f>
        <v>Prego diversas bitolas (referência 18 x 27)</v>
      </c>
      <c r="D142" s="519"/>
      <c r="E142" s="117" t="str">
        <f>IF(A142&amp;B142="","",VLOOKUP(A142&amp;B142,INSUMOS!C:G,3,0))</f>
        <v>kg</v>
      </c>
      <c r="F142" s="118">
        <v>0.3</v>
      </c>
      <c r="G142" s="113">
        <f>IF(A142&amp;B142="","",VLOOKUP(A142&amp;B142,INSUMOS!C:G,4,0))</f>
        <v>5.0999999999999996</v>
      </c>
      <c r="H142" s="119" t="str">
        <f t="shared" si="18"/>
        <v/>
      </c>
      <c r="I142" s="119">
        <f t="shared" si="19"/>
        <v>1.53</v>
      </c>
      <c r="J142" s="115" t="str">
        <f t="shared" si="20"/>
        <v/>
      </c>
      <c r="K142" s="102" t="str">
        <f>IF(A142&amp;B142="","",VLOOKUP(A142&amp;B142,INSUMOS!C:G,5,0))</f>
        <v>MT</v>
      </c>
    </row>
    <row r="143" spans="1:17" ht="15" x14ac:dyDescent="0.25">
      <c r="A143" s="109" t="s">
        <v>4701</v>
      </c>
      <c r="B143" s="116">
        <v>26771</v>
      </c>
      <c r="C143" s="518" t="str">
        <f>IF(A143&amp;B143="","",VLOOKUP(A143&amp;B143,INSUMOS!C:G,2,0))</f>
        <v>Rebite tanoeiro No. 8 (3,0 X 6,1 mm) Ferro zincado</v>
      </c>
      <c r="D143" s="519"/>
      <c r="E143" s="117" t="str">
        <f>IF(A143&amp;B143="","",VLOOKUP(A143&amp;B143,INSUMOS!C:G,3,0))</f>
        <v>un</v>
      </c>
      <c r="F143" s="118">
        <v>2.0999999999999999E-3</v>
      </c>
      <c r="G143" s="113">
        <f>IF(A143&amp;B143="","",VLOOKUP(A143&amp;B143,INSUMOS!C:G,4,0))</f>
        <v>15.71</v>
      </c>
      <c r="H143" s="119" t="str">
        <f t="shared" si="18"/>
        <v/>
      </c>
      <c r="I143" s="119">
        <f t="shared" si="19"/>
        <v>0.03</v>
      </c>
      <c r="J143" s="115" t="str">
        <f t="shared" si="20"/>
        <v/>
      </c>
      <c r="K143" s="102" t="str">
        <f>IF(A143&amp;B143="","",VLOOKUP(A143&amp;B143,INSUMOS!C:G,5,0))</f>
        <v>MT</v>
      </c>
    </row>
    <row r="144" spans="1:17" ht="15" x14ac:dyDescent="0.25">
      <c r="A144" s="109"/>
      <c r="B144" s="116"/>
      <c r="C144" s="518" t="str">
        <f>IF(A144&amp;B144="","",VLOOKUP(A144&amp;B144,INSUMOS!C:G,2,0))</f>
        <v/>
      </c>
      <c r="D144" s="519"/>
      <c r="E144" s="117" t="str">
        <f>IF(A144&amp;B144="","",VLOOKUP(A144&amp;B144,INSUMOS!C:G,3,0))</f>
        <v/>
      </c>
      <c r="F144" s="118"/>
      <c r="G144" s="113" t="str">
        <f>IF(A144&amp;B144="","",VLOOKUP(A144&amp;B144,INSUMOS!C:G,4,0))</f>
        <v/>
      </c>
      <c r="H144" s="119" t="str">
        <f t="shared" si="18"/>
        <v/>
      </c>
      <c r="I144" s="119" t="str">
        <f t="shared" si="19"/>
        <v/>
      </c>
      <c r="J144" s="115" t="str">
        <f t="shared" si="20"/>
        <v/>
      </c>
      <c r="K144" s="102" t="str">
        <f>IF(A144&amp;B144="","",VLOOKUP(A144&amp;B144,INSUMOS!C:G,5,0))</f>
        <v/>
      </c>
    </row>
    <row r="145" spans="1:17" ht="15" x14ac:dyDescent="0.25">
      <c r="A145" s="109"/>
      <c r="B145" s="116"/>
      <c r="C145" s="518" t="str">
        <f>IF(A145&amp;B145="","",VLOOKUP(A145&amp;B145,INSUMOS!C:G,2,0))</f>
        <v/>
      </c>
      <c r="D145" s="519"/>
      <c r="E145" s="117" t="str">
        <f>IF(A145&amp;B145="","",VLOOKUP(A145&amp;B145,INSUMOS!C:G,3,0))</f>
        <v/>
      </c>
      <c r="F145" s="118"/>
      <c r="G145" s="113" t="str">
        <f>IF(A145&amp;B145="","",VLOOKUP(A145&amp;B145,INSUMOS!C:G,4,0))</f>
        <v/>
      </c>
      <c r="H145" s="119" t="str">
        <f t="shared" si="18"/>
        <v/>
      </c>
      <c r="I145" s="119" t="str">
        <f t="shared" si="19"/>
        <v/>
      </c>
      <c r="J145" s="115" t="str">
        <f t="shared" si="20"/>
        <v/>
      </c>
      <c r="K145" s="102" t="str">
        <f>IF(A145&amp;B145="","",VLOOKUP(A145&amp;B145,INSUMOS!C:G,5,0))</f>
        <v/>
      </c>
    </row>
    <row r="146" spans="1:17" ht="15" x14ac:dyDescent="0.25">
      <c r="A146" s="109"/>
      <c r="B146" s="116"/>
      <c r="C146" s="518" t="str">
        <f>IF(A146&amp;B146="","",VLOOKUP(A146&amp;B146,INSUMOS!C:G,2,0))</f>
        <v/>
      </c>
      <c r="D146" s="519"/>
      <c r="E146" s="117" t="str">
        <f>IF(A146&amp;B146="","",VLOOKUP(A146&amp;B146,INSUMOS!C:G,3,0))</f>
        <v/>
      </c>
      <c r="F146" s="118"/>
      <c r="G146" s="113" t="str">
        <f>IF(A146&amp;B146="","",VLOOKUP(A146&amp;B146,INSUMOS!C:G,4,0))</f>
        <v/>
      </c>
      <c r="H146" s="119" t="str">
        <f t="shared" si="18"/>
        <v/>
      </c>
      <c r="I146" s="119" t="str">
        <f t="shared" si="19"/>
        <v/>
      </c>
      <c r="J146" s="115" t="str">
        <f t="shared" si="20"/>
        <v/>
      </c>
      <c r="K146" s="102" t="str">
        <f>IF(A146&amp;B146="","",VLOOKUP(A146&amp;B146,INSUMOS!C:G,5,0))</f>
        <v/>
      </c>
    </row>
    <row r="147" spans="1:17" ht="15" x14ac:dyDescent="0.25">
      <c r="A147" s="109"/>
      <c r="B147" s="116"/>
      <c r="C147" s="518" t="str">
        <f>IF(A147&amp;B147="","",VLOOKUP(A147&amp;B147,INSUMOS!C:G,2,0))</f>
        <v/>
      </c>
      <c r="D147" s="519"/>
      <c r="E147" s="117" t="str">
        <f>IF(A147&amp;B147="","",VLOOKUP(A147&amp;B147,INSUMOS!C:G,3,0))</f>
        <v/>
      </c>
      <c r="F147" s="118"/>
      <c r="G147" s="113" t="str">
        <f>IF(A147&amp;B147="","",VLOOKUP(A147&amp;B147,INSUMOS!C:G,4,0))</f>
        <v/>
      </c>
      <c r="H147" s="119" t="str">
        <f t="shared" si="18"/>
        <v/>
      </c>
      <c r="I147" s="119" t="str">
        <f t="shared" si="19"/>
        <v/>
      </c>
      <c r="J147" s="115" t="str">
        <f t="shared" si="20"/>
        <v/>
      </c>
      <c r="K147" s="102" t="str">
        <f>IF(A147&amp;B147="","",VLOOKUP(A147&amp;B147,INSUMOS!C:G,5,0))</f>
        <v/>
      </c>
    </row>
    <row r="148" spans="1:17" ht="15" x14ac:dyDescent="0.25">
      <c r="A148" s="120"/>
      <c r="B148" s="121"/>
      <c r="C148" s="518" t="str">
        <f>IF(A148&amp;B148="","",VLOOKUP(A148&amp;B148,INSUMOS!C:G,2,0))</f>
        <v/>
      </c>
      <c r="D148" s="519"/>
      <c r="E148" s="117" t="str">
        <f>IF(A148&amp;B148="","",VLOOKUP(A148&amp;B148,INSUMOS!C:G,3,0))</f>
        <v/>
      </c>
      <c r="F148" s="118"/>
      <c r="G148" s="122" t="str">
        <f>IF(A148&amp;B148="","",VLOOKUP(A148&amp;B148,INSUMOS!C:G,4,0))</f>
        <v/>
      </c>
      <c r="H148" s="119" t="str">
        <f t="shared" si="18"/>
        <v/>
      </c>
      <c r="I148" s="119" t="str">
        <f t="shared" si="19"/>
        <v/>
      </c>
      <c r="J148" s="115" t="str">
        <f t="shared" si="20"/>
        <v/>
      </c>
      <c r="K148" s="102" t="str">
        <f>IF(A148&amp;B148="","",VLOOKUP(A148&amp;B148,INSUMOS!C:G,5,0))</f>
        <v/>
      </c>
    </row>
    <row r="149" spans="1:17" ht="15" x14ac:dyDescent="0.25">
      <c r="A149" s="120"/>
      <c r="B149" s="121"/>
      <c r="C149" s="518" t="str">
        <f>IF(A149&amp;B149="","",VLOOKUP(A149&amp;B149,INSUMOS!C:G,2,0))</f>
        <v/>
      </c>
      <c r="D149" s="519"/>
      <c r="E149" s="117" t="str">
        <f>IF(A149&amp;B149="","",VLOOKUP(A149&amp;B149,INSUMOS!C:G,3,0))</f>
        <v/>
      </c>
      <c r="F149" s="118"/>
      <c r="G149" s="122" t="str">
        <f>IF(A149&amp;B149="","",VLOOKUP(A149&amp;B149,INSUMOS!C:G,4,0))</f>
        <v/>
      </c>
      <c r="H149" s="119" t="str">
        <f t="shared" si="18"/>
        <v/>
      </c>
      <c r="I149" s="119" t="str">
        <f t="shared" si="19"/>
        <v/>
      </c>
      <c r="J149" s="115" t="str">
        <f t="shared" si="20"/>
        <v/>
      </c>
      <c r="K149" s="102" t="str">
        <f>IF(A149&amp;B149="","",VLOOKUP(A149&amp;B149,INSUMOS!C:G,5,0))</f>
        <v/>
      </c>
    </row>
    <row r="150" spans="1:17" ht="15" x14ac:dyDescent="0.25">
      <c r="A150" s="120"/>
      <c r="B150" s="121"/>
      <c r="C150" s="518" t="str">
        <f>IF(A150&amp;B150="","",VLOOKUP(A150&amp;B150,INSUMOS!C:G,2,0))</f>
        <v/>
      </c>
      <c r="D150" s="519"/>
      <c r="E150" s="117" t="str">
        <f>IF(A150&amp;B150="","",VLOOKUP(A150&amp;B150,INSUMOS!C:G,3,0))</f>
        <v/>
      </c>
      <c r="F150" s="118"/>
      <c r="G150" s="122" t="str">
        <f>IF(A150&amp;B150="","",VLOOKUP(A150&amp;B150,INSUMOS!C:G,4,0))</f>
        <v/>
      </c>
      <c r="H150" s="119" t="str">
        <f t="shared" si="18"/>
        <v/>
      </c>
      <c r="I150" s="119" t="str">
        <f t="shared" si="19"/>
        <v/>
      </c>
      <c r="J150" s="115" t="str">
        <f t="shared" si="20"/>
        <v/>
      </c>
      <c r="K150" s="102" t="str">
        <f>IF(A150&amp;B150="","",VLOOKUP(A150&amp;B150,INSUMOS!C:G,5,0))</f>
        <v/>
      </c>
    </row>
    <row r="151" spans="1:17" ht="15" x14ac:dyDescent="0.25">
      <c r="A151" s="123" t="s">
        <v>4399</v>
      </c>
      <c r="B151" s="520"/>
      <c r="C151" s="520"/>
      <c r="D151" s="520"/>
      <c r="E151" s="520"/>
      <c r="F151" s="521"/>
      <c r="G151" s="124" t="s">
        <v>50</v>
      </c>
      <c r="H151" s="125">
        <f>SUM(H138:H150)</f>
        <v>47.41</v>
      </c>
      <c r="I151" s="125">
        <f>SUM(I138:I150)</f>
        <v>60.550000000000004</v>
      </c>
      <c r="J151" s="126">
        <f>SUM(J138:J150)</f>
        <v>0</v>
      </c>
    </row>
    <row r="152" spans="1:17" ht="15" x14ac:dyDescent="0.25">
      <c r="A152" s="127" t="s">
        <v>4400</v>
      </c>
      <c r="B152" s="128"/>
      <c r="C152" s="128"/>
      <c r="D152" s="127" t="s">
        <v>51</v>
      </c>
      <c r="E152" s="128"/>
      <c r="F152" s="129"/>
      <c r="G152" s="130" t="s">
        <v>55</v>
      </c>
      <c r="H152" s="131" t="s">
        <v>52</v>
      </c>
      <c r="I152" s="132"/>
      <c r="J152" s="125">
        <f>SUM(H151:J151)</f>
        <v>107.96000000000001</v>
      </c>
    </row>
    <row r="153" spans="1:17" ht="15" x14ac:dyDescent="0.25">
      <c r="A153" s="313" t="str">
        <f>$I$3</f>
        <v>Carlos Wieck</v>
      </c>
      <c r="B153" s="133"/>
      <c r="C153" s="133"/>
      <c r="D153" s="134"/>
      <c r="E153" s="133"/>
      <c r="F153" s="135"/>
      <c r="G153" s="522">
        <f>$J$5</f>
        <v>43040</v>
      </c>
      <c r="H153" s="136" t="s">
        <v>53</v>
      </c>
      <c r="I153" s="137"/>
      <c r="J153" s="125">
        <f>TRUNC(I153*J152,2)</f>
        <v>0</v>
      </c>
    </row>
    <row r="154" spans="1:17" ht="15" x14ac:dyDescent="0.25">
      <c r="A154" s="314"/>
      <c r="B154" s="139"/>
      <c r="C154" s="139"/>
      <c r="D154" s="138"/>
      <c r="E154" s="139"/>
      <c r="F154" s="140"/>
      <c r="G154" s="523"/>
      <c r="H154" s="141" t="s">
        <v>54</v>
      </c>
      <c r="I154" s="142"/>
      <c r="J154" s="143">
        <f>J153+J152</f>
        <v>107.96000000000001</v>
      </c>
      <c r="L154" s="102" t="str">
        <f>A135</f>
        <v>FDE ADAPTADO</v>
      </c>
      <c r="M154" s="144">
        <f>B135</f>
        <v>812097</v>
      </c>
      <c r="N154" s="102" t="str">
        <f>L154&amp;M154</f>
        <v>FDE ADAPTADO812097</v>
      </c>
      <c r="O154" s="103" t="str">
        <f>D134</f>
        <v>Calha de alumínio acab natural e=0,8mm corte 1,00m</v>
      </c>
      <c r="P154" s="145" t="str">
        <f>J135</f>
        <v>m</v>
      </c>
      <c r="Q154" s="145">
        <f>J154</f>
        <v>107.96000000000001</v>
      </c>
    </row>
    <row r="155" spans="1:17" ht="15" customHeight="1" x14ac:dyDescent="0.25">
      <c r="A155" s="524" t="s">
        <v>40</v>
      </c>
      <c r="B155" s="525"/>
      <c r="C155" s="104" t="s">
        <v>41</v>
      </c>
      <c r="D155" s="526" t="str">
        <f>IF(B156="","",VLOOKUP(B156,SERVIÇOS!B:E,3,0))</f>
        <v>Totem de Identificação</v>
      </c>
      <c r="E155" s="526"/>
      <c r="F155" s="526"/>
      <c r="G155" s="526"/>
      <c r="H155" s="526"/>
      <c r="I155" s="527"/>
      <c r="J155" s="105" t="s">
        <v>42</v>
      </c>
    </row>
    <row r="156" spans="1:17" ht="15" x14ac:dyDescent="0.25">
      <c r="A156" s="230" t="s">
        <v>4704</v>
      </c>
      <c r="B156" s="230">
        <v>1618081</v>
      </c>
      <c r="C156" s="106"/>
      <c r="D156" s="528"/>
      <c r="E156" s="528"/>
      <c r="F156" s="528"/>
      <c r="G156" s="528"/>
      <c r="H156" s="528"/>
      <c r="I156" s="529"/>
      <c r="J156" s="107" t="str">
        <f>IF(B156="","",VLOOKUP(B156,SERVIÇOS!B:E,4,0))</f>
        <v>un</v>
      </c>
    </row>
    <row r="157" spans="1:17" ht="15" x14ac:dyDescent="0.25">
      <c r="A157" s="530" t="s">
        <v>4397</v>
      </c>
      <c r="B157" s="531" t="s">
        <v>11</v>
      </c>
      <c r="C157" s="533" t="s">
        <v>43</v>
      </c>
      <c r="D157" s="534"/>
      <c r="E157" s="530" t="s">
        <v>13</v>
      </c>
      <c r="F157" s="530" t="s">
        <v>44</v>
      </c>
      <c r="G157" s="538" t="s">
        <v>45</v>
      </c>
      <c r="H157" s="108" t="s">
        <v>46</v>
      </c>
      <c r="I157" s="108"/>
      <c r="J157" s="108"/>
    </row>
    <row r="158" spans="1:17" ht="15" x14ac:dyDescent="0.25">
      <c r="A158" s="530"/>
      <c r="B158" s="532"/>
      <c r="C158" s="535"/>
      <c r="D158" s="536"/>
      <c r="E158" s="537"/>
      <c r="F158" s="537"/>
      <c r="G158" s="539"/>
      <c r="H158" s="108" t="s">
        <v>47</v>
      </c>
      <c r="I158" s="108" t="s">
        <v>48</v>
      </c>
      <c r="J158" s="108" t="s">
        <v>49</v>
      </c>
    </row>
    <row r="159" spans="1:17" ht="15" x14ac:dyDescent="0.25">
      <c r="A159" s="109" t="s">
        <v>4398</v>
      </c>
      <c r="B159" s="110">
        <v>10111</v>
      </c>
      <c r="C159" s="540" t="str">
        <f>IF(A159&amp;B159="","",VLOOKUP(A159&amp;B159,INSUMOS!C:G,2,0))</f>
        <v>Carpinteiro</v>
      </c>
      <c r="D159" s="541"/>
      <c r="E159" s="111" t="str">
        <f>IF(A159&amp;B159="","",VLOOKUP(A159&amp;B159,INSUMOS!C:G,3,0))</f>
        <v>h</v>
      </c>
      <c r="F159" s="112">
        <v>1.7929999999999999</v>
      </c>
      <c r="G159" s="113">
        <f>IF(A159&amp;B159="","",VLOOKUP(A159&amp;B159,INSUMOS!C:G,4,0))</f>
        <v>13.380699</v>
      </c>
      <c r="H159" s="114">
        <f>IF(K159="MO",TRUNC(F159*G159,2),"")</f>
        <v>23.99</v>
      </c>
      <c r="I159" s="114" t="str">
        <f>IF(K159="MT",TRUNC(F159*G159,2),"")</f>
        <v/>
      </c>
      <c r="J159" s="115" t="str">
        <f>IF(K159="EQ",TRUNC(F159*G159,2),"")</f>
        <v/>
      </c>
      <c r="K159" s="102" t="str">
        <f>IF(A159&amp;B159="","",VLOOKUP(A159&amp;B159,INSUMOS!C:G,5,0))</f>
        <v>MO</v>
      </c>
    </row>
    <row r="160" spans="1:17" ht="15" x14ac:dyDescent="0.25">
      <c r="A160" s="109" t="s">
        <v>4398</v>
      </c>
      <c r="B160" s="116">
        <v>10112</v>
      </c>
      <c r="C160" s="518" t="str">
        <f>IF(A160&amp;B160="","",VLOOKUP(A160&amp;B160,INSUMOS!C:G,2,0))</f>
        <v>Ajudante de carpinteiro</v>
      </c>
      <c r="D160" s="519"/>
      <c r="E160" s="117" t="str">
        <f>IF(A160&amp;B160="","",VLOOKUP(A160&amp;B160,INSUMOS!C:G,3,0))</f>
        <v>h</v>
      </c>
      <c r="F160" s="118">
        <v>1.7929999999999999</v>
      </c>
      <c r="G160" s="113">
        <f>IF(A160&amp;B160="","",VLOOKUP(A160&amp;B160,INSUMOS!C:G,4,0))</f>
        <v>10.985028</v>
      </c>
      <c r="H160" s="119">
        <f t="shared" ref="H160:H176" si="21">IF(K160="MO",TRUNC(F160*G160,2),"")</f>
        <v>19.690000000000001</v>
      </c>
      <c r="I160" s="119" t="str">
        <f t="shared" ref="I160:I176" si="22">IF(K160="MT",TRUNC(F160*G160,2),"")</f>
        <v/>
      </c>
      <c r="J160" s="115" t="str">
        <f t="shared" ref="J160:J176" si="23">IF(K160="EQ",TRUNC(F160*G160,2),"")</f>
        <v/>
      </c>
      <c r="K160" s="102" t="str">
        <f>IF(A160&amp;B160="","",VLOOKUP(A160&amp;B160,INSUMOS!C:G,5,0))</f>
        <v>MO</v>
      </c>
    </row>
    <row r="161" spans="1:11" ht="15" x14ac:dyDescent="0.25">
      <c r="A161" s="109" t="s">
        <v>4398</v>
      </c>
      <c r="B161" s="116">
        <v>10121</v>
      </c>
      <c r="C161" s="518" t="str">
        <f>IF(A161&amp;B161="","",VLOOKUP(A161&amp;B161,INSUMOS!C:G,2,0))</f>
        <v>Ferreiro/armador</v>
      </c>
      <c r="D161" s="519"/>
      <c r="E161" s="117" t="str">
        <f>IF(A161&amp;B161="","",VLOOKUP(A161&amp;B161,INSUMOS!C:G,3,0))</f>
        <v>h</v>
      </c>
      <c r="F161" s="118">
        <v>4.5999999999999996</v>
      </c>
      <c r="G161" s="113">
        <f>IF(A161&amp;B161="","",VLOOKUP(A161&amp;B161,INSUMOS!C:G,4,0))</f>
        <v>13.692331000000001</v>
      </c>
      <c r="H161" s="119">
        <f t="shared" si="21"/>
        <v>62.98</v>
      </c>
      <c r="I161" s="119" t="str">
        <f t="shared" si="22"/>
        <v/>
      </c>
      <c r="J161" s="115" t="str">
        <f t="shared" si="23"/>
        <v/>
      </c>
      <c r="K161" s="102" t="str">
        <f>IF(A161&amp;B161="","",VLOOKUP(A161&amp;B161,INSUMOS!C:G,5,0))</f>
        <v>MO</v>
      </c>
    </row>
    <row r="162" spans="1:11" ht="15" x14ac:dyDescent="0.25">
      <c r="A162" s="109" t="s">
        <v>4398</v>
      </c>
      <c r="B162" s="116">
        <v>10122</v>
      </c>
      <c r="C162" s="518" t="str">
        <f>IF(A162&amp;B162="","",VLOOKUP(A162&amp;B162,INSUMOS!C:G,2,0))</f>
        <v>Ajudante de ferreiro</v>
      </c>
      <c r="D162" s="519"/>
      <c r="E162" s="117" t="str">
        <f>IF(A162&amp;B162="","",VLOOKUP(A162&amp;B162,INSUMOS!C:G,3,0))</f>
        <v>h</v>
      </c>
      <c r="F162" s="118">
        <v>4.5999999999999996</v>
      </c>
      <c r="G162" s="113">
        <f>IF(A162&amp;B162="","",VLOOKUP(A162&amp;B162,INSUMOS!C:G,4,0))</f>
        <v>10.985028</v>
      </c>
      <c r="H162" s="119">
        <f t="shared" si="21"/>
        <v>50.53</v>
      </c>
      <c r="I162" s="119" t="str">
        <f t="shared" si="22"/>
        <v/>
      </c>
      <c r="J162" s="115" t="str">
        <f t="shared" si="23"/>
        <v/>
      </c>
      <c r="K162" s="102" t="str">
        <f>IF(A162&amp;B162="","",VLOOKUP(A162&amp;B162,INSUMOS!C:G,5,0))</f>
        <v>MO</v>
      </c>
    </row>
    <row r="163" spans="1:11" ht="15" x14ac:dyDescent="0.25">
      <c r="A163" s="109" t="s">
        <v>4398</v>
      </c>
      <c r="B163" s="116">
        <v>10139</v>
      </c>
      <c r="C163" s="518" t="str">
        <f>IF(A163&amp;B163="","",VLOOKUP(A163&amp;B163,INSUMOS!C:G,2,0))</f>
        <v xml:space="preserve">Pedreiro </v>
      </c>
      <c r="D163" s="519"/>
      <c r="E163" s="117" t="str">
        <f>IF(A163&amp;B163="","",VLOOKUP(A163&amp;B163,INSUMOS!C:G,3,0))</f>
        <v>h</v>
      </c>
      <c r="F163" s="118">
        <v>5.242</v>
      </c>
      <c r="G163" s="113">
        <f>IF(A163&amp;B163="","",VLOOKUP(A163&amp;B163,INSUMOS!C:G,4,0))</f>
        <v>13.731285</v>
      </c>
      <c r="H163" s="119">
        <f t="shared" si="21"/>
        <v>71.97</v>
      </c>
      <c r="I163" s="119" t="str">
        <f t="shared" si="22"/>
        <v/>
      </c>
      <c r="J163" s="115" t="str">
        <f t="shared" si="23"/>
        <v/>
      </c>
      <c r="K163" s="102" t="str">
        <f>IF(A163&amp;B163="","",VLOOKUP(A163&amp;B163,INSUMOS!C:G,5,0))</f>
        <v>MO</v>
      </c>
    </row>
    <row r="164" spans="1:11" ht="15" x14ac:dyDescent="0.25">
      <c r="A164" s="109" t="s">
        <v>4398</v>
      </c>
      <c r="B164" s="116">
        <v>10142</v>
      </c>
      <c r="C164" s="518" t="str">
        <f>IF(A164&amp;B164="","",VLOOKUP(A164&amp;B164,INSUMOS!C:G,2,0))</f>
        <v>Poceiro</v>
      </c>
      <c r="D164" s="519"/>
      <c r="E164" s="117" t="str">
        <f>IF(A164&amp;B164="","",VLOOKUP(A164&amp;B164,INSUMOS!C:G,3,0))</f>
        <v>h</v>
      </c>
      <c r="F164" s="118">
        <v>11.35455</v>
      </c>
      <c r="G164" s="113">
        <f>IF(A164&amp;B164="","",VLOOKUP(A164&amp;B164,INSUMOS!C:G,4,0))</f>
        <v>16.029571000000001</v>
      </c>
      <c r="H164" s="119">
        <f t="shared" si="21"/>
        <v>182</v>
      </c>
      <c r="I164" s="119" t="str">
        <f t="shared" si="22"/>
        <v/>
      </c>
      <c r="J164" s="115" t="str">
        <f t="shared" si="23"/>
        <v/>
      </c>
      <c r="K164" s="102" t="str">
        <f>IF(A164&amp;B164="","",VLOOKUP(A164&amp;B164,INSUMOS!C:G,5,0))</f>
        <v>MO</v>
      </c>
    </row>
    <row r="165" spans="1:11" ht="15" x14ac:dyDescent="0.25">
      <c r="A165" s="109" t="s">
        <v>4398</v>
      </c>
      <c r="B165" s="116">
        <v>10146</v>
      </c>
      <c r="C165" s="518" t="str">
        <f>IF(A165&amp;B165="","",VLOOKUP(A165&amp;B165,INSUMOS!C:G,2,0))</f>
        <v>Servente</v>
      </c>
      <c r="D165" s="519"/>
      <c r="E165" s="117" t="str">
        <f>IF(A165&amp;B165="","",VLOOKUP(A165&amp;B165,INSUMOS!C:G,3,0))</f>
        <v>h</v>
      </c>
      <c r="F165" s="118">
        <v>9.8001699999999996</v>
      </c>
      <c r="G165" s="113">
        <f>IF(A165&amp;B165="","",VLOOKUP(A165&amp;B165,INSUMOS!C:G,4,0))</f>
        <v>11.335614</v>
      </c>
      <c r="H165" s="119">
        <f t="shared" si="21"/>
        <v>111.09</v>
      </c>
      <c r="I165" s="119" t="str">
        <f t="shared" si="22"/>
        <v/>
      </c>
      <c r="J165" s="115" t="str">
        <f t="shared" si="23"/>
        <v/>
      </c>
      <c r="K165" s="102" t="str">
        <f>IF(A165&amp;B165="","",VLOOKUP(A165&amp;B165,INSUMOS!C:G,5,0))</f>
        <v>MO</v>
      </c>
    </row>
    <row r="166" spans="1:11" ht="15" x14ac:dyDescent="0.25">
      <c r="A166" s="109" t="s">
        <v>4398</v>
      </c>
      <c r="B166" s="116">
        <v>10101</v>
      </c>
      <c r="C166" s="518" t="str">
        <f>IF(A166&amp;B166="","",VLOOKUP(A166&amp;B166,INSUMOS!C:G,2,0))</f>
        <v>Ajudante geral</v>
      </c>
      <c r="D166" s="519"/>
      <c r="E166" s="117" t="str">
        <f>IF(A166&amp;B166="","",VLOOKUP(A166&amp;B166,INSUMOS!C:G,3,0))</f>
        <v>h</v>
      </c>
      <c r="F166" s="118">
        <v>11.35455</v>
      </c>
      <c r="G166" s="113">
        <f>IF(A166&amp;B166="","",VLOOKUP(A166&amp;B166,INSUMOS!C:G,4,0))</f>
        <v>11.238228999999999</v>
      </c>
      <c r="H166" s="119">
        <f t="shared" si="21"/>
        <v>127.6</v>
      </c>
      <c r="I166" s="119" t="str">
        <f t="shared" si="22"/>
        <v/>
      </c>
      <c r="J166" s="115" t="str">
        <f t="shared" si="23"/>
        <v/>
      </c>
      <c r="K166" s="102" t="str">
        <f>IF(A166&amp;B166="","",VLOOKUP(A166&amp;B166,INSUMOS!C:G,5,0))</f>
        <v>MO</v>
      </c>
    </row>
    <row r="167" spans="1:11" ht="15" x14ac:dyDescent="0.25">
      <c r="A167" s="109" t="s">
        <v>4398</v>
      </c>
      <c r="B167" s="116">
        <v>20518</v>
      </c>
      <c r="C167" s="518" t="str">
        <f>IF(A167&amp;B167="","",VLOOKUP(A167&amp;B167,INSUMOS!C:G,2,0))</f>
        <v>Pedra britada nº médios 1.2.3 e 4 (a granel)</v>
      </c>
      <c r="D167" s="519"/>
      <c r="E167" s="117" t="str">
        <f>IF(A167&amp;B167="","",VLOOKUP(A167&amp;B167,INSUMOS!C:G,3,0))</f>
        <v>m³</v>
      </c>
      <c r="F167" s="118">
        <v>2.1950000000000001E-2</v>
      </c>
      <c r="G167" s="113">
        <f>IF(A167&amp;B167="","",VLOOKUP(A167&amp;B167,INSUMOS!C:G,4,0))</f>
        <v>69.64</v>
      </c>
      <c r="H167" s="119" t="str">
        <f t="shared" si="21"/>
        <v/>
      </c>
      <c r="I167" s="119">
        <f t="shared" si="22"/>
        <v>1.52</v>
      </c>
      <c r="J167" s="115" t="str">
        <f t="shared" si="23"/>
        <v/>
      </c>
      <c r="K167" s="102" t="str">
        <f>IF(A167&amp;B167="","",VLOOKUP(A167&amp;B167,INSUMOS!C:G,5,0))</f>
        <v>MT</v>
      </c>
    </row>
    <row r="168" spans="1:11" ht="15" x14ac:dyDescent="0.25">
      <c r="A168" s="109" t="s">
        <v>4701</v>
      </c>
      <c r="B168" s="116">
        <v>20536</v>
      </c>
      <c r="C168" s="518" t="str">
        <f>IF(A168&amp;B168="","",VLOOKUP(A168&amp;B168,INSUMOS!C:G,2,0))</f>
        <v>Concreto dosado (condição A) Fck 25MPa</v>
      </c>
      <c r="D168" s="519"/>
      <c r="E168" s="117" t="str">
        <f>IF(A168&amp;B168="","",VLOOKUP(A168&amp;B168,INSUMOS!C:G,3,0))</f>
        <v>m³</v>
      </c>
      <c r="F168" s="118">
        <v>1.1646399999999999</v>
      </c>
      <c r="G168" s="113">
        <f>IF(A168&amp;B168="","",VLOOKUP(A168&amp;B168,INSUMOS!C:G,4,0))</f>
        <v>266.27999999999997</v>
      </c>
      <c r="H168" s="119" t="str">
        <f t="shared" ref="H168:H171" si="24">IF(K168="MO",TRUNC(F168*G168,2),"")</f>
        <v/>
      </c>
      <c r="I168" s="119">
        <f t="shared" ref="I168:I171" si="25">IF(K168="MT",TRUNC(F168*G168,2),"")</f>
        <v>310.12</v>
      </c>
      <c r="J168" s="115" t="str">
        <f t="shared" ref="J168:J171" si="26">IF(K168="EQ",TRUNC(F168*G168,2),"")</f>
        <v/>
      </c>
      <c r="K168" s="102" t="str">
        <f>IF(A168&amp;B168="","",VLOOKUP(A168&amp;B168,INSUMOS!C:G,5,0))</f>
        <v>MT</v>
      </c>
    </row>
    <row r="169" spans="1:11" ht="15" x14ac:dyDescent="0.25">
      <c r="A169" s="109" t="s">
        <v>4398</v>
      </c>
      <c r="B169" s="121">
        <v>21023</v>
      </c>
      <c r="C169" s="518" t="str">
        <f>IF(A169&amp;B169="","",VLOOKUP(A169&amp;B169,INSUMOS!C:G,2,0))</f>
        <v>Sarrafo de pinus, 1´ x 4´ - bruto</v>
      </c>
      <c r="D169" s="519"/>
      <c r="E169" s="117" t="str">
        <f>IF(A169&amp;B169="","",VLOOKUP(A169&amp;B169,INSUMOS!C:G,3,0))</f>
        <v>m</v>
      </c>
      <c r="F169" s="118">
        <v>3.26</v>
      </c>
      <c r="G169" s="122">
        <f>IF(A169&amp;B169="","",VLOOKUP(A169&amp;B169,INSUMOS!C:G,4,0))</f>
        <v>1.18</v>
      </c>
      <c r="H169" s="119" t="str">
        <f t="shared" si="24"/>
        <v/>
      </c>
      <c r="I169" s="119">
        <f t="shared" si="25"/>
        <v>3.84</v>
      </c>
      <c r="J169" s="115" t="str">
        <f t="shared" si="26"/>
        <v/>
      </c>
      <c r="K169" s="102" t="str">
        <f>IF(A169&amp;B169="","",VLOOKUP(A169&amp;B169,INSUMOS!C:G,5,0))</f>
        <v>MT</v>
      </c>
    </row>
    <row r="170" spans="1:11" ht="15" x14ac:dyDescent="0.25">
      <c r="A170" s="109" t="s">
        <v>4398</v>
      </c>
      <c r="B170" s="121">
        <v>21021</v>
      </c>
      <c r="C170" s="518" t="str">
        <f>IF(A170&amp;B170="","",VLOOKUP(A170&amp;B170,INSUMOS!C:G,2,0))</f>
        <v>Tábua cedrinho 25 mm x 300 mm de 3ª</v>
      </c>
      <c r="D170" s="519"/>
      <c r="E170" s="117" t="str">
        <f>IF(A170&amp;B170="","",VLOOKUP(A170&amp;B170,INSUMOS!C:G,3,0))</f>
        <v>m²</v>
      </c>
      <c r="F170" s="118">
        <v>0.81499999999999995</v>
      </c>
      <c r="G170" s="122">
        <f>IF(A170&amp;B170="","",VLOOKUP(A170&amp;B170,INSUMOS!C:G,4,0))</f>
        <v>42.24</v>
      </c>
      <c r="H170" s="119" t="str">
        <f t="shared" si="24"/>
        <v/>
      </c>
      <c r="I170" s="119">
        <f t="shared" si="25"/>
        <v>34.42</v>
      </c>
      <c r="J170" s="115" t="str">
        <f t="shared" si="26"/>
        <v/>
      </c>
      <c r="K170" s="102" t="str">
        <f>IF(A170&amp;B170="","",VLOOKUP(A170&amp;B170,INSUMOS!C:G,5,0))</f>
        <v>MT</v>
      </c>
    </row>
    <row r="171" spans="1:11" ht="15" x14ac:dyDescent="0.25">
      <c r="A171" s="109" t="s">
        <v>4398</v>
      </c>
      <c r="B171" s="121">
        <v>21091</v>
      </c>
      <c r="C171" s="518" t="str">
        <f>IF(A171&amp;B171="","",VLOOKUP(A171&amp;B171,INSUMOS!C:G,2,0))</f>
        <v>Locação de andaime torre metálico (1,5 x 1,5 m) com piso metálico</v>
      </c>
      <c r="D171" s="519"/>
      <c r="E171" s="117" t="str">
        <f>IF(A171&amp;B171="","",VLOOKUP(A171&amp;B171,INSUMOS!C:G,3,0))</f>
        <v>mxmês</v>
      </c>
      <c r="F171" s="118">
        <v>3</v>
      </c>
      <c r="G171" s="122">
        <f>IF(A171&amp;B171="","",VLOOKUP(A171&amp;B171,INSUMOS!C:G,4,0))</f>
        <v>38.5</v>
      </c>
      <c r="H171" s="119" t="str">
        <f t="shared" si="24"/>
        <v/>
      </c>
      <c r="I171" s="119">
        <f t="shared" si="25"/>
        <v>115.5</v>
      </c>
      <c r="J171" s="115" t="str">
        <f t="shared" si="26"/>
        <v/>
      </c>
      <c r="K171" s="102" t="str">
        <f>IF(A171&amp;B171="","",VLOOKUP(A171&amp;B171,INSUMOS!C:G,5,0))</f>
        <v>MT</v>
      </c>
    </row>
    <row r="172" spans="1:11" ht="15" x14ac:dyDescent="0.25">
      <c r="A172" s="109" t="s">
        <v>4398</v>
      </c>
      <c r="B172" s="116">
        <v>21510</v>
      </c>
      <c r="C172" s="518" t="str">
        <f>IF(A172&amp;B172="","",VLOOKUP(A172&amp;B172,INSUMOS!C:G,2,0))</f>
        <v>Aço CA-25 $MD bitolas</v>
      </c>
      <c r="D172" s="519"/>
      <c r="E172" s="117" t="str">
        <f>IF(A172&amp;B172="","",VLOOKUP(A172&amp;B172,INSUMOS!C:G,3,0))</f>
        <v>kg</v>
      </c>
      <c r="F172" s="118">
        <v>52.9</v>
      </c>
      <c r="G172" s="113">
        <f>IF(A172&amp;B172="","",VLOOKUP(A172&amp;B172,INSUMOS!C:G,4,0))</f>
        <v>3.62</v>
      </c>
      <c r="H172" s="119" t="str">
        <f t="shared" si="21"/>
        <v/>
      </c>
      <c r="I172" s="119">
        <f t="shared" si="22"/>
        <v>191.49</v>
      </c>
      <c r="J172" s="115" t="str">
        <f t="shared" si="23"/>
        <v/>
      </c>
      <c r="K172" s="102" t="str">
        <f>IF(A172&amp;B172="","",VLOOKUP(A172&amp;B172,INSUMOS!C:G,5,0))</f>
        <v>MT</v>
      </c>
    </row>
    <row r="173" spans="1:11" ht="15" x14ac:dyDescent="0.25">
      <c r="A173" s="109" t="s">
        <v>4398</v>
      </c>
      <c r="B173" s="121" t="s">
        <v>5107</v>
      </c>
      <c r="C173" s="518" t="str">
        <f>IF(A173&amp;B173="","",VLOOKUP(A173&amp;B173,INSUMOS!C:G,2,0))</f>
        <v>Prego diversas bitolas (referência 18 x 27)</v>
      </c>
      <c r="D173" s="519"/>
      <c r="E173" s="117" t="str">
        <f>IF(A173&amp;B173="","",VLOOKUP(A173&amp;B173,INSUMOS!C:G,3,0))</f>
        <v>kg</v>
      </c>
      <c r="F173" s="118">
        <v>0.32600000000000001</v>
      </c>
      <c r="G173" s="122">
        <f>IF(A173&amp;B173="","",VLOOKUP(A173&amp;B173,INSUMOS!C:G,4,0))</f>
        <v>5.0999999999999996</v>
      </c>
      <c r="H173" s="119" t="str">
        <f t="shared" si="21"/>
        <v/>
      </c>
      <c r="I173" s="119">
        <f t="shared" si="22"/>
        <v>1.66</v>
      </c>
      <c r="J173" s="115" t="str">
        <f t="shared" si="23"/>
        <v/>
      </c>
      <c r="K173" s="102" t="str">
        <f>IF(A173&amp;B173="","",VLOOKUP(A173&amp;B173,INSUMOS!C:G,5,0))</f>
        <v>MT</v>
      </c>
    </row>
    <row r="174" spans="1:11" ht="15" x14ac:dyDescent="0.25">
      <c r="A174" s="109" t="s">
        <v>4398</v>
      </c>
      <c r="B174" s="121" t="s">
        <v>5108</v>
      </c>
      <c r="C174" s="518" t="str">
        <f>IF(A174&amp;B174="","",VLOOKUP(A174&amp;B174,INSUMOS!C:G,2,0))</f>
        <v>Arame recozido nº 18 BWG</v>
      </c>
      <c r="D174" s="519"/>
      <c r="E174" s="117" t="str">
        <f>IF(A174&amp;B174="","",VLOOKUP(A174&amp;B174,INSUMOS!C:G,3,0))</f>
        <v>kg</v>
      </c>
      <c r="F174" s="118">
        <v>0.92</v>
      </c>
      <c r="G174" s="122">
        <f>IF(A174&amp;B174="","",VLOOKUP(A174&amp;B174,INSUMOS!C:G,4,0))</f>
        <v>6.34</v>
      </c>
      <c r="H174" s="119" t="str">
        <f t="shared" si="21"/>
        <v/>
      </c>
      <c r="I174" s="119">
        <f t="shared" si="22"/>
        <v>5.83</v>
      </c>
      <c r="J174" s="115" t="str">
        <f t="shared" si="23"/>
        <v/>
      </c>
      <c r="K174" s="102" t="str">
        <f>IF(A174&amp;B174="","",VLOOKUP(A174&amp;B174,INSUMOS!C:G,5,0))</f>
        <v>MT</v>
      </c>
    </row>
    <row r="175" spans="1:11" ht="15" x14ac:dyDescent="0.25">
      <c r="A175" s="109" t="s">
        <v>4701</v>
      </c>
      <c r="B175" s="121" t="s">
        <v>5497</v>
      </c>
      <c r="C175" s="518" t="str">
        <f>IF(A175&amp;B175="","",VLOOKUP(A175&amp;B175,INSUMOS!C:G,2,0))</f>
        <v>SI-12 Totem de sinalização</v>
      </c>
      <c r="D175" s="519"/>
      <c r="E175" s="117" t="str">
        <f>IF(A175&amp;B175="","",VLOOKUP(A175&amp;B175,INSUMOS!C:G,3,0))</f>
        <v>un</v>
      </c>
      <c r="F175" s="118">
        <v>1</v>
      </c>
      <c r="G175" s="122">
        <f>IF(A175&amp;B175="","",VLOOKUP(A175&amp;B175,INSUMOS!C:G,4,0))</f>
        <v>7809</v>
      </c>
      <c r="H175" s="119" t="str">
        <f t="shared" ref="H175" si="27">IF(K175="MO",TRUNC(F175*G175,2),"")</f>
        <v/>
      </c>
      <c r="I175" s="119">
        <f t="shared" ref="I175" si="28">IF(K175="MT",TRUNC(F175*G175,2),"")</f>
        <v>7809</v>
      </c>
      <c r="J175" s="115" t="str">
        <f t="shared" ref="J175" si="29">IF(K175="EQ",TRUNC(F175*G175,2),"")</f>
        <v/>
      </c>
      <c r="K175" s="102" t="str">
        <f>IF(A175&amp;B175="","",VLOOKUP(A175&amp;B175,INSUMOS!C:G,5,0))</f>
        <v>MT</v>
      </c>
    </row>
    <row r="176" spans="1:11" ht="15" x14ac:dyDescent="0.25">
      <c r="A176" s="109" t="s">
        <v>4701</v>
      </c>
      <c r="B176" s="121" t="s">
        <v>5496</v>
      </c>
      <c r="C176" s="518" t="str">
        <f>IF(A176&amp;B176="","",VLOOKUP(A176&amp;B176,INSUMOS!C:G,2,0))</f>
        <v>Vibrador de imersão elétrico 2HP (1,5KW)</v>
      </c>
      <c r="D176" s="519"/>
      <c r="E176" s="117" t="str">
        <f>IF(A176&amp;B176="","",VLOOKUP(A176&amp;B176,INSUMOS!C:G,3,0))</f>
        <v>h</v>
      </c>
      <c r="F176" s="118">
        <v>0.1148</v>
      </c>
      <c r="G176" s="122">
        <f>IF(A176&amp;B176="","",VLOOKUP(A176&amp;B176,INSUMOS!C:G,4,0))</f>
        <v>1.1000000000000001</v>
      </c>
      <c r="H176" s="119" t="str">
        <f t="shared" si="21"/>
        <v/>
      </c>
      <c r="I176" s="119" t="str">
        <f t="shared" si="22"/>
        <v/>
      </c>
      <c r="J176" s="115">
        <f t="shared" si="23"/>
        <v>0.12</v>
      </c>
      <c r="K176" s="102" t="str">
        <f>IF(A176&amp;B176="","",VLOOKUP(A176&amp;B176,INSUMOS!C:G,5,0))</f>
        <v>EQ</v>
      </c>
    </row>
    <row r="177" spans="1:17" ht="15" x14ac:dyDescent="0.25">
      <c r="A177" s="123" t="s">
        <v>4399</v>
      </c>
      <c r="B177" s="520"/>
      <c r="C177" s="520"/>
      <c r="D177" s="520"/>
      <c r="E177" s="520"/>
      <c r="F177" s="521"/>
      <c r="G177" s="124" t="s">
        <v>50</v>
      </c>
      <c r="H177" s="125">
        <f>SUM(H159:H176)</f>
        <v>649.85</v>
      </c>
      <c r="I177" s="125">
        <f>SUM(I159:I176)</f>
        <v>8473.3799999999992</v>
      </c>
      <c r="J177" s="126">
        <f>SUM(J159:J176)</f>
        <v>0.12</v>
      </c>
    </row>
    <row r="178" spans="1:17" ht="15" x14ac:dyDescent="0.25">
      <c r="A178" s="127" t="s">
        <v>4400</v>
      </c>
      <c r="B178" s="128"/>
      <c r="C178" s="128"/>
      <c r="D178" s="127" t="s">
        <v>51</v>
      </c>
      <c r="E178" s="128"/>
      <c r="F178" s="129"/>
      <c r="G178" s="130" t="s">
        <v>55</v>
      </c>
      <c r="H178" s="131" t="s">
        <v>52</v>
      </c>
      <c r="I178" s="132"/>
      <c r="J178" s="125">
        <f>SUM(H177:J177)</f>
        <v>9123.35</v>
      </c>
    </row>
    <row r="179" spans="1:17" ht="15" x14ac:dyDescent="0.25">
      <c r="A179" s="313" t="str">
        <f>$I$3</f>
        <v>Carlos Wieck</v>
      </c>
      <c r="B179" s="133"/>
      <c r="C179" s="133"/>
      <c r="D179" s="134"/>
      <c r="E179" s="133"/>
      <c r="F179" s="135"/>
      <c r="G179" s="522">
        <f>$J$5</f>
        <v>43040</v>
      </c>
      <c r="H179" s="136" t="s">
        <v>53</v>
      </c>
      <c r="I179" s="137"/>
      <c r="J179" s="125">
        <f>TRUNC(I179*J178,2)</f>
        <v>0</v>
      </c>
    </row>
    <row r="180" spans="1:17" ht="15" x14ac:dyDescent="0.25">
      <c r="A180" s="314"/>
      <c r="B180" s="139"/>
      <c r="C180" s="139"/>
      <c r="D180" s="138"/>
      <c r="E180" s="139"/>
      <c r="F180" s="140"/>
      <c r="G180" s="523"/>
      <c r="H180" s="141" t="s">
        <v>54</v>
      </c>
      <c r="I180" s="142"/>
      <c r="J180" s="143">
        <f>J179+J178</f>
        <v>9123.35</v>
      </c>
      <c r="L180" s="102" t="str">
        <f>A156</f>
        <v>FDE ADAPTADO</v>
      </c>
      <c r="M180" s="144">
        <f>B156</f>
        <v>1618081</v>
      </c>
      <c r="N180" s="102" t="str">
        <f>L180&amp;M180</f>
        <v>FDE ADAPTADO1618081</v>
      </c>
      <c r="O180" s="103" t="str">
        <f>D155</f>
        <v>Totem de Identificação</v>
      </c>
      <c r="P180" s="145" t="str">
        <f>J156</f>
        <v>un</v>
      </c>
      <c r="Q180" s="145">
        <f>J180</f>
        <v>9123.35</v>
      </c>
    </row>
    <row r="181" spans="1:17" ht="15" customHeight="1" x14ac:dyDescent="0.25">
      <c r="A181" s="524" t="s">
        <v>40</v>
      </c>
      <c r="B181" s="525"/>
      <c r="C181" s="104" t="s">
        <v>41</v>
      </c>
      <c r="D181" s="526" t="str">
        <f>IF(B182="","",VLOOKUP(B182,SERVIÇOS!B:E,3,0))</f>
        <v>AE-19 Abrigo e entrada de energia (Caixa II, IV ou E) - CPFL, EDP Bandeirante e Elektro</v>
      </c>
      <c r="E181" s="526"/>
      <c r="F181" s="526"/>
      <c r="G181" s="526"/>
      <c r="H181" s="526"/>
      <c r="I181" s="527"/>
      <c r="J181" s="105" t="s">
        <v>42</v>
      </c>
    </row>
    <row r="182" spans="1:17" ht="15" x14ac:dyDescent="0.25">
      <c r="A182" s="230" t="s">
        <v>4704</v>
      </c>
      <c r="B182" s="230">
        <v>902053</v>
      </c>
      <c r="C182" s="106"/>
      <c r="D182" s="528"/>
      <c r="E182" s="528"/>
      <c r="F182" s="528"/>
      <c r="G182" s="528"/>
      <c r="H182" s="528"/>
      <c r="I182" s="529"/>
      <c r="J182" s="107" t="str">
        <f>IF(B182="","",VLOOKUP(B182,SERVIÇOS!B:E,4,0))</f>
        <v>un</v>
      </c>
    </row>
    <row r="183" spans="1:17" ht="15" x14ac:dyDescent="0.25">
      <c r="A183" s="530" t="s">
        <v>4397</v>
      </c>
      <c r="B183" s="531" t="s">
        <v>11</v>
      </c>
      <c r="C183" s="533" t="s">
        <v>43</v>
      </c>
      <c r="D183" s="534"/>
      <c r="E183" s="530" t="s">
        <v>13</v>
      </c>
      <c r="F183" s="530" t="s">
        <v>44</v>
      </c>
      <c r="G183" s="538" t="s">
        <v>45</v>
      </c>
      <c r="H183" s="108" t="s">
        <v>46</v>
      </c>
      <c r="I183" s="108"/>
      <c r="J183" s="108"/>
    </row>
    <row r="184" spans="1:17" ht="15" x14ac:dyDescent="0.25">
      <c r="A184" s="530"/>
      <c r="B184" s="532"/>
      <c r="C184" s="535"/>
      <c r="D184" s="536"/>
      <c r="E184" s="537"/>
      <c r="F184" s="537"/>
      <c r="G184" s="539"/>
      <c r="H184" s="108" t="s">
        <v>47</v>
      </c>
      <c r="I184" s="108" t="s">
        <v>48</v>
      </c>
      <c r="J184" s="108" t="s">
        <v>49</v>
      </c>
    </row>
    <row r="185" spans="1:17" ht="12.95" customHeight="1" x14ac:dyDescent="0.25">
      <c r="A185" s="109" t="s">
        <v>4398</v>
      </c>
      <c r="B185" s="110">
        <v>10111</v>
      </c>
      <c r="C185" s="540" t="str">
        <f>IF(A185&amp;B185="","",VLOOKUP(A185&amp;B185,INSUMOS!C:G,2,0))</f>
        <v>Carpinteiro</v>
      </c>
      <c r="D185" s="541"/>
      <c r="E185" s="111" t="str">
        <f>IF(A185&amp;B185="","",VLOOKUP(A185&amp;B185,INSUMOS!C:G,3,0))</f>
        <v>h</v>
      </c>
      <c r="F185" s="112">
        <v>0.28999999999999998</v>
      </c>
      <c r="G185" s="113">
        <f>IF(A185&amp;B185="","",VLOOKUP(A185&amp;B185,INSUMOS!C:G,4,0))</f>
        <v>13.380699</v>
      </c>
      <c r="H185" s="114">
        <f>IF(K185="MO",TRUNC(F185*G185,2),"")</f>
        <v>3.88</v>
      </c>
      <c r="I185" s="114" t="str">
        <f>IF(K185="MT",TRUNC(F185*G185,2),"")</f>
        <v/>
      </c>
      <c r="J185" s="115" t="str">
        <f>IF(K185="EQ",TRUNC(F185*G185,2),"")</f>
        <v/>
      </c>
      <c r="K185" s="102" t="str">
        <f>IF(A185&amp;B185="","",VLOOKUP(A185&amp;B185,INSUMOS!C:G,5,0))</f>
        <v>MO</v>
      </c>
    </row>
    <row r="186" spans="1:17" ht="12.95" customHeight="1" x14ac:dyDescent="0.25">
      <c r="A186" s="109" t="s">
        <v>4398</v>
      </c>
      <c r="B186" s="116">
        <v>10112</v>
      </c>
      <c r="C186" s="518" t="str">
        <f>IF(A186&amp;B186="","",VLOOKUP(A186&amp;B186,INSUMOS!C:G,2,0))</f>
        <v>Ajudante de carpinteiro</v>
      </c>
      <c r="D186" s="519"/>
      <c r="E186" s="117" t="str">
        <f>IF(A186&amp;B186="","",VLOOKUP(A186&amp;B186,INSUMOS!C:G,3,0))</f>
        <v>h</v>
      </c>
      <c r="F186" s="118">
        <v>0.28999999999999998</v>
      </c>
      <c r="G186" s="113">
        <f>IF(A186&amp;B186="","",VLOOKUP(A186&amp;B186,INSUMOS!C:G,4,0))</f>
        <v>10.985028</v>
      </c>
      <c r="H186" s="119">
        <f t="shared" ref="H186:H216" si="30">IF(K186="MO",TRUNC(F186*G186,2),"")</f>
        <v>3.18</v>
      </c>
      <c r="I186" s="119" t="str">
        <f t="shared" ref="I186:I216" si="31">IF(K186="MT",TRUNC(F186*G186,2),"")</f>
        <v/>
      </c>
      <c r="J186" s="115" t="str">
        <f t="shared" ref="J186:J216" si="32">IF(K186="EQ",TRUNC(F186*G186,2),"")</f>
        <v/>
      </c>
      <c r="K186" s="102" t="str">
        <f>IF(A186&amp;B186="","",VLOOKUP(A186&amp;B186,INSUMOS!C:G,5,0))</f>
        <v>MO</v>
      </c>
    </row>
    <row r="187" spans="1:17" ht="12.95" customHeight="1" x14ac:dyDescent="0.25">
      <c r="A187" s="109" t="s">
        <v>4398</v>
      </c>
      <c r="B187" s="116">
        <v>10115</v>
      </c>
      <c r="C187" s="518" t="str">
        <f>IF(A187&amp;B187="","",VLOOKUP(A187&amp;B187,INSUMOS!C:G,2,0))</f>
        <v>Eletricista</v>
      </c>
      <c r="D187" s="519"/>
      <c r="E187" s="117" t="str">
        <f>IF(A187&amp;B187="","",VLOOKUP(A187&amp;B187,INSUMOS!C:G,3,0))</f>
        <v>h</v>
      </c>
      <c r="F187" s="118">
        <v>14</v>
      </c>
      <c r="G187" s="113">
        <f>IF(A187&amp;B187="","",VLOOKUP(A187&amp;B187,INSUMOS!C:G,4,0))</f>
        <v>15.5816</v>
      </c>
      <c r="H187" s="119">
        <f t="shared" si="30"/>
        <v>218.14</v>
      </c>
      <c r="I187" s="119" t="str">
        <f t="shared" si="31"/>
        <v/>
      </c>
      <c r="J187" s="115" t="str">
        <f t="shared" si="32"/>
        <v/>
      </c>
      <c r="K187" s="102" t="str">
        <f>IF(A187&amp;B187="","",VLOOKUP(A187&amp;B187,INSUMOS!C:G,5,0))</f>
        <v>MO</v>
      </c>
    </row>
    <row r="188" spans="1:17" ht="12.95" customHeight="1" x14ac:dyDescent="0.25">
      <c r="A188" s="109" t="s">
        <v>4398</v>
      </c>
      <c r="B188" s="116">
        <v>10116</v>
      </c>
      <c r="C188" s="518" t="str">
        <f>IF(A188&amp;B188="","",VLOOKUP(A188&amp;B188,INSUMOS!C:G,2,0))</f>
        <v>Ajudante eletricista</v>
      </c>
      <c r="D188" s="519"/>
      <c r="E188" s="117" t="str">
        <f>IF(A188&amp;B188="","",VLOOKUP(A188&amp;B188,INSUMOS!C:G,3,0))</f>
        <v>h</v>
      </c>
      <c r="F188" s="118">
        <v>12</v>
      </c>
      <c r="G188" s="113">
        <f>IF(A188&amp;B188="","",VLOOKUP(A188&amp;B188,INSUMOS!C:G,4,0))</f>
        <v>10.985028</v>
      </c>
      <c r="H188" s="119">
        <f t="shared" si="30"/>
        <v>131.82</v>
      </c>
      <c r="I188" s="119" t="str">
        <f t="shared" si="31"/>
        <v/>
      </c>
      <c r="J188" s="115" t="str">
        <f t="shared" si="32"/>
        <v/>
      </c>
      <c r="K188" s="102" t="str">
        <f>IF(A188&amp;B188="","",VLOOKUP(A188&amp;B188,INSUMOS!C:G,5,0))</f>
        <v>MO</v>
      </c>
    </row>
    <row r="189" spans="1:17" ht="12.95" customHeight="1" x14ac:dyDescent="0.25">
      <c r="A189" s="109" t="s">
        <v>4398</v>
      </c>
      <c r="B189" s="116">
        <v>10121</v>
      </c>
      <c r="C189" s="518" t="str">
        <f>IF(A189&amp;B189="","",VLOOKUP(A189&amp;B189,INSUMOS!C:G,2,0))</f>
        <v>Ferreiro/armador</v>
      </c>
      <c r="D189" s="519"/>
      <c r="E189" s="117" t="str">
        <f>IF(A189&amp;B189="","",VLOOKUP(A189&amp;B189,INSUMOS!C:G,3,0))</f>
        <v>h</v>
      </c>
      <c r="F189" s="118">
        <v>0.2</v>
      </c>
      <c r="G189" s="113">
        <f>IF(A189&amp;B189="","",VLOOKUP(A189&amp;B189,INSUMOS!C:G,4,0))</f>
        <v>13.692331000000001</v>
      </c>
      <c r="H189" s="119">
        <f t="shared" si="30"/>
        <v>2.73</v>
      </c>
      <c r="I189" s="119" t="str">
        <f t="shared" si="31"/>
        <v/>
      </c>
      <c r="J189" s="115" t="str">
        <f t="shared" si="32"/>
        <v/>
      </c>
      <c r="K189" s="102" t="str">
        <f>IF(A189&amp;B189="","",VLOOKUP(A189&amp;B189,INSUMOS!C:G,5,0))</f>
        <v>MO</v>
      </c>
    </row>
    <row r="190" spans="1:17" ht="12.95" customHeight="1" x14ac:dyDescent="0.25">
      <c r="A190" s="109" t="s">
        <v>4398</v>
      </c>
      <c r="B190" s="116">
        <v>10122</v>
      </c>
      <c r="C190" s="518" t="str">
        <f>IF(A190&amp;B190="","",VLOOKUP(A190&amp;B190,INSUMOS!C:G,2,0))</f>
        <v>Ajudante de ferreiro</v>
      </c>
      <c r="D190" s="519"/>
      <c r="E190" s="117" t="str">
        <f>IF(A190&amp;B190="","",VLOOKUP(A190&amp;B190,INSUMOS!C:G,3,0))</f>
        <v>h</v>
      </c>
      <c r="F190" s="118">
        <v>0.2</v>
      </c>
      <c r="G190" s="113">
        <f>IF(A190&amp;B190="","",VLOOKUP(A190&amp;B190,INSUMOS!C:G,4,0))</f>
        <v>10.985028</v>
      </c>
      <c r="H190" s="119">
        <f t="shared" si="30"/>
        <v>2.19</v>
      </c>
      <c r="I190" s="119" t="str">
        <f t="shared" si="31"/>
        <v/>
      </c>
      <c r="J190" s="115" t="str">
        <f t="shared" si="32"/>
        <v/>
      </c>
      <c r="K190" s="102" t="str">
        <f>IF(A190&amp;B190="","",VLOOKUP(A190&amp;B190,INSUMOS!C:G,5,0))</f>
        <v>MO</v>
      </c>
    </row>
    <row r="191" spans="1:17" ht="12.95" customHeight="1" x14ac:dyDescent="0.25">
      <c r="A191" s="109" t="s">
        <v>4398</v>
      </c>
      <c r="B191" s="116">
        <v>10139</v>
      </c>
      <c r="C191" s="518" t="str">
        <f>IF(A191&amp;B191="","",VLOOKUP(A191&amp;B191,INSUMOS!C:G,2,0))</f>
        <v xml:space="preserve">Pedreiro </v>
      </c>
      <c r="D191" s="519"/>
      <c r="E191" s="117" t="str">
        <f>IF(A191&amp;B191="","",VLOOKUP(A191&amp;B191,INSUMOS!C:G,3,0))</f>
        <v>h</v>
      </c>
      <c r="F191" s="118">
        <v>5.5571999999999999</v>
      </c>
      <c r="G191" s="113">
        <f>IF(A191&amp;B191="","",VLOOKUP(A191&amp;B191,INSUMOS!C:G,4,0))</f>
        <v>13.731285</v>
      </c>
      <c r="H191" s="119">
        <f t="shared" si="30"/>
        <v>76.3</v>
      </c>
      <c r="I191" s="119" t="str">
        <f t="shared" si="31"/>
        <v/>
      </c>
      <c r="J191" s="115" t="str">
        <f t="shared" si="32"/>
        <v/>
      </c>
      <c r="K191" s="102" t="str">
        <f>IF(A191&amp;B191="","",VLOOKUP(A191&amp;B191,INSUMOS!C:G,5,0))</f>
        <v>MO</v>
      </c>
    </row>
    <row r="192" spans="1:17" ht="12.95" customHeight="1" x14ac:dyDescent="0.25">
      <c r="A192" s="109" t="s">
        <v>4398</v>
      </c>
      <c r="B192" s="116">
        <v>10140</v>
      </c>
      <c r="C192" s="518" t="str">
        <f>IF(A192&amp;B192="","",VLOOKUP(A192&amp;B192,INSUMOS!C:G,2,0))</f>
        <v>Pintor</v>
      </c>
      <c r="D192" s="519"/>
      <c r="E192" s="117" t="str">
        <f>IF(A192&amp;B192="","",VLOOKUP(A192&amp;B192,INSUMOS!C:G,3,0))</f>
        <v>h</v>
      </c>
      <c r="F192" s="118">
        <v>1.39</v>
      </c>
      <c r="G192" s="113">
        <f>IF(A192&amp;B192="","",VLOOKUP(A192&amp;B192,INSUMOS!C:G,4,0))</f>
        <v>14.198733000000001</v>
      </c>
      <c r="H192" s="119">
        <f t="shared" si="30"/>
        <v>19.73</v>
      </c>
      <c r="I192" s="119" t="str">
        <f t="shared" si="31"/>
        <v/>
      </c>
      <c r="J192" s="115" t="str">
        <f t="shared" si="32"/>
        <v/>
      </c>
      <c r="K192" s="102" t="str">
        <f>IF(A192&amp;B192="","",VLOOKUP(A192&amp;B192,INSUMOS!C:G,5,0))</f>
        <v>MO</v>
      </c>
    </row>
    <row r="193" spans="1:11" ht="12.95" customHeight="1" x14ac:dyDescent="0.25">
      <c r="A193" s="109" t="s">
        <v>4398</v>
      </c>
      <c r="B193" s="116">
        <v>10141</v>
      </c>
      <c r="C193" s="518" t="str">
        <f>IF(A193&amp;B193="","",VLOOKUP(A193&amp;B193,INSUMOS!C:G,2,0))</f>
        <v xml:space="preserve">Ajudante de pintor </v>
      </c>
      <c r="D193" s="519"/>
      <c r="E193" s="117" t="str">
        <f>IF(A193&amp;B193="","",VLOOKUP(A193&amp;B193,INSUMOS!C:G,3,0))</f>
        <v>h</v>
      </c>
      <c r="F193" s="118">
        <v>0.09</v>
      </c>
      <c r="G193" s="113">
        <f>IF(A193&amp;B193="","",VLOOKUP(A193&amp;B193,INSUMOS!C:G,4,0))</f>
        <v>10.985028</v>
      </c>
      <c r="H193" s="119">
        <f t="shared" si="30"/>
        <v>0.98</v>
      </c>
      <c r="I193" s="119" t="str">
        <f t="shared" si="31"/>
        <v/>
      </c>
      <c r="J193" s="115" t="str">
        <f t="shared" si="32"/>
        <v/>
      </c>
      <c r="K193" s="102" t="str">
        <f>IF(A193&amp;B193="","",VLOOKUP(A193&amp;B193,INSUMOS!C:G,5,0))</f>
        <v>MO</v>
      </c>
    </row>
    <row r="194" spans="1:11" ht="12.95" customHeight="1" x14ac:dyDescent="0.25">
      <c r="A194" s="109" t="s">
        <v>4398</v>
      </c>
      <c r="B194" s="116">
        <v>10146</v>
      </c>
      <c r="C194" s="518" t="str">
        <f>IF(A194&amp;B194="","",VLOOKUP(A194&amp;B194,INSUMOS!C:G,2,0))</f>
        <v>Servente</v>
      </c>
      <c r="D194" s="519"/>
      <c r="E194" s="117" t="str">
        <f>IF(A194&amp;B194="","",VLOOKUP(A194&amp;B194,INSUMOS!C:G,3,0))</f>
        <v>h</v>
      </c>
      <c r="F194" s="118">
        <v>8.2766000000000002</v>
      </c>
      <c r="G194" s="113">
        <f>IF(A194&amp;B194="","",VLOOKUP(A194&amp;B194,INSUMOS!C:G,4,0))</f>
        <v>11.335614</v>
      </c>
      <c r="H194" s="119">
        <f t="shared" si="30"/>
        <v>93.82</v>
      </c>
      <c r="I194" s="119" t="str">
        <f t="shared" si="31"/>
        <v/>
      </c>
      <c r="J194" s="115" t="str">
        <f t="shared" si="32"/>
        <v/>
      </c>
      <c r="K194" s="102" t="str">
        <f>IF(A194&amp;B194="","",VLOOKUP(A194&amp;B194,INSUMOS!C:G,5,0))</f>
        <v>MO</v>
      </c>
    </row>
    <row r="195" spans="1:11" ht="12.95" customHeight="1" x14ac:dyDescent="0.25">
      <c r="A195" s="109" t="s">
        <v>4398</v>
      </c>
      <c r="B195" s="121" t="s">
        <v>5102</v>
      </c>
      <c r="C195" s="518" t="str">
        <f>IF(A195&amp;B195="","",VLOOKUP(A195&amp;B195,INSUMOS!C:G,2,0))</f>
        <v>Areia média lavada (a granel caçamba fechada)</v>
      </c>
      <c r="D195" s="519"/>
      <c r="E195" s="117" t="str">
        <f>IF(A195&amp;B195="","",VLOOKUP(A195&amp;B195,INSUMOS!C:G,3,0))</f>
        <v>m³</v>
      </c>
      <c r="F195" s="118">
        <v>0.24515999999999999</v>
      </c>
      <c r="G195" s="122">
        <f>IF(A195&amp;B195="","",VLOOKUP(A195&amp;B195,INSUMOS!C:G,4,0))</f>
        <v>73.73</v>
      </c>
      <c r="H195" s="119" t="str">
        <f t="shared" ref="H195:H197" si="33">IF(K195="MO",TRUNC(F195*G195,2),"")</f>
        <v/>
      </c>
      <c r="I195" s="119">
        <f t="shared" ref="I195:I197" si="34">IF(K195="MT",TRUNC(F195*G195,2),"")</f>
        <v>18.07</v>
      </c>
      <c r="J195" s="115" t="str">
        <f t="shared" ref="J195:J197" si="35">IF(K195="EQ",TRUNC(F195*G195,2),"")</f>
        <v/>
      </c>
      <c r="K195" s="102" t="str">
        <f>IF(A195&amp;B195="","",VLOOKUP(A195&amp;B195,INSUMOS!C:G,5,0))</f>
        <v>MT</v>
      </c>
    </row>
    <row r="196" spans="1:11" ht="12.95" customHeight="1" x14ac:dyDescent="0.25">
      <c r="A196" s="109" t="s">
        <v>4398</v>
      </c>
      <c r="B196" s="121" t="s">
        <v>5103</v>
      </c>
      <c r="C196" s="518" t="str">
        <f>IF(A196&amp;B196="","",VLOOKUP(A196&amp;B196,INSUMOS!C:G,2,0))</f>
        <v>Cal hidratada (saco de 20 kg)</v>
      </c>
      <c r="D196" s="519"/>
      <c r="E196" s="117" t="str">
        <f>IF(A196&amp;B196="","",VLOOKUP(A196&amp;B196,INSUMOS!C:G,3,0))</f>
        <v>kg</v>
      </c>
      <c r="F196" s="118">
        <v>36.783999999999999</v>
      </c>
      <c r="G196" s="122">
        <f>IF(A196&amp;B196="","",VLOOKUP(A196&amp;B196,INSUMOS!C:G,4,0))</f>
        <v>0.42</v>
      </c>
      <c r="H196" s="119" t="str">
        <f t="shared" si="33"/>
        <v/>
      </c>
      <c r="I196" s="119">
        <f t="shared" si="34"/>
        <v>15.44</v>
      </c>
      <c r="J196" s="115" t="str">
        <f t="shared" si="35"/>
        <v/>
      </c>
      <c r="K196" s="102" t="str">
        <f>IF(A196&amp;B196="","",VLOOKUP(A196&amp;B196,INSUMOS!C:G,5,0))</f>
        <v>MT</v>
      </c>
    </row>
    <row r="197" spans="1:11" ht="12.95" customHeight="1" x14ac:dyDescent="0.25">
      <c r="A197" s="109" t="s">
        <v>4398</v>
      </c>
      <c r="B197" s="121" t="s">
        <v>5104</v>
      </c>
      <c r="C197" s="518" t="str">
        <f>IF(A197&amp;B197="","",VLOOKUP(A197&amp;B197,INSUMOS!C:G,2,0))</f>
        <v>Cimento CPII-E-32 (sacos de 50 kg)</v>
      </c>
      <c r="D197" s="519"/>
      <c r="E197" s="117" t="str">
        <f>IF(A197&amp;B197="","",VLOOKUP(A197&amp;B197,INSUMOS!C:G,3,0))</f>
        <v>kg</v>
      </c>
      <c r="F197" s="118">
        <v>27.9848</v>
      </c>
      <c r="G197" s="122">
        <f>IF(A197&amp;B197="","",VLOOKUP(A197&amp;B197,INSUMOS!C:G,4,0))</f>
        <v>0.46</v>
      </c>
      <c r="H197" s="119" t="str">
        <f t="shared" si="33"/>
        <v/>
      </c>
      <c r="I197" s="119">
        <f t="shared" si="34"/>
        <v>12.87</v>
      </c>
      <c r="J197" s="115" t="str">
        <f t="shared" si="35"/>
        <v/>
      </c>
      <c r="K197" s="102" t="str">
        <f>IF(A197&amp;B197="","",VLOOKUP(A197&amp;B197,INSUMOS!C:G,5,0))</f>
        <v>MT</v>
      </c>
    </row>
    <row r="198" spans="1:11" ht="12.95" customHeight="1" x14ac:dyDescent="0.25">
      <c r="A198" s="109" t="s">
        <v>4398</v>
      </c>
      <c r="B198" s="121" t="s">
        <v>5105</v>
      </c>
      <c r="C198" s="518" t="str">
        <f>IF(A198&amp;B198="","",VLOOKUP(A198&amp;B198,INSUMOS!C:G,2,0))</f>
        <v>Pedra britada nº médios 1.2.3 e 4 (a granel)</v>
      </c>
      <c r="D198" s="519"/>
      <c r="E198" s="117" t="str">
        <f>IF(A198&amp;B198="","",VLOOKUP(A198&amp;B198,INSUMOS!C:G,3,0))</f>
        <v>m³</v>
      </c>
      <c r="F198" s="118">
        <v>4.9000000000000002E-2</v>
      </c>
      <c r="G198" s="122">
        <f>IF(A198&amp;B198="","",VLOOKUP(A198&amp;B198,INSUMOS!C:G,4,0))</f>
        <v>69.64</v>
      </c>
      <c r="H198" s="119" t="str">
        <f t="shared" si="30"/>
        <v/>
      </c>
      <c r="I198" s="119">
        <f t="shared" si="31"/>
        <v>3.41</v>
      </c>
      <c r="J198" s="115" t="str">
        <f t="shared" si="32"/>
        <v/>
      </c>
      <c r="K198" s="102" t="str">
        <f>IF(A198&amp;B198="","",VLOOKUP(A198&amp;B198,INSUMOS!C:G,5,0))</f>
        <v>MT</v>
      </c>
    </row>
    <row r="199" spans="1:11" ht="12.95" customHeight="1" x14ac:dyDescent="0.25">
      <c r="A199" s="109" t="s">
        <v>4398</v>
      </c>
      <c r="B199" s="121">
        <v>21014</v>
      </c>
      <c r="C199" s="518" t="str">
        <f>IF(A199&amp;B199="","",VLOOKUP(A199&amp;B199,INSUMOS!C:G,2,0))</f>
        <v>Sarrafo de cedrinho 2,5 x 5 cm</v>
      </c>
      <c r="D199" s="519"/>
      <c r="E199" s="117" t="str">
        <f>IF(A199&amp;B199="","",VLOOKUP(A199&amp;B199,INSUMOS!C:G,3,0))</f>
        <v>m</v>
      </c>
      <c r="F199" s="118">
        <v>0.52</v>
      </c>
      <c r="G199" s="122">
        <f>IF(A199&amp;B199="","",VLOOKUP(A199&amp;B199,INSUMOS!C:G,4,0))</f>
        <v>2.0299999999999998</v>
      </c>
      <c r="H199" s="119" t="str">
        <f t="shared" si="30"/>
        <v/>
      </c>
      <c r="I199" s="119">
        <f t="shared" si="31"/>
        <v>1.05</v>
      </c>
      <c r="J199" s="115" t="str">
        <f t="shared" si="32"/>
        <v/>
      </c>
      <c r="K199" s="102" t="str">
        <f>IF(A199&amp;B199="","",VLOOKUP(A199&amp;B199,INSUMOS!C:G,5,0))</f>
        <v>MT</v>
      </c>
    </row>
    <row r="200" spans="1:11" ht="12.95" customHeight="1" x14ac:dyDescent="0.25">
      <c r="A200" s="109" t="s">
        <v>4398</v>
      </c>
      <c r="B200" s="121" t="s">
        <v>5149</v>
      </c>
      <c r="C200" s="518" t="str">
        <f>IF(A200&amp;B200="","",VLOOKUP(A200&amp;B200,INSUMOS!C:G,2,0))</f>
        <v>Tábua cedrinho 25 mm x 300 mm de 3ª</v>
      </c>
      <c r="D200" s="519"/>
      <c r="E200" s="117" t="str">
        <f>IF(A200&amp;B200="","",VLOOKUP(A200&amp;B200,INSUMOS!C:G,3,0))</f>
        <v>m²</v>
      </c>
      <c r="F200" s="118">
        <v>0.13</v>
      </c>
      <c r="G200" s="122">
        <f>IF(A200&amp;B200="","",VLOOKUP(A200&amp;B200,INSUMOS!C:G,4,0))</f>
        <v>42.24</v>
      </c>
      <c r="H200" s="119" t="str">
        <f t="shared" si="30"/>
        <v/>
      </c>
      <c r="I200" s="119">
        <f t="shared" si="31"/>
        <v>5.49</v>
      </c>
      <c r="J200" s="115" t="str">
        <f t="shared" si="32"/>
        <v/>
      </c>
      <c r="K200" s="102" t="str">
        <f>IF(A200&amp;B200="","",VLOOKUP(A200&amp;B200,INSUMOS!C:G,5,0))</f>
        <v>MT</v>
      </c>
    </row>
    <row r="201" spans="1:11" ht="12.95" customHeight="1" x14ac:dyDescent="0.25">
      <c r="A201" s="109" t="s">
        <v>4398</v>
      </c>
      <c r="B201" s="121" t="s">
        <v>5106</v>
      </c>
      <c r="C201" s="518" t="str">
        <f>IF(A201&amp;B201="","",VLOOKUP(A201&amp;B201,INSUMOS!C:G,2,0))</f>
        <v>Aço CA-60-B $MD bitolas</v>
      </c>
      <c r="D201" s="519"/>
      <c r="E201" s="117" t="str">
        <f>IF(A201&amp;B201="","",VLOOKUP(A201&amp;B201,INSUMOS!C:G,3,0))</f>
        <v>kg</v>
      </c>
      <c r="F201" s="118">
        <v>2.25</v>
      </c>
      <c r="G201" s="122">
        <f>IF(A201&amp;B201="","",VLOOKUP(A201&amp;B201,INSUMOS!C:G,4,0))</f>
        <v>3.1</v>
      </c>
      <c r="H201" s="119" t="str">
        <f t="shared" ref="H201:H203" si="36">IF(K201="MO",TRUNC(F201*G201,2),"")</f>
        <v/>
      </c>
      <c r="I201" s="119">
        <f t="shared" ref="I201:I203" si="37">IF(K201="MT",TRUNC(F201*G201,2),"")</f>
        <v>6.97</v>
      </c>
      <c r="J201" s="115" t="str">
        <f t="shared" ref="J201:J203" si="38">IF(K201="EQ",TRUNC(F201*G201,2),"")</f>
        <v/>
      </c>
      <c r="K201" s="102" t="str">
        <f>IF(A201&amp;B201="","",VLOOKUP(A201&amp;B201,INSUMOS!C:G,5,0))</f>
        <v>MT</v>
      </c>
    </row>
    <row r="202" spans="1:11" ht="12.95" customHeight="1" x14ac:dyDescent="0.25">
      <c r="A202" s="109" t="s">
        <v>4398</v>
      </c>
      <c r="B202" s="121">
        <v>22509</v>
      </c>
      <c r="C202" s="518" t="str">
        <f>IF(A202&amp;B202="","",VLOOKUP(A202&amp;B202,INSUMOS!C:G,2,0))</f>
        <v>Bloco de concreto de vedação 19 x 19 x 39 cm, uso revestido - 3 Mpa</v>
      </c>
      <c r="D202" s="519"/>
      <c r="E202" s="117" t="str">
        <f>IF(A202&amp;B202="","",VLOOKUP(A202&amp;B202,INSUMOS!C:G,3,0))</f>
        <v>un</v>
      </c>
      <c r="F202" s="118">
        <v>67</v>
      </c>
      <c r="G202" s="122">
        <f>IF(A202&amp;B202="","",VLOOKUP(A202&amp;B202,INSUMOS!C:G,4,0))</f>
        <v>2.2999999999999998</v>
      </c>
      <c r="H202" s="119" t="str">
        <f t="shared" si="36"/>
        <v/>
      </c>
      <c r="I202" s="119">
        <f t="shared" si="37"/>
        <v>154.1</v>
      </c>
      <c r="J202" s="115" t="str">
        <f t="shared" si="38"/>
        <v/>
      </c>
      <c r="K202" s="102" t="str">
        <f>IF(A202&amp;B202="","",VLOOKUP(A202&amp;B202,INSUMOS!C:G,5,0))</f>
        <v>MT</v>
      </c>
    </row>
    <row r="203" spans="1:11" ht="12.95" customHeight="1" x14ac:dyDescent="0.25">
      <c r="A203" s="109" t="s">
        <v>4398</v>
      </c>
      <c r="B203" s="121" t="s">
        <v>5107</v>
      </c>
      <c r="C203" s="518" t="str">
        <f>IF(A203&amp;B203="","",VLOOKUP(A203&amp;B203,INSUMOS!C:G,2,0))</f>
        <v>Prego diversas bitolas (referência 18 x 27)</v>
      </c>
      <c r="D203" s="519"/>
      <c r="E203" s="117" t="str">
        <f>IF(A203&amp;B203="","",VLOOKUP(A203&amp;B203,INSUMOS!C:G,3,0))</f>
        <v>kg</v>
      </c>
      <c r="F203" s="118">
        <v>0.05</v>
      </c>
      <c r="G203" s="122">
        <f>IF(A203&amp;B203="","",VLOOKUP(A203&amp;B203,INSUMOS!C:G,4,0))</f>
        <v>5.0999999999999996</v>
      </c>
      <c r="H203" s="119" t="str">
        <f t="shared" si="36"/>
        <v/>
      </c>
      <c r="I203" s="119">
        <f t="shared" si="37"/>
        <v>0.25</v>
      </c>
      <c r="J203" s="115" t="str">
        <f t="shared" si="38"/>
        <v/>
      </c>
      <c r="K203" s="102" t="str">
        <f>IF(A203&amp;B203="","",VLOOKUP(A203&amp;B203,INSUMOS!C:G,5,0))</f>
        <v>MT</v>
      </c>
    </row>
    <row r="204" spans="1:11" ht="12.95" customHeight="1" x14ac:dyDescent="0.25">
      <c r="A204" s="109" t="s">
        <v>4398</v>
      </c>
      <c r="B204" s="121" t="s">
        <v>5108</v>
      </c>
      <c r="C204" s="518" t="str">
        <f>IF(A204&amp;B204="","",VLOOKUP(A204&amp;B204,INSUMOS!C:G,2,0))</f>
        <v>Arame recozido nº 18 BWG</v>
      </c>
      <c r="D204" s="519"/>
      <c r="E204" s="117" t="str">
        <f>IF(A204&amp;B204="","",VLOOKUP(A204&amp;B204,INSUMOS!C:G,3,0))</f>
        <v>kg</v>
      </c>
      <c r="F204" s="118">
        <v>0.04</v>
      </c>
      <c r="G204" s="122">
        <f>IF(A204&amp;B204="","",VLOOKUP(A204&amp;B204,INSUMOS!C:G,4,0))</f>
        <v>6.34</v>
      </c>
      <c r="H204" s="119" t="str">
        <f t="shared" si="30"/>
        <v/>
      </c>
      <c r="I204" s="119">
        <f t="shared" si="31"/>
        <v>0.25</v>
      </c>
      <c r="J204" s="115" t="str">
        <f t="shared" si="32"/>
        <v/>
      </c>
      <c r="K204" s="102" t="str">
        <f>IF(A204&amp;B204="","",VLOOKUP(A204&amp;B204,INSUMOS!C:G,5,0))</f>
        <v>MT</v>
      </c>
    </row>
    <row r="205" spans="1:11" ht="26.1" customHeight="1" x14ac:dyDescent="0.25">
      <c r="A205" s="109" t="s">
        <v>4398</v>
      </c>
      <c r="B205" s="121" t="s">
        <v>5144</v>
      </c>
      <c r="C205" s="518" t="str">
        <f>IF(A205&amp;B205="","",VLOOKUP(A205&amp;B205,INSUMOS!C:G,2,0))</f>
        <v>Tinta esmalte sintético alto brilho, grafite metálico, para estrutura metálica, ref. Sherwin Willians, Metalatex, ou equivalente</v>
      </c>
      <c r="D205" s="519"/>
      <c r="E205" s="117" t="str">
        <f>IF(A205&amp;B205="","",VLOOKUP(A205&amp;B205,INSUMOS!C:G,3,0))</f>
        <v>l</v>
      </c>
      <c r="F205" s="118">
        <v>7.4999999999999997E-2</v>
      </c>
      <c r="G205" s="122">
        <f>IF(A205&amp;B205="","",VLOOKUP(A205&amp;B205,INSUMOS!C:G,4,0))</f>
        <v>15.03</v>
      </c>
      <c r="H205" s="119" t="str">
        <f t="shared" ref="H205" si="39">IF(K205="MO",TRUNC(F205*G205,2),"")</f>
        <v/>
      </c>
      <c r="I205" s="119">
        <f t="shared" ref="I205" si="40">IF(K205="MT",TRUNC(F205*G205,2),"")</f>
        <v>1.1200000000000001</v>
      </c>
      <c r="J205" s="115" t="str">
        <f t="shared" ref="J205" si="41">IF(K205="EQ",TRUNC(F205*G205,2),"")</f>
        <v/>
      </c>
      <c r="K205" s="102" t="str">
        <f>IF(A205&amp;B205="","",VLOOKUP(A205&amp;B205,INSUMOS!C:G,5,0))</f>
        <v>MT</v>
      </c>
    </row>
    <row r="206" spans="1:11" ht="12.95" customHeight="1" x14ac:dyDescent="0.25">
      <c r="A206" s="109" t="s">
        <v>4398</v>
      </c>
      <c r="B206" s="121" t="s">
        <v>5109</v>
      </c>
      <c r="C206" s="518" t="str">
        <f>IF(A206&amp;B206="","",VLOOKUP(A206&amp;B206,INSUMOS!C:G,2,0))</f>
        <v>Sherwin Willian, Metalatex (Fusecolor) ou equivalente</v>
      </c>
      <c r="D206" s="519"/>
      <c r="E206" s="117" t="str">
        <f>IF(A206&amp;B206="","",VLOOKUP(A206&amp;B206,INSUMOS!C:G,3,0))</f>
        <v>l</v>
      </c>
      <c r="F206" s="118">
        <v>0.85499999999999998</v>
      </c>
      <c r="G206" s="122">
        <f>IF(A206&amp;B206="","",VLOOKUP(A206&amp;B206,INSUMOS!C:G,4,0))</f>
        <v>12.55</v>
      </c>
      <c r="H206" s="119" t="str">
        <f t="shared" si="30"/>
        <v/>
      </c>
      <c r="I206" s="119">
        <f t="shared" si="31"/>
        <v>10.73</v>
      </c>
      <c r="J206" s="115" t="str">
        <f t="shared" si="32"/>
        <v/>
      </c>
      <c r="K206" s="102" t="str">
        <f>IF(A206&amp;B206="","",VLOOKUP(A206&amp;B206,INSUMOS!C:G,5,0))</f>
        <v>MT</v>
      </c>
    </row>
    <row r="207" spans="1:11" ht="12.95" customHeight="1" x14ac:dyDescent="0.25">
      <c r="A207" s="109" t="s">
        <v>4398</v>
      </c>
      <c r="B207" s="121" t="s">
        <v>5110</v>
      </c>
      <c r="C207" s="518" t="str">
        <f>IF(A207&amp;B207="","",VLOOKUP(A207&amp;B207,INSUMOS!C:G,2,0))</f>
        <v>Selador para pintura latex</v>
      </c>
      <c r="D207" s="519"/>
      <c r="E207" s="117" t="str">
        <f>IF(A207&amp;B207="","",VLOOKUP(A207&amp;B207,INSUMOS!C:G,3,0))</f>
        <v>l</v>
      </c>
      <c r="F207" s="118">
        <v>0.68400000000000005</v>
      </c>
      <c r="G207" s="122">
        <f>IF(A207&amp;B207="","",VLOOKUP(A207&amp;B207,INSUMOS!C:G,4,0))</f>
        <v>6.65</v>
      </c>
      <c r="H207" s="119" t="str">
        <f t="shared" si="30"/>
        <v/>
      </c>
      <c r="I207" s="119">
        <f t="shared" si="31"/>
        <v>4.54</v>
      </c>
      <c r="J207" s="115" t="str">
        <f t="shared" si="32"/>
        <v/>
      </c>
      <c r="K207" s="102" t="str">
        <f>IF(A207&amp;B207="","",VLOOKUP(A207&amp;B207,INSUMOS!C:G,5,0))</f>
        <v>MT</v>
      </c>
    </row>
    <row r="208" spans="1:11" ht="12.95" customHeight="1" x14ac:dyDescent="0.25">
      <c r="A208" s="109" t="s">
        <v>4398</v>
      </c>
      <c r="B208" s="121" t="s">
        <v>5145</v>
      </c>
      <c r="C208" s="518" t="str">
        <f>IF(A208&amp;B208="","",VLOOKUP(A208&amp;B208,INSUMOS!C:G,2,0))</f>
        <v>Lixa para ferro e metais Norton N° 80, ou equivalente</v>
      </c>
      <c r="D208" s="519"/>
      <c r="E208" s="117" t="str">
        <f>IF(A208&amp;B208="","",VLOOKUP(A208&amp;B208,INSUMOS!C:G,3,0))</f>
        <v>un</v>
      </c>
      <c r="F208" s="118">
        <v>2</v>
      </c>
      <c r="G208" s="122">
        <f>IF(A208&amp;B208="","",VLOOKUP(A208&amp;B208,INSUMOS!C:G,4,0))</f>
        <v>2</v>
      </c>
      <c r="H208" s="119" t="str">
        <f t="shared" si="30"/>
        <v/>
      </c>
      <c r="I208" s="119">
        <f t="shared" si="31"/>
        <v>4</v>
      </c>
      <c r="J208" s="115" t="str">
        <f t="shared" si="32"/>
        <v/>
      </c>
      <c r="K208" s="102" t="str">
        <f>IF(A208&amp;B208="","",VLOOKUP(A208&amp;B208,INSUMOS!C:G,5,0))</f>
        <v>MT</v>
      </c>
    </row>
    <row r="209" spans="1:17" ht="12.95" customHeight="1" x14ac:dyDescent="0.25">
      <c r="A209" s="109" t="s">
        <v>4398</v>
      </c>
      <c r="B209" s="121" t="s">
        <v>5146</v>
      </c>
      <c r="C209" s="518" t="str">
        <f>IF(A209&amp;B209="","",VLOOKUP(A209&amp;B209,INSUMOS!C:G,2,0))</f>
        <v>Zarcão, ref. Zarcoral fabricação Coral - Zarcão Internacional ou equivalente</v>
      </c>
      <c r="D209" s="519"/>
      <c r="E209" s="117" t="str">
        <f>IF(A209&amp;B209="","",VLOOKUP(A209&amp;B209,INSUMOS!C:G,3,0))</f>
        <v>l</v>
      </c>
      <c r="F209" s="118">
        <v>4.4999999999999998E-2</v>
      </c>
      <c r="G209" s="122">
        <f>IF(A209&amp;B209="","",VLOOKUP(A209&amp;B209,INSUMOS!C:G,4,0))</f>
        <v>23.33</v>
      </c>
      <c r="H209" s="119" t="str">
        <f t="shared" ref="H209" si="42">IF(K209="MO",TRUNC(F209*G209,2),"")</f>
        <v/>
      </c>
      <c r="I209" s="119">
        <f t="shared" ref="I209" si="43">IF(K209="MT",TRUNC(F209*G209,2),"")</f>
        <v>1.04</v>
      </c>
      <c r="J209" s="115" t="str">
        <f t="shared" ref="J209" si="44">IF(K209="EQ",TRUNC(F209*G209,2),"")</f>
        <v/>
      </c>
      <c r="K209" s="102" t="str">
        <f>IF(A209&amp;B209="","",VLOOKUP(A209&amp;B209,INSUMOS!C:G,5,0))</f>
        <v>MT</v>
      </c>
    </row>
    <row r="210" spans="1:17" ht="12.95" customHeight="1" x14ac:dyDescent="0.25">
      <c r="A210" s="109" t="s">
        <v>4398</v>
      </c>
      <c r="B210" s="121">
        <v>40104</v>
      </c>
      <c r="C210" s="518" t="str">
        <f>IF(A210&amp;B210="","",VLOOKUP(A210&amp;B210,INSUMOS!C:G,2,0))</f>
        <v>Poste concreto seção duplo ´T´, H= 7,50m p/90kgf</v>
      </c>
      <c r="D210" s="519"/>
      <c r="E210" s="117" t="str">
        <f>IF(A210&amp;B210="","",VLOOKUP(A210&amp;B210,INSUMOS!C:G,3,0))</f>
        <v>un</v>
      </c>
      <c r="F210" s="118">
        <v>1</v>
      </c>
      <c r="G210" s="122">
        <f>IF(A210&amp;B210="","",VLOOKUP(A210&amp;B210,INSUMOS!C:G,4,0))</f>
        <v>272.02</v>
      </c>
      <c r="H210" s="119" t="str">
        <f t="shared" ref="H210:H212" si="45">IF(K210="MO",TRUNC(F210*G210,2),"")</f>
        <v/>
      </c>
      <c r="I210" s="119">
        <f t="shared" ref="I210:I212" si="46">IF(K210="MT",TRUNC(F210*G210,2),"")</f>
        <v>272.02</v>
      </c>
      <c r="J210" s="115" t="str">
        <f t="shared" ref="J210:J212" si="47">IF(K210="EQ",TRUNC(F210*G210,2),"")</f>
        <v/>
      </c>
      <c r="K210" s="102" t="str">
        <f>IF(A210&amp;B210="","",VLOOKUP(A210&amp;B210,INSUMOS!C:G,5,0))</f>
        <v>MT</v>
      </c>
    </row>
    <row r="211" spans="1:17" ht="12.95" customHeight="1" x14ac:dyDescent="0.25">
      <c r="A211" s="109" t="s">
        <v>4398</v>
      </c>
      <c r="B211" s="121" t="s">
        <v>5111</v>
      </c>
      <c r="C211" s="518" t="str">
        <f>IF(A211&amp;B211="","",VLOOKUP(A211&amp;B211,INSUMOS!C:G,2,0))</f>
        <v>Isolador tipo roldana baixa tensão de 76 x 79 mm-</v>
      </c>
      <c r="D211" s="519"/>
      <c r="E211" s="117" t="str">
        <f>IF(A211&amp;B211="","",VLOOKUP(A211&amp;B211,INSUMOS!C:G,3,0))</f>
        <v>un</v>
      </c>
      <c r="F211" s="118">
        <v>1</v>
      </c>
      <c r="G211" s="122">
        <f>IF(A211&amp;B211="","",VLOOKUP(A211&amp;B211,INSUMOS!C:G,4,0))</f>
        <v>3.81</v>
      </c>
      <c r="H211" s="119" t="str">
        <f t="shared" si="45"/>
        <v/>
      </c>
      <c r="I211" s="119">
        <f t="shared" si="46"/>
        <v>3.81</v>
      </c>
      <c r="J211" s="115" t="str">
        <f t="shared" si="47"/>
        <v/>
      </c>
      <c r="K211" s="102" t="str">
        <f>IF(A211&amp;B211="","",VLOOKUP(A211&amp;B211,INSUMOS!C:G,5,0))</f>
        <v>MT</v>
      </c>
    </row>
    <row r="212" spans="1:17" ht="12.95" customHeight="1" x14ac:dyDescent="0.25">
      <c r="A212" s="109" t="s">
        <v>4398</v>
      </c>
      <c r="B212" s="121" t="s">
        <v>5147</v>
      </c>
      <c r="C212" s="518" t="str">
        <f>IF(A212&amp;B212="","",VLOOKUP(A212&amp;B212,INSUMOS!C:G,2,0))</f>
        <v>Caixa de proteção para TC, em chapa 14, (1000x750x300) mm, padrão CPFL</v>
      </c>
      <c r="D212" s="519"/>
      <c r="E212" s="117" t="str">
        <f>IF(A212&amp;B212="","",VLOOKUP(A212&amp;B212,INSUMOS!C:G,3,0))</f>
        <v>un</v>
      </c>
      <c r="F212" s="118">
        <v>1</v>
      </c>
      <c r="G212" s="122">
        <f>IF(A212&amp;B212="","",VLOOKUP(A212&amp;B212,INSUMOS!C:G,4,0))</f>
        <v>383.11</v>
      </c>
      <c r="H212" s="119" t="str">
        <f t="shared" si="45"/>
        <v/>
      </c>
      <c r="I212" s="119">
        <f t="shared" si="46"/>
        <v>383.11</v>
      </c>
      <c r="J212" s="115" t="str">
        <f t="shared" si="47"/>
        <v/>
      </c>
      <c r="K212" s="102" t="str">
        <f>IF(A212&amp;B212="","",VLOOKUP(A212&amp;B212,INSUMOS!C:G,5,0))</f>
        <v>MT</v>
      </c>
    </row>
    <row r="213" spans="1:17" ht="12.95" customHeight="1" x14ac:dyDescent="0.25">
      <c r="A213" s="109" t="s">
        <v>4701</v>
      </c>
      <c r="B213" s="121" t="s">
        <v>5114</v>
      </c>
      <c r="C213" s="518" t="str">
        <f>IF(A213&amp;B213="","",VLOOKUP(A213&amp;B213,INSUMOS!C:G,2,0))</f>
        <v>Molde classe R para conexão exotérmica</v>
      </c>
      <c r="D213" s="519"/>
      <c r="E213" s="117" t="str">
        <f>IF(A213&amp;B213="","",VLOOKUP(A213&amp;B213,INSUMOS!C:G,3,0))</f>
        <v>un</v>
      </c>
      <c r="F213" s="118">
        <v>0.02</v>
      </c>
      <c r="G213" s="122">
        <f>IF(A213&amp;B213="","",VLOOKUP(A213&amp;B213,INSUMOS!C:G,4,0))</f>
        <v>90.63</v>
      </c>
      <c r="H213" s="119" t="str">
        <f t="shared" si="30"/>
        <v/>
      </c>
      <c r="I213" s="119">
        <f t="shared" si="31"/>
        <v>1.81</v>
      </c>
      <c r="J213" s="115" t="str">
        <f t="shared" si="32"/>
        <v/>
      </c>
      <c r="K213" s="102" t="str">
        <f>IF(A213&amp;B213="","",VLOOKUP(A213&amp;B213,INSUMOS!C:G,5,0))</f>
        <v>MT</v>
      </c>
    </row>
    <row r="214" spans="1:17" ht="12.95" customHeight="1" x14ac:dyDescent="0.25">
      <c r="A214" s="109" t="s">
        <v>4701</v>
      </c>
      <c r="B214" s="121" t="s">
        <v>5115</v>
      </c>
      <c r="C214" s="518" t="str">
        <f>IF(A214&amp;B214="","",VLOOKUP(A214&amp;B214,INSUMOS!C:G,2,0))</f>
        <v>Alicate p/ molde classe R (conexão exotérmica)</v>
      </c>
      <c r="D214" s="519"/>
      <c r="E214" s="117" t="str">
        <f>IF(A214&amp;B214="","",VLOOKUP(A214&amp;B214,INSUMOS!C:G,3,0))</f>
        <v>un</v>
      </c>
      <c r="F214" s="118">
        <v>2E-3</v>
      </c>
      <c r="G214" s="122">
        <f>IF(A214&amp;B214="","",VLOOKUP(A214&amp;B214,INSUMOS!C:G,4,0))</f>
        <v>348.8</v>
      </c>
      <c r="H214" s="119" t="str">
        <f t="shared" si="30"/>
        <v/>
      </c>
      <c r="I214" s="119">
        <f t="shared" si="31"/>
        <v>0.69</v>
      </c>
      <c r="J214" s="115" t="str">
        <f t="shared" si="32"/>
        <v/>
      </c>
      <c r="K214" s="102" t="str">
        <f>IF(A214&amp;B214="","",VLOOKUP(A214&amp;B214,INSUMOS!C:G,5,0))</f>
        <v>MT</v>
      </c>
    </row>
    <row r="215" spans="1:17" ht="12.95" customHeight="1" x14ac:dyDescent="0.25">
      <c r="A215" s="109" t="s">
        <v>4701</v>
      </c>
      <c r="B215" s="121" t="s">
        <v>5116</v>
      </c>
      <c r="C215" s="518" t="str">
        <f>IF(A215&amp;B215="","",VLOOKUP(A215&amp;B215,INSUMOS!C:G,2,0))</f>
        <v>Cartucho p/ conexão exoterm. Cabo/haste/ p/cabo 50mm2</v>
      </c>
      <c r="D215" s="519"/>
      <c r="E215" s="117" t="str">
        <f>IF(A215&amp;B215="","",VLOOKUP(A215&amp;B215,INSUMOS!C:G,3,0))</f>
        <v>un</v>
      </c>
      <c r="F215" s="118">
        <v>1</v>
      </c>
      <c r="G215" s="122">
        <f>IF(A215&amp;B215="","",VLOOKUP(A215&amp;B215,INSUMOS!C:G,4,0))</f>
        <v>21.62</v>
      </c>
      <c r="H215" s="119" t="str">
        <f t="shared" si="30"/>
        <v/>
      </c>
      <c r="I215" s="119">
        <f t="shared" si="31"/>
        <v>21.62</v>
      </c>
      <c r="J215" s="115" t="str">
        <f t="shared" si="32"/>
        <v/>
      </c>
      <c r="K215" s="102" t="str">
        <f>IF(A215&amp;B215="","",VLOOKUP(A215&amp;B215,INSUMOS!C:G,5,0))</f>
        <v>MT</v>
      </c>
    </row>
    <row r="216" spans="1:17" ht="12.95" customHeight="1" x14ac:dyDescent="0.25">
      <c r="A216" s="109" t="s">
        <v>4701</v>
      </c>
      <c r="B216" s="121" t="s">
        <v>5117</v>
      </c>
      <c r="C216" s="518" t="str">
        <f>IF(A216&amp;B216="","",VLOOKUP(A216&amp;B216,INSUMOS!C:G,2,0))</f>
        <v>Haste coperweld 19mm (3/4)x3m</v>
      </c>
      <c r="D216" s="519"/>
      <c r="E216" s="117" t="str">
        <f>IF(A216&amp;B216="","",VLOOKUP(A216&amp;B216,INSUMOS!C:G,3,0))</f>
        <v>un</v>
      </c>
      <c r="F216" s="118">
        <v>1</v>
      </c>
      <c r="G216" s="122">
        <f>IF(A216&amp;B216="","",VLOOKUP(A216&amp;B216,INSUMOS!C:G,4,0))</f>
        <v>76.849999999999994</v>
      </c>
      <c r="H216" s="119" t="str">
        <f t="shared" si="30"/>
        <v/>
      </c>
      <c r="I216" s="119">
        <f t="shared" si="31"/>
        <v>76.849999999999994</v>
      </c>
      <c r="J216" s="115" t="str">
        <f t="shared" si="32"/>
        <v/>
      </c>
      <c r="K216" s="102" t="str">
        <f>IF(A216&amp;B216="","",VLOOKUP(A216&amp;B216,INSUMOS!C:G,5,0))</f>
        <v>MT</v>
      </c>
    </row>
    <row r="217" spans="1:17" ht="12.95" customHeight="1" x14ac:dyDescent="0.25">
      <c r="A217" s="109" t="s">
        <v>4701</v>
      </c>
      <c r="B217" s="121">
        <v>48050</v>
      </c>
      <c r="C217" s="518" t="str">
        <f>IF(A217&amp;B217="","",VLOOKUP(A217&amp;B217,INSUMOS!C:G,2,0))</f>
        <v>Caixa de inspeção p/ Terra (250x250x250)mm</v>
      </c>
      <c r="D217" s="519"/>
      <c r="E217" s="117" t="str">
        <f>IF(A217&amp;B217="","",VLOOKUP(A217&amp;B217,INSUMOS!C:G,3,0))</f>
        <v>un</v>
      </c>
      <c r="F217" s="118">
        <v>1</v>
      </c>
      <c r="G217" s="122">
        <f>IF(A217&amp;B217="","",VLOOKUP(A217&amp;B217,INSUMOS!C:G,4,0))</f>
        <v>29.94</v>
      </c>
      <c r="H217" s="119" t="str">
        <f t="shared" ref="H217:H219" si="48">IF(K217="MO",TRUNC(F217*G217,2),"")</f>
        <v/>
      </c>
      <c r="I217" s="119">
        <f t="shared" ref="I217:I219" si="49">IF(K217="MT",TRUNC(F217*G217,2),"")</f>
        <v>29.94</v>
      </c>
      <c r="J217" s="115" t="str">
        <f t="shared" ref="J217:J219" si="50">IF(K217="EQ",TRUNC(F217*G217,2),"")</f>
        <v/>
      </c>
      <c r="K217" s="102" t="str">
        <f>IF(A217&amp;B217="","",VLOOKUP(A217&amp;B217,INSUMOS!C:G,5,0))</f>
        <v>MT</v>
      </c>
    </row>
    <row r="218" spans="1:17" ht="12.95" customHeight="1" x14ac:dyDescent="0.25">
      <c r="A218" s="109" t="s">
        <v>4701</v>
      </c>
      <c r="B218" s="121" t="s">
        <v>5118</v>
      </c>
      <c r="C218" s="518" t="str">
        <f>IF(A218&amp;B218="","",VLOOKUP(A218&amp;B218,INSUMOS!C:G,2,0))</f>
        <v>Cinta aço zincado para poste concreto tubular 250mm</v>
      </c>
      <c r="D218" s="519"/>
      <c r="E218" s="117" t="str">
        <f>IF(A218&amp;B218="","",VLOOKUP(A218&amp;B218,INSUMOS!C:G,3,0))</f>
        <v>un</v>
      </c>
      <c r="F218" s="118">
        <v>2</v>
      </c>
      <c r="G218" s="122">
        <f>IF(A218&amp;B218="","",VLOOKUP(A218&amp;B218,INSUMOS!C:G,4,0))</f>
        <v>19.72</v>
      </c>
      <c r="H218" s="119" t="str">
        <f t="shared" si="48"/>
        <v/>
      </c>
      <c r="I218" s="119">
        <f t="shared" si="49"/>
        <v>39.44</v>
      </c>
      <c r="J218" s="115" t="str">
        <f t="shared" si="50"/>
        <v/>
      </c>
      <c r="K218" s="102" t="str">
        <f>IF(A218&amp;B218="","",VLOOKUP(A218&amp;B218,INSUMOS!C:G,5,0))</f>
        <v>MT</v>
      </c>
    </row>
    <row r="219" spans="1:17" ht="12.95" customHeight="1" x14ac:dyDescent="0.25">
      <c r="A219" s="109" t="s">
        <v>4398</v>
      </c>
      <c r="B219" s="121">
        <v>43502</v>
      </c>
      <c r="C219" s="518" t="str">
        <f>IF(A219&amp;B219="","",VLOOKUP(A219&amp;B219,INSUMOS!C:G,2,0))</f>
        <v>Armação secundária para 1 estribo</v>
      </c>
      <c r="D219" s="519"/>
      <c r="E219" s="117" t="str">
        <f>IF(A219&amp;B219="","",VLOOKUP(A219&amp;B219,INSUMOS!C:G,3,0))</f>
        <v>un</v>
      </c>
      <c r="F219" s="118">
        <v>1</v>
      </c>
      <c r="G219" s="122">
        <f>IF(A219&amp;B219="","",VLOOKUP(A219&amp;B219,INSUMOS!C:G,4,0))</f>
        <v>8.73</v>
      </c>
      <c r="H219" s="119" t="str">
        <f t="shared" si="48"/>
        <v/>
      </c>
      <c r="I219" s="119">
        <f t="shared" si="49"/>
        <v>8.73</v>
      </c>
      <c r="J219" s="115" t="str">
        <f t="shared" si="50"/>
        <v/>
      </c>
      <c r="K219" s="102" t="str">
        <f>IF(A219&amp;B219="","",VLOOKUP(A219&amp;B219,INSUMOS!C:G,5,0))</f>
        <v>MT</v>
      </c>
    </row>
    <row r="220" spans="1:17" ht="12.95" customHeight="1" x14ac:dyDescent="0.25">
      <c r="A220" s="123" t="s">
        <v>4399</v>
      </c>
      <c r="B220" s="520"/>
      <c r="C220" s="520"/>
      <c r="D220" s="520"/>
      <c r="E220" s="520"/>
      <c r="F220" s="521"/>
      <c r="G220" s="124" t="s">
        <v>50</v>
      </c>
      <c r="H220" s="125">
        <f>SUM(H185:H219)</f>
        <v>552.77</v>
      </c>
      <c r="I220" s="125">
        <f>SUM(I185:I219)</f>
        <v>1077.3499999999999</v>
      </c>
      <c r="J220" s="126">
        <f>SUM(J185:J219)</f>
        <v>0</v>
      </c>
    </row>
    <row r="221" spans="1:17" ht="15" x14ac:dyDescent="0.25">
      <c r="A221" s="127" t="s">
        <v>4400</v>
      </c>
      <c r="B221" s="128"/>
      <c r="C221" s="128"/>
      <c r="D221" s="127" t="s">
        <v>51</v>
      </c>
      <c r="E221" s="128"/>
      <c r="F221" s="129"/>
      <c r="G221" s="130" t="s">
        <v>55</v>
      </c>
      <c r="H221" s="131" t="s">
        <v>52</v>
      </c>
      <c r="I221" s="132"/>
      <c r="J221" s="125">
        <f>SUM(H220:J220)</f>
        <v>1630.12</v>
      </c>
    </row>
    <row r="222" spans="1:17" ht="15" x14ac:dyDescent="0.25">
      <c r="A222" s="313" t="str">
        <f>$I$3</f>
        <v>Carlos Wieck</v>
      </c>
      <c r="B222" s="133"/>
      <c r="C222" s="133"/>
      <c r="D222" s="134"/>
      <c r="E222" s="133"/>
      <c r="F222" s="135"/>
      <c r="G222" s="522">
        <f>$J$5</f>
        <v>43040</v>
      </c>
      <c r="H222" s="136" t="s">
        <v>53</v>
      </c>
      <c r="I222" s="137"/>
      <c r="J222" s="125">
        <f>TRUNC(I222*J221,2)</f>
        <v>0</v>
      </c>
    </row>
    <row r="223" spans="1:17" ht="15" x14ac:dyDescent="0.25">
      <c r="A223" s="314"/>
      <c r="B223" s="139"/>
      <c r="C223" s="139"/>
      <c r="D223" s="138"/>
      <c r="E223" s="139"/>
      <c r="F223" s="140"/>
      <c r="G223" s="523"/>
      <c r="H223" s="141" t="s">
        <v>54</v>
      </c>
      <c r="I223" s="142"/>
      <c r="J223" s="143">
        <f>J222+J221</f>
        <v>1630.12</v>
      </c>
      <c r="L223" s="102" t="str">
        <f>A182</f>
        <v>FDE ADAPTADO</v>
      </c>
      <c r="M223" s="144">
        <f>B182</f>
        <v>902053</v>
      </c>
      <c r="N223" s="102" t="str">
        <f>L223&amp;M223</f>
        <v>FDE ADAPTADO902053</v>
      </c>
      <c r="O223" s="103" t="str">
        <f>D181</f>
        <v>AE-19 Abrigo e entrada de energia (Caixa II, IV ou E) - CPFL, EDP Bandeirante e Elektro</v>
      </c>
      <c r="P223" s="145" t="str">
        <f>J182</f>
        <v>un</v>
      </c>
      <c r="Q223" s="145">
        <f>J223</f>
        <v>1630.12</v>
      </c>
    </row>
    <row r="224" spans="1:17" ht="15" customHeight="1" x14ac:dyDescent="0.25">
      <c r="A224" s="524" t="s">
        <v>40</v>
      </c>
      <c r="B224" s="525"/>
      <c r="C224" s="104" t="s">
        <v>41</v>
      </c>
      <c r="D224" s="526" t="str">
        <f>IF(B225="","",VLOOKUP(B225,SERVIÇOS!B:E,3,0))</f>
        <v>Caixa de passagem em alvenaria de 0,60x0,60x0,60m</v>
      </c>
      <c r="E224" s="526"/>
      <c r="F224" s="526"/>
      <c r="G224" s="526"/>
      <c r="H224" s="526"/>
      <c r="I224" s="527"/>
      <c r="J224" s="105" t="s">
        <v>42</v>
      </c>
    </row>
    <row r="225" spans="1:11" ht="15" x14ac:dyDescent="0.25">
      <c r="A225" s="230" t="s">
        <v>4704</v>
      </c>
      <c r="B225" s="230">
        <v>906026</v>
      </c>
      <c r="C225" s="106"/>
      <c r="D225" s="528"/>
      <c r="E225" s="528"/>
      <c r="F225" s="528"/>
      <c r="G225" s="528"/>
      <c r="H225" s="528"/>
      <c r="I225" s="529"/>
      <c r="J225" s="107" t="str">
        <f>IF(B225="","",VLOOKUP(B225,SERVIÇOS!B:E,4,0))</f>
        <v>un</v>
      </c>
    </row>
    <row r="226" spans="1:11" ht="15" x14ac:dyDescent="0.25">
      <c r="A226" s="530" t="s">
        <v>4397</v>
      </c>
      <c r="B226" s="531" t="s">
        <v>11</v>
      </c>
      <c r="C226" s="533" t="s">
        <v>43</v>
      </c>
      <c r="D226" s="534"/>
      <c r="E226" s="530" t="s">
        <v>13</v>
      </c>
      <c r="F226" s="530" t="s">
        <v>44</v>
      </c>
      <c r="G226" s="538" t="s">
        <v>45</v>
      </c>
      <c r="H226" s="108" t="s">
        <v>46</v>
      </c>
      <c r="I226" s="108"/>
      <c r="J226" s="108"/>
    </row>
    <row r="227" spans="1:11" ht="15" x14ac:dyDescent="0.25">
      <c r="A227" s="530"/>
      <c r="B227" s="532"/>
      <c r="C227" s="535"/>
      <c r="D227" s="536"/>
      <c r="E227" s="537"/>
      <c r="F227" s="537"/>
      <c r="G227" s="539"/>
      <c r="H227" s="108" t="s">
        <v>47</v>
      </c>
      <c r="I227" s="108" t="s">
        <v>48</v>
      </c>
      <c r="J227" s="108" t="s">
        <v>49</v>
      </c>
    </row>
    <row r="228" spans="1:11" ht="15" x14ac:dyDescent="0.25">
      <c r="A228" s="109" t="s">
        <v>4398</v>
      </c>
      <c r="B228" s="110">
        <v>10139</v>
      </c>
      <c r="C228" s="540" t="str">
        <f>IF(A228&amp;B228="","",VLOOKUP(A228&amp;B228,INSUMOS!C:G,2,0))</f>
        <v xml:space="preserve">Pedreiro </v>
      </c>
      <c r="D228" s="541"/>
      <c r="E228" s="111" t="str">
        <f>IF(A228&amp;B228="","",VLOOKUP(A228&amp;B228,INSUMOS!C:G,3,0))</f>
        <v>h</v>
      </c>
      <c r="F228" s="112">
        <v>4.72</v>
      </c>
      <c r="G228" s="113">
        <f>IF(A228&amp;B228="","",VLOOKUP(A228&amp;B228,INSUMOS!C:G,4,0))</f>
        <v>13.731285</v>
      </c>
      <c r="H228" s="114">
        <f>IF(K228="MO",TRUNC(F228*G228,2),"")</f>
        <v>64.81</v>
      </c>
      <c r="I228" s="114" t="str">
        <f>IF(K228="MT",TRUNC(F228*G228,2),"")</f>
        <v/>
      </c>
      <c r="J228" s="115" t="str">
        <f>IF(K228="EQ",TRUNC(F228*G228,2),"")</f>
        <v/>
      </c>
      <c r="K228" s="102" t="str">
        <f>IF(A228&amp;B228="","",VLOOKUP(A228&amp;B228,INSUMOS!C:G,5,0))</f>
        <v>MO</v>
      </c>
    </row>
    <row r="229" spans="1:11" ht="15" x14ac:dyDescent="0.25">
      <c r="A229" s="109" t="s">
        <v>4398</v>
      </c>
      <c r="B229" s="116">
        <v>10146</v>
      </c>
      <c r="C229" s="518" t="str">
        <f>IF(A229&amp;B229="","",VLOOKUP(A229&amp;B229,INSUMOS!C:G,2,0))</f>
        <v>Servente</v>
      </c>
      <c r="D229" s="519"/>
      <c r="E229" s="117" t="str">
        <f>IF(A229&amp;B229="","",VLOOKUP(A229&amp;B229,INSUMOS!C:G,3,0))</f>
        <v>h</v>
      </c>
      <c r="F229" s="118">
        <v>9.6</v>
      </c>
      <c r="G229" s="113">
        <f>IF(A229&amp;B229="","",VLOOKUP(A229&amp;B229,INSUMOS!C:G,4,0))</f>
        <v>11.335614</v>
      </c>
      <c r="H229" s="119">
        <f t="shared" ref="H229:H240" si="51">IF(K229="MO",TRUNC(F229*G229,2),"")</f>
        <v>108.82</v>
      </c>
      <c r="I229" s="119" t="str">
        <f t="shared" ref="I229:I240" si="52">IF(K229="MT",TRUNC(F229*G229,2),"")</f>
        <v/>
      </c>
      <c r="J229" s="115" t="str">
        <f t="shared" ref="J229:J240" si="53">IF(K229="EQ",TRUNC(F229*G229,2),"")</f>
        <v/>
      </c>
      <c r="K229" s="102" t="str">
        <f>IF(A229&amp;B229="","",VLOOKUP(A229&amp;B229,INSUMOS!C:G,5,0))</f>
        <v>MO</v>
      </c>
    </row>
    <row r="230" spans="1:11" ht="15" x14ac:dyDescent="0.25">
      <c r="A230" s="109" t="s">
        <v>4398</v>
      </c>
      <c r="B230" s="116">
        <v>20503</v>
      </c>
      <c r="C230" s="518" t="str">
        <f>IF(A230&amp;B230="","",VLOOKUP(A230&amp;B230,INSUMOS!C:G,2,0))</f>
        <v>Areia média lavada (a granel caçamba fechada)</v>
      </c>
      <c r="D230" s="519"/>
      <c r="E230" s="117" t="str">
        <f>IF(A230&amp;B230="","",VLOOKUP(A230&amp;B230,INSUMOS!C:G,3,0))</f>
        <v>m³</v>
      </c>
      <c r="F230" s="118">
        <v>0.159</v>
      </c>
      <c r="G230" s="113">
        <f>IF(A230&amp;B230="","",VLOOKUP(A230&amp;B230,INSUMOS!C:G,4,0))</f>
        <v>73.73</v>
      </c>
      <c r="H230" s="119" t="str">
        <f t="shared" si="51"/>
        <v/>
      </c>
      <c r="I230" s="119">
        <f t="shared" si="52"/>
        <v>11.72</v>
      </c>
      <c r="J230" s="115" t="str">
        <f t="shared" si="53"/>
        <v/>
      </c>
      <c r="K230" s="102" t="str">
        <f>IF(A230&amp;B230="","",VLOOKUP(A230&amp;B230,INSUMOS!C:G,5,0))</f>
        <v>MT</v>
      </c>
    </row>
    <row r="231" spans="1:11" ht="15" x14ac:dyDescent="0.25">
      <c r="A231" s="109" t="s">
        <v>4398</v>
      </c>
      <c r="B231" s="116">
        <v>20505</v>
      </c>
      <c r="C231" s="518" t="str">
        <f>IF(A231&amp;B231="","",VLOOKUP(A231&amp;B231,INSUMOS!C:G,2,0))</f>
        <v>Cal hidratada (saco de 20 kg)</v>
      </c>
      <c r="D231" s="519"/>
      <c r="E231" s="117" t="str">
        <f>IF(A231&amp;B231="","",VLOOKUP(A231&amp;B231,INSUMOS!C:G,3,0))</f>
        <v>kg</v>
      </c>
      <c r="F231" s="118">
        <v>5.7</v>
      </c>
      <c r="G231" s="113">
        <f>IF(A231&amp;B231="","",VLOOKUP(A231&amp;B231,INSUMOS!C:G,4,0))</f>
        <v>0.42</v>
      </c>
      <c r="H231" s="119" t="str">
        <f t="shared" si="51"/>
        <v/>
      </c>
      <c r="I231" s="119">
        <f t="shared" si="52"/>
        <v>2.39</v>
      </c>
      <c r="J231" s="115" t="str">
        <f t="shared" si="53"/>
        <v/>
      </c>
      <c r="K231" s="102" t="str">
        <f>IF(A231&amp;B231="","",VLOOKUP(A231&amp;B231,INSUMOS!C:G,5,0))</f>
        <v>MT</v>
      </c>
    </row>
    <row r="232" spans="1:11" ht="15" x14ac:dyDescent="0.25">
      <c r="A232" s="109" t="s">
        <v>4398</v>
      </c>
      <c r="B232" s="116">
        <v>20508</v>
      </c>
      <c r="C232" s="518" t="str">
        <f>IF(A232&amp;B232="","",VLOOKUP(A232&amp;B232,INSUMOS!C:G,2,0))</f>
        <v>Cimento CPII-E-32 (sacos de 50 kg)</v>
      </c>
      <c r="D232" s="519"/>
      <c r="E232" s="117" t="str">
        <f>IF(A232&amp;B232="","",VLOOKUP(A232&amp;B232,INSUMOS!C:G,3,0))</f>
        <v>kg</v>
      </c>
      <c r="F232" s="118">
        <v>37.15</v>
      </c>
      <c r="G232" s="113">
        <f>IF(A232&amp;B232="","",VLOOKUP(A232&amp;B232,INSUMOS!C:G,4,0))</f>
        <v>0.46</v>
      </c>
      <c r="H232" s="119" t="str">
        <f t="shared" si="51"/>
        <v/>
      </c>
      <c r="I232" s="119">
        <f t="shared" si="52"/>
        <v>17.079999999999998</v>
      </c>
      <c r="J232" s="115" t="str">
        <f t="shared" si="53"/>
        <v/>
      </c>
      <c r="K232" s="102" t="str">
        <f>IF(A232&amp;B232="","",VLOOKUP(A232&amp;B232,INSUMOS!C:G,5,0))</f>
        <v>MT</v>
      </c>
    </row>
    <row r="233" spans="1:11" ht="15" x14ac:dyDescent="0.25">
      <c r="A233" s="109" t="s">
        <v>4398</v>
      </c>
      <c r="B233" s="116">
        <v>20518</v>
      </c>
      <c r="C233" s="518" t="str">
        <f>IF(A233&amp;B233="","",VLOOKUP(A233&amp;B233,INSUMOS!C:G,2,0))</f>
        <v>Pedra britada nº médios 1.2.3 e 4 (a granel)</v>
      </c>
      <c r="D233" s="519"/>
      <c r="E233" s="117" t="str">
        <f>IF(A233&amp;B233="","",VLOOKUP(A233&amp;B233,INSUMOS!C:G,3,0))</f>
        <v>m³</v>
      </c>
      <c r="F233" s="118">
        <v>7.1999999999999995E-2</v>
      </c>
      <c r="G233" s="113">
        <f>IF(A233&amp;B233="","",VLOOKUP(A233&amp;B233,INSUMOS!C:G,4,0))</f>
        <v>69.64</v>
      </c>
      <c r="H233" s="119" t="str">
        <f t="shared" si="51"/>
        <v/>
      </c>
      <c r="I233" s="119">
        <f t="shared" si="52"/>
        <v>5.01</v>
      </c>
      <c r="J233" s="115" t="str">
        <f t="shared" si="53"/>
        <v/>
      </c>
      <c r="K233" s="102" t="str">
        <f>IF(A233&amp;B233="","",VLOOKUP(A233&amp;B233,INSUMOS!C:G,5,0))</f>
        <v>MT</v>
      </c>
    </row>
    <row r="234" spans="1:11" ht="15" x14ac:dyDescent="0.25">
      <c r="A234" s="109" t="s">
        <v>4398</v>
      </c>
      <c r="B234" s="116">
        <v>21510</v>
      </c>
      <c r="C234" s="518" t="str">
        <f>IF(A234&amp;B234="","",VLOOKUP(A234&amp;B234,INSUMOS!C:G,2,0))</f>
        <v>Aço CA-25 $MD bitolas</v>
      </c>
      <c r="D234" s="519"/>
      <c r="E234" s="117" t="str">
        <f>IF(A234&amp;B234="","",VLOOKUP(A234&amp;B234,INSUMOS!C:G,3,0))</f>
        <v>kg</v>
      </c>
      <c r="F234" s="118">
        <v>4.5</v>
      </c>
      <c r="G234" s="113">
        <f>IF(A234&amp;B234="","",VLOOKUP(A234&amp;B234,INSUMOS!C:G,4,0))</f>
        <v>3.62</v>
      </c>
      <c r="H234" s="119" t="str">
        <f t="shared" si="51"/>
        <v/>
      </c>
      <c r="I234" s="119">
        <f t="shared" si="52"/>
        <v>16.29</v>
      </c>
      <c r="J234" s="115" t="str">
        <f t="shared" si="53"/>
        <v/>
      </c>
      <c r="K234" s="102" t="str">
        <f>IF(A234&amp;B234="","",VLOOKUP(A234&amp;B234,INSUMOS!C:G,5,0))</f>
        <v>MT</v>
      </c>
    </row>
    <row r="235" spans="1:11" ht="15" x14ac:dyDescent="0.25">
      <c r="A235" s="109" t="s">
        <v>4398</v>
      </c>
      <c r="B235" s="116">
        <v>22515</v>
      </c>
      <c r="C235" s="518" t="str">
        <f>IF(A235&amp;B235="","",VLOOKUP(A235&amp;B235,INSUMOS!C:G,2,0))</f>
        <v>Tijolo comum maciço</v>
      </c>
      <c r="D235" s="519"/>
      <c r="E235" s="117" t="str">
        <f>IF(A235&amp;B235="","",VLOOKUP(A235&amp;B235,INSUMOS!C:G,3,0))</f>
        <v>un</v>
      </c>
      <c r="F235" s="118">
        <v>105</v>
      </c>
      <c r="G235" s="113">
        <f>IF(A235&amp;B235="","",VLOOKUP(A235&amp;B235,INSUMOS!C:G,4,0))</f>
        <v>0.28999999999999998</v>
      </c>
      <c r="H235" s="119" t="str">
        <f t="shared" si="51"/>
        <v/>
      </c>
      <c r="I235" s="119">
        <f t="shared" si="52"/>
        <v>30.45</v>
      </c>
      <c r="J235" s="115" t="str">
        <f t="shared" si="53"/>
        <v/>
      </c>
      <c r="K235" s="102" t="str">
        <f>IF(A235&amp;B235="","",VLOOKUP(A235&amp;B235,INSUMOS!C:G,5,0))</f>
        <v>MT</v>
      </c>
    </row>
    <row r="236" spans="1:11" ht="15" x14ac:dyDescent="0.25">
      <c r="A236" s="109"/>
      <c r="B236" s="116"/>
      <c r="C236" s="518" t="str">
        <f>IF(A236&amp;B236="","",VLOOKUP(A236&amp;B236,INSUMOS!C:G,2,0))</f>
        <v/>
      </c>
      <c r="D236" s="519"/>
      <c r="E236" s="117" t="str">
        <f>IF(A236&amp;B236="","",VLOOKUP(A236&amp;B236,INSUMOS!C:G,3,0))</f>
        <v/>
      </c>
      <c r="F236" s="118"/>
      <c r="G236" s="113" t="str">
        <f>IF(A236&amp;B236="","",VLOOKUP(A236&amp;B236,INSUMOS!C:G,4,0))</f>
        <v/>
      </c>
      <c r="H236" s="119" t="str">
        <f t="shared" si="51"/>
        <v/>
      </c>
      <c r="I236" s="119" t="str">
        <f t="shared" si="52"/>
        <v/>
      </c>
      <c r="J236" s="115" t="str">
        <f t="shared" si="53"/>
        <v/>
      </c>
      <c r="K236" s="102" t="str">
        <f>IF(A236&amp;B236="","",VLOOKUP(A236&amp;B236,INSUMOS!C:G,5,0))</f>
        <v/>
      </c>
    </row>
    <row r="237" spans="1:11" ht="15" x14ac:dyDescent="0.25">
      <c r="A237" s="109"/>
      <c r="B237" s="116"/>
      <c r="C237" s="518" t="str">
        <f>IF(A237&amp;B237="","",VLOOKUP(A237&amp;B237,INSUMOS!C:G,2,0))</f>
        <v/>
      </c>
      <c r="D237" s="519"/>
      <c r="E237" s="117" t="str">
        <f>IF(A237&amp;B237="","",VLOOKUP(A237&amp;B237,INSUMOS!C:G,3,0))</f>
        <v/>
      </c>
      <c r="F237" s="118"/>
      <c r="G237" s="113" t="str">
        <f>IF(A237&amp;B237="","",VLOOKUP(A237&amp;B237,INSUMOS!C:G,4,0))</f>
        <v/>
      </c>
      <c r="H237" s="119" t="str">
        <f t="shared" si="51"/>
        <v/>
      </c>
      <c r="I237" s="119" t="str">
        <f t="shared" si="52"/>
        <v/>
      </c>
      <c r="J237" s="115" t="str">
        <f t="shared" si="53"/>
        <v/>
      </c>
      <c r="K237" s="102" t="str">
        <f>IF(A237&amp;B237="","",VLOOKUP(A237&amp;B237,INSUMOS!C:G,5,0))</f>
        <v/>
      </c>
    </row>
    <row r="238" spans="1:11" ht="15" x14ac:dyDescent="0.25">
      <c r="A238" s="120"/>
      <c r="B238" s="121"/>
      <c r="C238" s="518" t="str">
        <f>IF(A238&amp;B238="","",VLOOKUP(A238&amp;B238,INSUMOS!C:G,2,0))</f>
        <v/>
      </c>
      <c r="D238" s="519"/>
      <c r="E238" s="117" t="str">
        <f>IF(A238&amp;B238="","",VLOOKUP(A238&amp;B238,INSUMOS!C:G,3,0))</f>
        <v/>
      </c>
      <c r="F238" s="118"/>
      <c r="G238" s="122" t="str">
        <f>IF(A238&amp;B238="","",VLOOKUP(A238&amp;B238,INSUMOS!C:G,4,0))</f>
        <v/>
      </c>
      <c r="H238" s="119" t="str">
        <f t="shared" si="51"/>
        <v/>
      </c>
      <c r="I238" s="119" t="str">
        <f t="shared" si="52"/>
        <v/>
      </c>
      <c r="J238" s="115" t="str">
        <f t="shared" si="53"/>
        <v/>
      </c>
      <c r="K238" s="102" t="str">
        <f>IF(A238&amp;B238="","",VLOOKUP(A238&amp;B238,INSUMOS!C:G,5,0))</f>
        <v/>
      </c>
    </row>
    <row r="239" spans="1:11" ht="15" x14ac:dyDescent="0.25">
      <c r="A239" s="120"/>
      <c r="B239" s="121"/>
      <c r="C239" s="518" t="str">
        <f>IF(A239&amp;B239="","",VLOOKUP(A239&amp;B239,INSUMOS!C:G,2,0))</f>
        <v/>
      </c>
      <c r="D239" s="519"/>
      <c r="E239" s="117" t="str">
        <f>IF(A239&amp;B239="","",VLOOKUP(A239&amp;B239,INSUMOS!C:G,3,0))</f>
        <v/>
      </c>
      <c r="F239" s="118"/>
      <c r="G239" s="122" t="str">
        <f>IF(A239&amp;B239="","",VLOOKUP(A239&amp;B239,INSUMOS!C:G,4,0))</f>
        <v/>
      </c>
      <c r="H239" s="119" t="str">
        <f t="shared" si="51"/>
        <v/>
      </c>
      <c r="I239" s="119" t="str">
        <f t="shared" si="52"/>
        <v/>
      </c>
      <c r="J239" s="115" t="str">
        <f t="shared" si="53"/>
        <v/>
      </c>
      <c r="K239" s="102" t="str">
        <f>IF(A239&amp;B239="","",VLOOKUP(A239&amp;B239,INSUMOS!C:G,5,0))</f>
        <v/>
      </c>
    </row>
    <row r="240" spans="1:11" ht="15" x14ac:dyDescent="0.25">
      <c r="A240" s="120"/>
      <c r="B240" s="121"/>
      <c r="C240" s="518" t="str">
        <f>IF(A240&amp;B240="","",VLOOKUP(A240&amp;B240,INSUMOS!C:G,2,0))</f>
        <v/>
      </c>
      <c r="D240" s="519"/>
      <c r="E240" s="117" t="str">
        <f>IF(A240&amp;B240="","",VLOOKUP(A240&amp;B240,INSUMOS!C:G,3,0))</f>
        <v/>
      </c>
      <c r="F240" s="118"/>
      <c r="G240" s="122" t="str">
        <f>IF(A240&amp;B240="","",VLOOKUP(A240&amp;B240,INSUMOS!C:G,4,0))</f>
        <v/>
      </c>
      <c r="H240" s="119" t="str">
        <f t="shared" si="51"/>
        <v/>
      </c>
      <c r="I240" s="119" t="str">
        <f t="shared" si="52"/>
        <v/>
      </c>
      <c r="J240" s="115" t="str">
        <f t="shared" si="53"/>
        <v/>
      </c>
      <c r="K240" s="102" t="str">
        <f>IF(A240&amp;B240="","",VLOOKUP(A240&amp;B240,INSUMOS!C:G,5,0))</f>
        <v/>
      </c>
    </row>
    <row r="241" spans="1:17" ht="15" x14ac:dyDescent="0.25">
      <c r="A241" s="123" t="s">
        <v>4399</v>
      </c>
      <c r="B241" s="520"/>
      <c r="C241" s="520"/>
      <c r="D241" s="520"/>
      <c r="E241" s="520"/>
      <c r="F241" s="521"/>
      <c r="G241" s="124" t="s">
        <v>50</v>
      </c>
      <c r="H241" s="125">
        <f>SUM(H228:H240)</f>
        <v>173.63</v>
      </c>
      <c r="I241" s="125">
        <f>SUM(I228:I240)</f>
        <v>82.94</v>
      </c>
      <c r="J241" s="126">
        <f>SUM(J228:J240)</f>
        <v>0</v>
      </c>
    </row>
    <row r="242" spans="1:17" ht="15" x14ac:dyDescent="0.25">
      <c r="A242" s="127" t="s">
        <v>4400</v>
      </c>
      <c r="B242" s="128"/>
      <c r="C242" s="128"/>
      <c r="D242" s="127" t="s">
        <v>51</v>
      </c>
      <c r="E242" s="128"/>
      <c r="F242" s="129"/>
      <c r="G242" s="130" t="s">
        <v>55</v>
      </c>
      <c r="H242" s="131" t="s">
        <v>52</v>
      </c>
      <c r="I242" s="132"/>
      <c r="J242" s="125">
        <f>SUM(H241:J241)</f>
        <v>256.57</v>
      </c>
    </row>
    <row r="243" spans="1:17" ht="15" x14ac:dyDescent="0.25">
      <c r="A243" s="313" t="str">
        <f>$I$3</f>
        <v>Carlos Wieck</v>
      </c>
      <c r="B243" s="133"/>
      <c r="C243" s="133"/>
      <c r="D243" s="134"/>
      <c r="E243" s="133"/>
      <c r="F243" s="135"/>
      <c r="G243" s="522">
        <f>$J$5</f>
        <v>43040</v>
      </c>
      <c r="H243" s="136" t="s">
        <v>53</v>
      </c>
      <c r="I243" s="137"/>
      <c r="J243" s="125">
        <f>TRUNC(I243*J242,2)</f>
        <v>0</v>
      </c>
    </row>
    <row r="244" spans="1:17" ht="15" x14ac:dyDescent="0.25">
      <c r="A244" s="314"/>
      <c r="B244" s="139"/>
      <c r="C244" s="139"/>
      <c r="D244" s="138"/>
      <c r="E244" s="139"/>
      <c r="F244" s="140"/>
      <c r="G244" s="523"/>
      <c r="H244" s="141" t="s">
        <v>54</v>
      </c>
      <c r="I244" s="142"/>
      <c r="J244" s="143">
        <f>J243+J242</f>
        <v>256.57</v>
      </c>
      <c r="L244" s="102" t="str">
        <f>A225</f>
        <v>FDE ADAPTADO</v>
      </c>
      <c r="M244" s="144">
        <f>B225</f>
        <v>906026</v>
      </c>
      <c r="N244" s="102" t="str">
        <f>L244&amp;M244</f>
        <v>FDE ADAPTADO906026</v>
      </c>
      <c r="O244" s="103" t="str">
        <f>D224</f>
        <v>Caixa de passagem em alvenaria de 0,60x0,60x0,60m</v>
      </c>
      <c r="P244" s="145" t="str">
        <f>J225</f>
        <v>un</v>
      </c>
      <c r="Q244" s="145">
        <f>J244</f>
        <v>256.57</v>
      </c>
    </row>
    <row r="245" spans="1:17" ht="15" customHeight="1" x14ac:dyDescent="0.25">
      <c r="A245" s="524" t="s">
        <v>40</v>
      </c>
      <c r="B245" s="525"/>
      <c r="C245" s="104" t="s">
        <v>41</v>
      </c>
      <c r="D245" s="526" t="str">
        <f>IF(B246="","",VLOOKUP(B246,SERVIÇOS!B:E,3,0))</f>
        <v>Telha de aço galvanizado chapa 0,5mm com sand. Poliuretan h=50mm sup. Trapez com inf. Plano com pintura faces aparente</v>
      </c>
      <c r="E245" s="526"/>
      <c r="F245" s="526"/>
      <c r="G245" s="526"/>
      <c r="H245" s="526"/>
      <c r="I245" s="527"/>
      <c r="J245" s="105" t="s">
        <v>42</v>
      </c>
    </row>
    <row r="246" spans="1:17" ht="15" x14ac:dyDescent="0.25">
      <c r="A246" s="230" t="s">
        <v>4704</v>
      </c>
      <c r="B246" s="230">
        <v>703095</v>
      </c>
      <c r="C246" s="106"/>
      <c r="D246" s="528"/>
      <c r="E246" s="528"/>
      <c r="F246" s="528"/>
      <c r="G246" s="528"/>
      <c r="H246" s="528"/>
      <c r="I246" s="529"/>
      <c r="J246" s="107" t="str">
        <f>IF(B246="","",VLOOKUP(B246,SERVIÇOS!B:E,4,0))</f>
        <v>m²</v>
      </c>
    </row>
    <row r="247" spans="1:17" ht="15" x14ac:dyDescent="0.25">
      <c r="A247" s="530" t="s">
        <v>4397</v>
      </c>
      <c r="B247" s="531" t="s">
        <v>11</v>
      </c>
      <c r="C247" s="533" t="s">
        <v>43</v>
      </c>
      <c r="D247" s="534"/>
      <c r="E247" s="530" t="s">
        <v>13</v>
      </c>
      <c r="F247" s="530" t="s">
        <v>44</v>
      </c>
      <c r="G247" s="538" t="s">
        <v>45</v>
      </c>
      <c r="H247" s="108" t="s">
        <v>46</v>
      </c>
      <c r="I247" s="108"/>
      <c r="J247" s="108"/>
    </row>
    <row r="248" spans="1:17" ht="15" x14ac:dyDescent="0.25">
      <c r="A248" s="530"/>
      <c r="B248" s="532"/>
      <c r="C248" s="535"/>
      <c r="D248" s="536"/>
      <c r="E248" s="537"/>
      <c r="F248" s="537"/>
      <c r="G248" s="539"/>
      <c r="H248" s="108" t="s">
        <v>47</v>
      </c>
      <c r="I248" s="108" t="s">
        <v>48</v>
      </c>
      <c r="J248" s="108" t="s">
        <v>49</v>
      </c>
    </row>
    <row r="249" spans="1:17" ht="15" x14ac:dyDescent="0.25">
      <c r="A249" s="109" t="s">
        <v>4398</v>
      </c>
      <c r="B249" s="110">
        <v>10150</v>
      </c>
      <c r="C249" s="540" t="str">
        <f>IF(A249&amp;B249="","",VLOOKUP(A249&amp;B249,INSUMOS!C:G,2,0))</f>
        <v>Telhadista</v>
      </c>
      <c r="D249" s="541"/>
      <c r="E249" s="111" t="str">
        <f>IF(A249&amp;B249="","",VLOOKUP(A249&amp;B249,INSUMOS!C:G,3,0))</f>
        <v>h</v>
      </c>
      <c r="F249" s="112">
        <v>0.4</v>
      </c>
      <c r="G249" s="113">
        <f>IF(A249&amp;B249="","",VLOOKUP(A249&amp;B249,INSUMOS!C:G,4,0))</f>
        <v>7.28</v>
      </c>
      <c r="H249" s="114">
        <f>IF(K249="MO",TRUNC(F249*G249,2),"")</f>
        <v>2.91</v>
      </c>
      <c r="I249" s="114" t="str">
        <f>IF(K249="MT",TRUNC(F249*G249,2),"")</f>
        <v/>
      </c>
      <c r="J249" s="115" t="str">
        <f>IF(K249="EQ",TRUNC(F249*G249,2),"")</f>
        <v/>
      </c>
      <c r="K249" s="102" t="str">
        <f>IF(A249&amp;B249="","",VLOOKUP(A249&amp;B249,INSUMOS!C:G,5,0))</f>
        <v>MO</v>
      </c>
    </row>
    <row r="250" spans="1:17" ht="15" x14ac:dyDescent="0.25">
      <c r="A250" s="109" t="s">
        <v>4398</v>
      </c>
      <c r="B250" s="116">
        <v>10151</v>
      </c>
      <c r="C250" s="518" t="str">
        <f>IF(A250&amp;B250="","",VLOOKUP(A250&amp;B250,INSUMOS!C:G,2,0))</f>
        <v>Ajudante de telhadista</v>
      </c>
      <c r="D250" s="519"/>
      <c r="E250" s="117" t="str">
        <f>IF(A250&amp;B250="","",VLOOKUP(A250&amp;B250,INSUMOS!C:G,3,0))</f>
        <v>h</v>
      </c>
      <c r="F250" s="118">
        <v>0.4</v>
      </c>
      <c r="G250" s="113">
        <f>IF(A250&amp;B250="","",VLOOKUP(A250&amp;B250,INSUMOS!C:G,4,0))</f>
        <v>5.99</v>
      </c>
      <c r="H250" s="119">
        <f t="shared" ref="H250:H261" si="54">IF(K250="MO",TRUNC(F250*G250,2),"")</f>
        <v>2.39</v>
      </c>
      <c r="I250" s="119" t="str">
        <f t="shared" ref="I250:I261" si="55">IF(K250="MT",TRUNC(F250*G250,2),"")</f>
        <v/>
      </c>
      <c r="J250" s="115" t="str">
        <f t="shared" ref="J250:J261" si="56">IF(K250="EQ",TRUNC(F250*G250,2),"")</f>
        <v/>
      </c>
      <c r="K250" s="102" t="str">
        <f>IF(A250&amp;B250="","",VLOOKUP(A250&amp;B250,INSUMOS!C:G,5,0))</f>
        <v>MO</v>
      </c>
    </row>
    <row r="251" spans="1:17" ht="15" x14ac:dyDescent="0.25">
      <c r="A251" s="109" t="s">
        <v>4398</v>
      </c>
      <c r="B251" s="116">
        <v>25673</v>
      </c>
      <c r="C251" s="518" t="str">
        <f>IF(A251&amp;B251="","",VLOOKUP(A251&amp;B251,INSUMOS!C:G,2,0))</f>
        <v>Telha Galvanizada chapa 0,5mm perfil sup.trapez e inf. Plano sand poliuret e=50mm c/acab</v>
      </c>
      <c r="D251" s="519"/>
      <c r="E251" s="117" t="str">
        <f>IF(A251&amp;B251="","",VLOOKUP(A251&amp;B251,INSUMOS!C:G,3,0))</f>
        <v>m²</v>
      </c>
      <c r="F251" s="118">
        <v>1.05</v>
      </c>
      <c r="G251" s="113">
        <f>IF(A251&amp;B251="","",VLOOKUP(A251&amp;B251,INSUMOS!C:G,4,0))</f>
        <v>130.53</v>
      </c>
      <c r="H251" s="119" t="str">
        <f t="shared" si="54"/>
        <v/>
      </c>
      <c r="I251" s="119">
        <f t="shared" si="55"/>
        <v>137.05000000000001</v>
      </c>
      <c r="J251" s="115" t="str">
        <f t="shared" si="56"/>
        <v/>
      </c>
      <c r="K251" s="102" t="str">
        <f>IF(A251&amp;B251="","",VLOOKUP(A251&amp;B251,INSUMOS!C:G,5,0))</f>
        <v>MT</v>
      </c>
    </row>
    <row r="252" spans="1:17" ht="15" x14ac:dyDescent="0.25">
      <c r="A252" s="109" t="s">
        <v>4398</v>
      </c>
      <c r="B252" s="116">
        <v>26599</v>
      </c>
      <c r="C252" s="518" t="str">
        <f>IF(A252&amp;B252="","",VLOOKUP(A252&amp;B252,INSUMOS!C:G,2,0))</f>
        <v>Parafuso auto-perf c/ conj vedação p/ telha de aço</v>
      </c>
      <c r="D252" s="519"/>
      <c r="E252" s="117" t="str">
        <f>IF(A252&amp;B252="","",VLOOKUP(A252&amp;B252,INSUMOS!C:G,3,0))</f>
        <v>m²</v>
      </c>
      <c r="F252" s="118">
        <v>4</v>
      </c>
      <c r="G252" s="113">
        <f>IF(A252&amp;B252="","",VLOOKUP(A252&amp;B252,INSUMOS!C:G,4,0))</f>
        <v>0.31</v>
      </c>
      <c r="H252" s="119" t="str">
        <f t="shared" si="54"/>
        <v/>
      </c>
      <c r="I252" s="119">
        <f t="shared" si="55"/>
        <v>1.24</v>
      </c>
      <c r="J252" s="115" t="str">
        <f t="shared" si="56"/>
        <v/>
      </c>
      <c r="K252" s="102" t="str">
        <f>IF(A252&amp;B252="","",VLOOKUP(A252&amp;B252,INSUMOS!C:G,5,0))</f>
        <v>MT</v>
      </c>
    </row>
    <row r="253" spans="1:17" ht="15" x14ac:dyDescent="0.25">
      <c r="A253" s="109"/>
      <c r="B253" s="116"/>
      <c r="C253" s="518" t="str">
        <f>IF(A253&amp;B253="","",VLOOKUP(A253&amp;B253,INSUMOS!C:G,2,0))</f>
        <v/>
      </c>
      <c r="D253" s="519"/>
      <c r="E253" s="117" t="str">
        <f>IF(A253&amp;B253="","",VLOOKUP(A253&amp;B253,INSUMOS!C:G,3,0))</f>
        <v/>
      </c>
      <c r="F253" s="118"/>
      <c r="G253" s="113" t="str">
        <f>IF(A253&amp;B253="","",VLOOKUP(A253&amp;B253,INSUMOS!C:G,4,0))</f>
        <v/>
      </c>
      <c r="H253" s="119" t="str">
        <f t="shared" si="54"/>
        <v/>
      </c>
      <c r="I253" s="119" t="str">
        <f t="shared" si="55"/>
        <v/>
      </c>
      <c r="J253" s="115" t="str">
        <f t="shared" si="56"/>
        <v/>
      </c>
      <c r="K253" s="102" t="str">
        <f>IF(A253&amp;B253="","",VLOOKUP(A253&amp;B253,INSUMOS!C:G,5,0))</f>
        <v/>
      </c>
    </row>
    <row r="254" spans="1:17" ht="15" x14ac:dyDescent="0.25">
      <c r="A254" s="109"/>
      <c r="B254" s="116"/>
      <c r="C254" s="518" t="str">
        <f>IF(A254&amp;B254="","",VLOOKUP(A254&amp;B254,INSUMOS!C:G,2,0))</f>
        <v/>
      </c>
      <c r="D254" s="519"/>
      <c r="E254" s="117" t="str">
        <f>IF(A254&amp;B254="","",VLOOKUP(A254&amp;B254,INSUMOS!C:G,3,0))</f>
        <v/>
      </c>
      <c r="F254" s="118"/>
      <c r="G254" s="113" t="str">
        <f>IF(A254&amp;B254="","",VLOOKUP(A254&amp;B254,INSUMOS!C:G,4,0))</f>
        <v/>
      </c>
      <c r="H254" s="119" t="str">
        <f t="shared" si="54"/>
        <v/>
      </c>
      <c r="I254" s="119" t="str">
        <f t="shared" si="55"/>
        <v/>
      </c>
      <c r="J254" s="115" t="str">
        <f t="shared" si="56"/>
        <v/>
      </c>
      <c r="K254" s="102" t="str">
        <f>IF(A254&amp;B254="","",VLOOKUP(A254&amp;B254,INSUMOS!C:G,5,0))</f>
        <v/>
      </c>
    </row>
    <row r="255" spans="1:17" ht="15" x14ac:dyDescent="0.25">
      <c r="A255" s="109"/>
      <c r="B255" s="116"/>
      <c r="C255" s="518" t="str">
        <f>IF(A255&amp;B255="","",VLOOKUP(A255&amp;B255,INSUMOS!C:G,2,0))</f>
        <v/>
      </c>
      <c r="D255" s="519"/>
      <c r="E255" s="117" t="str">
        <f>IF(A255&amp;B255="","",VLOOKUP(A255&amp;B255,INSUMOS!C:G,3,0))</f>
        <v/>
      </c>
      <c r="F255" s="118"/>
      <c r="G255" s="113" t="str">
        <f>IF(A255&amp;B255="","",VLOOKUP(A255&amp;B255,INSUMOS!C:G,4,0))</f>
        <v/>
      </c>
      <c r="H255" s="119" t="str">
        <f t="shared" si="54"/>
        <v/>
      </c>
      <c r="I255" s="119" t="str">
        <f t="shared" si="55"/>
        <v/>
      </c>
      <c r="J255" s="115" t="str">
        <f t="shared" si="56"/>
        <v/>
      </c>
      <c r="K255" s="102" t="str">
        <f>IF(A255&amp;B255="","",VLOOKUP(A255&amp;B255,INSUMOS!C:G,5,0))</f>
        <v/>
      </c>
    </row>
    <row r="256" spans="1:17" ht="15" x14ac:dyDescent="0.25">
      <c r="A256" s="109"/>
      <c r="B256" s="116"/>
      <c r="C256" s="518" t="str">
        <f>IF(A256&amp;B256="","",VLOOKUP(A256&amp;B256,INSUMOS!C:G,2,0))</f>
        <v/>
      </c>
      <c r="D256" s="519"/>
      <c r="E256" s="117" t="str">
        <f>IF(A256&amp;B256="","",VLOOKUP(A256&amp;B256,INSUMOS!C:G,3,0))</f>
        <v/>
      </c>
      <c r="F256" s="118"/>
      <c r="G256" s="113" t="str">
        <f>IF(A256&amp;B256="","",VLOOKUP(A256&amp;B256,INSUMOS!C:G,4,0))</f>
        <v/>
      </c>
      <c r="H256" s="119" t="str">
        <f t="shared" si="54"/>
        <v/>
      </c>
      <c r="I256" s="119" t="str">
        <f t="shared" si="55"/>
        <v/>
      </c>
      <c r="J256" s="115" t="str">
        <f t="shared" si="56"/>
        <v/>
      </c>
      <c r="K256" s="102" t="str">
        <f>IF(A256&amp;B256="","",VLOOKUP(A256&amp;B256,INSUMOS!C:G,5,0))</f>
        <v/>
      </c>
    </row>
    <row r="257" spans="1:17" ht="15" x14ac:dyDescent="0.25">
      <c r="A257" s="109"/>
      <c r="B257" s="116"/>
      <c r="C257" s="518" t="str">
        <f>IF(A257&amp;B257="","",VLOOKUP(A257&amp;B257,INSUMOS!C:G,2,0))</f>
        <v/>
      </c>
      <c r="D257" s="519"/>
      <c r="E257" s="117" t="str">
        <f>IF(A257&amp;B257="","",VLOOKUP(A257&amp;B257,INSUMOS!C:G,3,0))</f>
        <v/>
      </c>
      <c r="F257" s="118"/>
      <c r="G257" s="113" t="str">
        <f>IF(A257&amp;B257="","",VLOOKUP(A257&amp;B257,INSUMOS!C:G,4,0))</f>
        <v/>
      </c>
      <c r="H257" s="119" t="str">
        <f t="shared" si="54"/>
        <v/>
      </c>
      <c r="I257" s="119" t="str">
        <f t="shared" si="55"/>
        <v/>
      </c>
      <c r="J257" s="115" t="str">
        <f t="shared" si="56"/>
        <v/>
      </c>
      <c r="K257" s="102" t="str">
        <f>IF(A257&amp;B257="","",VLOOKUP(A257&amp;B257,INSUMOS!C:G,5,0))</f>
        <v/>
      </c>
    </row>
    <row r="258" spans="1:17" ht="15" x14ac:dyDescent="0.25">
      <c r="A258" s="109"/>
      <c r="B258" s="116"/>
      <c r="C258" s="518" t="str">
        <f>IF(A258&amp;B258="","",VLOOKUP(A258&amp;B258,INSUMOS!C:G,2,0))</f>
        <v/>
      </c>
      <c r="D258" s="519"/>
      <c r="E258" s="117" t="str">
        <f>IF(A258&amp;B258="","",VLOOKUP(A258&amp;B258,INSUMOS!C:G,3,0))</f>
        <v/>
      </c>
      <c r="F258" s="118"/>
      <c r="G258" s="113" t="str">
        <f>IF(A258&amp;B258="","",VLOOKUP(A258&amp;B258,INSUMOS!C:G,4,0))</f>
        <v/>
      </c>
      <c r="H258" s="119" t="str">
        <f t="shared" si="54"/>
        <v/>
      </c>
      <c r="I258" s="119" t="str">
        <f t="shared" si="55"/>
        <v/>
      </c>
      <c r="J258" s="115" t="str">
        <f t="shared" si="56"/>
        <v/>
      </c>
      <c r="K258" s="102" t="str">
        <f>IF(A258&amp;B258="","",VLOOKUP(A258&amp;B258,INSUMOS!C:G,5,0))</f>
        <v/>
      </c>
    </row>
    <row r="259" spans="1:17" ht="15" x14ac:dyDescent="0.25">
      <c r="A259" s="120"/>
      <c r="B259" s="121"/>
      <c r="C259" s="518" t="str">
        <f>IF(A259&amp;B259="","",VLOOKUP(A259&amp;B259,INSUMOS!C:G,2,0))</f>
        <v/>
      </c>
      <c r="D259" s="519"/>
      <c r="E259" s="117" t="str">
        <f>IF(A259&amp;B259="","",VLOOKUP(A259&amp;B259,INSUMOS!C:G,3,0))</f>
        <v/>
      </c>
      <c r="F259" s="118"/>
      <c r="G259" s="122" t="str">
        <f>IF(A259&amp;B259="","",VLOOKUP(A259&amp;B259,INSUMOS!C:G,4,0))</f>
        <v/>
      </c>
      <c r="H259" s="119" t="str">
        <f t="shared" si="54"/>
        <v/>
      </c>
      <c r="I259" s="119" t="str">
        <f t="shared" si="55"/>
        <v/>
      </c>
      <c r="J259" s="115" t="str">
        <f t="shared" si="56"/>
        <v/>
      </c>
      <c r="K259" s="102" t="str">
        <f>IF(A259&amp;B259="","",VLOOKUP(A259&amp;B259,INSUMOS!C:G,5,0))</f>
        <v/>
      </c>
    </row>
    <row r="260" spans="1:17" ht="15" x14ac:dyDescent="0.25">
      <c r="A260" s="120"/>
      <c r="B260" s="121"/>
      <c r="C260" s="518" t="str">
        <f>IF(A260&amp;B260="","",VLOOKUP(A260&amp;B260,INSUMOS!C:G,2,0))</f>
        <v/>
      </c>
      <c r="D260" s="519"/>
      <c r="E260" s="117" t="str">
        <f>IF(A260&amp;B260="","",VLOOKUP(A260&amp;B260,INSUMOS!C:G,3,0))</f>
        <v/>
      </c>
      <c r="F260" s="118"/>
      <c r="G260" s="122" t="str">
        <f>IF(A260&amp;B260="","",VLOOKUP(A260&amp;B260,INSUMOS!C:G,4,0))</f>
        <v/>
      </c>
      <c r="H260" s="119" t="str">
        <f t="shared" si="54"/>
        <v/>
      </c>
      <c r="I260" s="119" t="str">
        <f t="shared" si="55"/>
        <v/>
      </c>
      <c r="J260" s="115" t="str">
        <f t="shared" si="56"/>
        <v/>
      </c>
      <c r="K260" s="102" t="str">
        <f>IF(A260&amp;B260="","",VLOOKUP(A260&amp;B260,INSUMOS!C:G,5,0))</f>
        <v/>
      </c>
    </row>
    <row r="261" spans="1:17" ht="15" x14ac:dyDescent="0.25">
      <c r="A261" s="120"/>
      <c r="B261" s="121"/>
      <c r="C261" s="518" t="str">
        <f>IF(A261&amp;B261="","",VLOOKUP(A261&amp;B261,INSUMOS!C:G,2,0))</f>
        <v/>
      </c>
      <c r="D261" s="519"/>
      <c r="E261" s="117" t="str">
        <f>IF(A261&amp;B261="","",VLOOKUP(A261&amp;B261,INSUMOS!C:G,3,0))</f>
        <v/>
      </c>
      <c r="F261" s="118"/>
      <c r="G261" s="122" t="str">
        <f>IF(A261&amp;B261="","",VLOOKUP(A261&amp;B261,INSUMOS!C:G,4,0))</f>
        <v/>
      </c>
      <c r="H261" s="119" t="str">
        <f t="shared" si="54"/>
        <v/>
      </c>
      <c r="I261" s="119" t="str">
        <f t="shared" si="55"/>
        <v/>
      </c>
      <c r="J261" s="115" t="str">
        <f t="shared" si="56"/>
        <v/>
      </c>
      <c r="K261" s="102" t="str">
        <f>IF(A261&amp;B261="","",VLOOKUP(A261&amp;B261,INSUMOS!C:G,5,0))</f>
        <v/>
      </c>
    </row>
    <row r="262" spans="1:17" ht="15" x14ac:dyDescent="0.25">
      <c r="A262" s="123" t="s">
        <v>4399</v>
      </c>
      <c r="B262" s="520"/>
      <c r="C262" s="520"/>
      <c r="D262" s="520"/>
      <c r="E262" s="520"/>
      <c r="F262" s="521"/>
      <c r="G262" s="124" t="s">
        <v>50</v>
      </c>
      <c r="H262" s="125">
        <f>SUM(H249:H261)</f>
        <v>5.3000000000000007</v>
      </c>
      <c r="I262" s="125">
        <f>SUM(I249:I261)</f>
        <v>138.29000000000002</v>
      </c>
      <c r="J262" s="126">
        <f>SUM(J249:J261)</f>
        <v>0</v>
      </c>
    </row>
    <row r="263" spans="1:17" ht="15" x14ac:dyDescent="0.25">
      <c r="A263" s="127" t="s">
        <v>4400</v>
      </c>
      <c r="B263" s="128"/>
      <c r="C263" s="128"/>
      <c r="D263" s="127" t="s">
        <v>51</v>
      </c>
      <c r="E263" s="128"/>
      <c r="F263" s="129"/>
      <c r="G263" s="130" t="s">
        <v>55</v>
      </c>
      <c r="H263" s="131" t="s">
        <v>52</v>
      </c>
      <c r="I263" s="132"/>
      <c r="J263" s="125">
        <f>SUM(H262:J262)</f>
        <v>143.59000000000003</v>
      </c>
    </row>
    <row r="264" spans="1:17" ht="15" x14ac:dyDescent="0.25">
      <c r="A264" s="313" t="str">
        <f>$I$3</f>
        <v>Carlos Wieck</v>
      </c>
      <c r="B264" s="133"/>
      <c r="C264" s="133"/>
      <c r="D264" s="134"/>
      <c r="E264" s="133"/>
      <c r="F264" s="135"/>
      <c r="G264" s="522">
        <f>$J$5</f>
        <v>43040</v>
      </c>
      <c r="H264" s="136" t="s">
        <v>53</v>
      </c>
      <c r="I264" s="137"/>
      <c r="J264" s="125">
        <f>TRUNC(I264*J263,2)</f>
        <v>0</v>
      </c>
    </row>
    <row r="265" spans="1:17" ht="15" x14ac:dyDescent="0.25">
      <c r="A265" s="314"/>
      <c r="B265" s="139"/>
      <c r="C265" s="139"/>
      <c r="D265" s="138"/>
      <c r="E265" s="139"/>
      <c r="F265" s="140"/>
      <c r="G265" s="523"/>
      <c r="H265" s="141" t="s">
        <v>54</v>
      </c>
      <c r="I265" s="142"/>
      <c r="J265" s="143">
        <f>J264+J263</f>
        <v>143.59000000000003</v>
      </c>
      <c r="L265" s="102" t="str">
        <f>A246</f>
        <v>FDE ADAPTADO</v>
      </c>
      <c r="M265" s="144">
        <f>B246</f>
        <v>703095</v>
      </c>
      <c r="N265" s="102" t="str">
        <f>L265&amp;M265</f>
        <v>FDE ADAPTADO703095</v>
      </c>
      <c r="O265" s="103" t="str">
        <f>D245</f>
        <v>Telha de aço galvanizado chapa 0,5mm com sand. Poliuretan h=50mm sup. Trapez com inf. Plano com pintura faces aparente</v>
      </c>
      <c r="P265" s="145" t="str">
        <f>J246</f>
        <v>m²</v>
      </c>
      <c r="Q265" s="145">
        <f>J265</f>
        <v>143.59000000000003</v>
      </c>
    </row>
    <row r="266" spans="1:17" ht="15" customHeight="1" x14ac:dyDescent="0.25">
      <c r="A266" s="524" t="s">
        <v>40</v>
      </c>
      <c r="B266" s="525"/>
      <c r="C266" s="104" t="s">
        <v>41</v>
      </c>
      <c r="D266" s="526" t="str">
        <f>IF(B267="","",VLOOKUP(B267,SERVIÇOS!B:E,3,0))</f>
        <v>CA-22 Canaleta de águas pluviais em concreto (30cm)</v>
      </c>
      <c r="E266" s="526"/>
      <c r="F266" s="526"/>
      <c r="G266" s="526"/>
      <c r="H266" s="526"/>
      <c r="I266" s="527"/>
      <c r="J266" s="105" t="s">
        <v>42</v>
      </c>
    </row>
    <row r="267" spans="1:17" ht="15" x14ac:dyDescent="0.25">
      <c r="A267" s="230" t="s">
        <v>4704</v>
      </c>
      <c r="B267" s="230">
        <v>1605032</v>
      </c>
      <c r="C267" s="106"/>
      <c r="D267" s="528"/>
      <c r="E267" s="528"/>
      <c r="F267" s="528"/>
      <c r="G267" s="528"/>
      <c r="H267" s="528"/>
      <c r="I267" s="529"/>
      <c r="J267" s="107" t="str">
        <f>IF(B267="","",VLOOKUP(B267,SERVIÇOS!B:E,4,0))</f>
        <v>m</v>
      </c>
    </row>
    <row r="268" spans="1:17" ht="15" x14ac:dyDescent="0.25">
      <c r="A268" s="530" t="s">
        <v>4397</v>
      </c>
      <c r="B268" s="531" t="s">
        <v>11</v>
      </c>
      <c r="C268" s="533" t="s">
        <v>43</v>
      </c>
      <c r="D268" s="534"/>
      <c r="E268" s="530" t="s">
        <v>13</v>
      </c>
      <c r="F268" s="530" t="s">
        <v>44</v>
      </c>
      <c r="G268" s="538" t="s">
        <v>45</v>
      </c>
      <c r="H268" s="108" t="s">
        <v>46</v>
      </c>
      <c r="I268" s="108"/>
      <c r="J268" s="108"/>
    </row>
    <row r="269" spans="1:17" ht="15" x14ac:dyDescent="0.25">
      <c r="A269" s="530"/>
      <c r="B269" s="532"/>
      <c r="C269" s="535"/>
      <c r="D269" s="536"/>
      <c r="E269" s="537"/>
      <c r="F269" s="537"/>
      <c r="G269" s="539"/>
      <c r="H269" s="108" t="s">
        <v>47</v>
      </c>
      <c r="I269" s="108" t="s">
        <v>48</v>
      </c>
      <c r="J269" s="108" t="s">
        <v>49</v>
      </c>
    </row>
    <row r="270" spans="1:17" ht="15" x14ac:dyDescent="0.25">
      <c r="A270" s="109" t="s">
        <v>4398</v>
      </c>
      <c r="B270" s="110">
        <v>10111</v>
      </c>
      <c r="C270" s="540" t="str">
        <f>IF(A270&amp;B270="","",VLOOKUP(A270&amp;B270,INSUMOS!C:G,2,0))</f>
        <v>Carpinteiro</v>
      </c>
      <c r="D270" s="541"/>
      <c r="E270" s="111" t="str">
        <f>IF(A270&amp;B270="","",VLOOKUP(A270&amp;B270,INSUMOS!C:G,3,0))</f>
        <v>h</v>
      </c>
      <c r="F270" s="112">
        <v>1.452</v>
      </c>
      <c r="G270" s="113">
        <f>IF(A270&amp;B270="","",VLOOKUP(A270&amp;B270,INSUMOS!C:G,4,0))</f>
        <v>13.380699</v>
      </c>
      <c r="H270" s="114">
        <f>IF(K270="MO",TRUNC(F270*G270,2),"")</f>
        <v>19.420000000000002</v>
      </c>
      <c r="I270" s="114" t="str">
        <f>IF(K270="MT",TRUNC(F270*G270,2),"")</f>
        <v/>
      </c>
      <c r="J270" s="115" t="str">
        <f>IF(K270="EQ",TRUNC(F270*G270,2),"")</f>
        <v/>
      </c>
      <c r="K270" s="102" t="str">
        <f>IF(A270&amp;B270="","",VLOOKUP(A270&amp;B270,INSUMOS!C:G,5,0))</f>
        <v>MO</v>
      </c>
    </row>
    <row r="271" spans="1:17" ht="15" x14ac:dyDescent="0.25">
      <c r="A271" s="109" t="s">
        <v>4398</v>
      </c>
      <c r="B271" s="116">
        <v>10112</v>
      </c>
      <c r="C271" s="518" t="str">
        <f>IF(A271&amp;B271="","",VLOOKUP(A271&amp;B271,INSUMOS!C:G,2,0))</f>
        <v>Ajudante de carpinteiro</v>
      </c>
      <c r="D271" s="519"/>
      <c r="E271" s="117" t="str">
        <f>IF(A271&amp;B271="","",VLOOKUP(A271&amp;B271,INSUMOS!C:G,3,0))</f>
        <v>h</v>
      </c>
      <c r="F271" s="118">
        <v>1.452</v>
      </c>
      <c r="G271" s="113">
        <f>IF(A271&amp;B271="","",VLOOKUP(A271&amp;B271,INSUMOS!C:G,4,0))</f>
        <v>10.985028</v>
      </c>
      <c r="H271" s="119">
        <f t="shared" ref="H271:H282" si="57">IF(K271="MO",TRUNC(F271*G271,2),"")</f>
        <v>15.95</v>
      </c>
      <c r="I271" s="119" t="str">
        <f t="shared" ref="I271:I282" si="58">IF(K271="MT",TRUNC(F271*G271,2),"")</f>
        <v/>
      </c>
      <c r="J271" s="115" t="str">
        <f t="shared" ref="J271:J282" si="59">IF(K271="EQ",TRUNC(F271*G271,2),"")</f>
        <v/>
      </c>
      <c r="K271" s="102" t="str">
        <f>IF(A271&amp;B271="","",VLOOKUP(A271&amp;B271,INSUMOS!C:G,5,0))</f>
        <v>MO</v>
      </c>
    </row>
    <row r="272" spans="1:17" ht="15" x14ac:dyDescent="0.25">
      <c r="A272" s="109" t="s">
        <v>4398</v>
      </c>
      <c r="B272" s="116">
        <v>10139</v>
      </c>
      <c r="C272" s="518" t="str">
        <f>IF(A272&amp;B272="","",VLOOKUP(A272&amp;B272,INSUMOS!C:G,2,0))</f>
        <v xml:space="preserve">Pedreiro </v>
      </c>
      <c r="D272" s="519"/>
      <c r="E272" s="117" t="str">
        <f>IF(A272&amp;B272="","",VLOOKUP(A272&amp;B272,INSUMOS!C:G,3,0))</f>
        <v>h</v>
      </c>
      <c r="F272" s="118">
        <v>0.36599999999999999</v>
      </c>
      <c r="G272" s="113">
        <f>IF(A272&amp;B272="","",VLOOKUP(A272&amp;B272,INSUMOS!C:G,4,0))</f>
        <v>13.731285</v>
      </c>
      <c r="H272" s="119">
        <f t="shared" si="57"/>
        <v>5.0199999999999996</v>
      </c>
      <c r="I272" s="119" t="str">
        <f t="shared" si="58"/>
        <v/>
      </c>
      <c r="J272" s="115" t="str">
        <f t="shared" si="59"/>
        <v/>
      </c>
      <c r="K272" s="102" t="str">
        <f>IF(A272&amp;B272="","",VLOOKUP(A272&amp;B272,INSUMOS!C:G,5,0))</f>
        <v>MO</v>
      </c>
    </row>
    <row r="273" spans="1:17" ht="15" x14ac:dyDescent="0.25">
      <c r="A273" s="109" t="s">
        <v>4398</v>
      </c>
      <c r="B273" s="116">
        <v>10146</v>
      </c>
      <c r="C273" s="518" t="str">
        <f>IF(A273&amp;B273="","",VLOOKUP(A273&amp;B273,INSUMOS!C:G,2,0))</f>
        <v>Servente</v>
      </c>
      <c r="D273" s="519"/>
      <c r="E273" s="117" t="str">
        <f>IF(A273&amp;B273="","",VLOOKUP(A273&amp;B273,INSUMOS!C:G,3,0))</f>
        <v>h</v>
      </c>
      <c r="F273" s="118">
        <v>1.8394999999999999</v>
      </c>
      <c r="G273" s="113">
        <f>IF(A273&amp;B273="","",VLOOKUP(A273&amp;B273,INSUMOS!C:G,4,0))</f>
        <v>11.335614</v>
      </c>
      <c r="H273" s="119">
        <f t="shared" si="57"/>
        <v>20.85</v>
      </c>
      <c r="I273" s="119" t="str">
        <f t="shared" si="58"/>
        <v/>
      </c>
      <c r="J273" s="115" t="str">
        <f t="shared" si="59"/>
        <v/>
      </c>
      <c r="K273" s="102" t="str">
        <f>IF(A273&amp;B273="","",VLOOKUP(A273&amp;B273,INSUMOS!C:G,5,0))</f>
        <v>MO</v>
      </c>
    </row>
    <row r="274" spans="1:17" ht="15" x14ac:dyDescent="0.25">
      <c r="A274" s="109" t="s">
        <v>4398</v>
      </c>
      <c r="B274" s="116">
        <v>110309</v>
      </c>
      <c r="C274" s="518" t="str">
        <f>IF(A274&amp;B274="","",VLOOKUP(A274&amp;B274,INSUMOS!C:G,2,0))</f>
        <v>Concreto preparado no local, fck = 20,0 MPa</v>
      </c>
      <c r="D274" s="519"/>
      <c r="E274" s="117" t="str">
        <f>IF(A274&amp;B274="","",VLOOKUP(A274&amp;B274,INSUMOS!C:G,3,0))</f>
        <v>m³</v>
      </c>
      <c r="F274" s="118">
        <v>6.0999999999999999E-2</v>
      </c>
      <c r="G274" s="113">
        <f>IF(A274&amp;B274="","",VLOOKUP(A274&amp;B274,INSUMOS!C:G,4,0))</f>
        <v>306.44</v>
      </c>
      <c r="H274" s="119" t="str">
        <f t="shared" si="57"/>
        <v/>
      </c>
      <c r="I274" s="119">
        <f t="shared" si="58"/>
        <v>18.690000000000001</v>
      </c>
      <c r="J274" s="115" t="str">
        <f t="shared" si="59"/>
        <v/>
      </c>
      <c r="K274" s="102" t="str">
        <f>IF(A274&amp;B274="","",VLOOKUP(A274&amp;B274,INSUMOS!C:G,5,0))</f>
        <v>MT</v>
      </c>
    </row>
    <row r="275" spans="1:17" ht="15" x14ac:dyDescent="0.25">
      <c r="A275" s="109" t="s">
        <v>4398</v>
      </c>
      <c r="B275" s="116">
        <v>21014</v>
      </c>
      <c r="C275" s="518" t="str">
        <f>IF(A275&amp;B275="","",VLOOKUP(A275&amp;B275,INSUMOS!C:G,2,0))</f>
        <v>Sarrafo de cedrinho 2,5 x 5 cm</v>
      </c>
      <c r="D275" s="519"/>
      <c r="E275" s="117" t="str">
        <f>IF(A275&amp;B275="","",VLOOKUP(A275&amp;B275,INSUMOS!C:G,3,0))</f>
        <v>m</v>
      </c>
      <c r="F275" s="118">
        <v>2.64</v>
      </c>
      <c r="G275" s="113">
        <f>IF(A275&amp;B275="","",VLOOKUP(A275&amp;B275,INSUMOS!C:G,4,0))</f>
        <v>2.0299999999999998</v>
      </c>
      <c r="H275" s="119" t="str">
        <f t="shared" si="57"/>
        <v/>
      </c>
      <c r="I275" s="119">
        <f t="shared" si="58"/>
        <v>5.35</v>
      </c>
      <c r="J275" s="115" t="str">
        <f t="shared" si="59"/>
        <v/>
      </c>
      <c r="K275" s="102" t="str">
        <f>IF(A275&amp;B275="","",VLOOKUP(A275&amp;B275,INSUMOS!C:G,5,0))</f>
        <v>MT</v>
      </c>
    </row>
    <row r="276" spans="1:17" ht="15" x14ac:dyDescent="0.25">
      <c r="A276" s="109" t="s">
        <v>4398</v>
      </c>
      <c r="B276" s="116">
        <v>21032</v>
      </c>
      <c r="C276" s="518" t="str">
        <f>IF(A276&amp;B276="","",VLOOKUP(A276&amp;B276,INSUMOS!C:G,2,0))</f>
        <v>Chapa compensada cola PVA resinada de 12mm (2,20 x 1,10)m</v>
      </c>
      <c r="D276" s="519"/>
      <c r="E276" s="117" t="str">
        <f>IF(A276&amp;B276="","",VLOOKUP(A276&amp;B276,INSUMOS!C:G,3,0))</f>
        <v>m²</v>
      </c>
      <c r="F276" s="118">
        <v>0.66</v>
      </c>
      <c r="G276" s="113">
        <f>IF(A276&amp;B276="","",VLOOKUP(A276&amp;B276,INSUMOS!C:G,4,0))</f>
        <v>13.94</v>
      </c>
      <c r="H276" s="119" t="str">
        <f t="shared" si="57"/>
        <v/>
      </c>
      <c r="I276" s="119">
        <f t="shared" si="58"/>
        <v>9.1999999999999993</v>
      </c>
      <c r="J276" s="115" t="str">
        <f t="shared" si="59"/>
        <v/>
      </c>
      <c r="K276" s="102" t="str">
        <f>IF(A276&amp;B276="","",VLOOKUP(A276&amp;B276,INSUMOS!C:G,5,0))</f>
        <v>MT</v>
      </c>
    </row>
    <row r="277" spans="1:17" ht="15" x14ac:dyDescent="0.25">
      <c r="A277" s="109" t="s">
        <v>4398</v>
      </c>
      <c r="B277" s="116">
        <v>26760</v>
      </c>
      <c r="C277" s="518" t="str">
        <f>IF(A277&amp;B277="","",VLOOKUP(A277&amp;B277,INSUMOS!C:G,2,0))</f>
        <v>Prego diversas bitolas (referência 18 x 27)</v>
      </c>
      <c r="D277" s="519"/>
      <c r="E277" s="117" t="str">
        <f>IF(A277&amp;B277="","",VLOOKUP(A277&amp;B277,INSUMOS!C:G,3,0))</f>
        <v>kg</v>
      </c>
      <c r="F277" s="118">
        <v>0.26400000000000001</v>
      </c>
      <c r="G277" s="113">
        <f>IF(A277&amp;B277="","",VLOOKUP(A277&amp;B277,INSUMOS!C:G,4,0))</f>
        <v>5.0999999999999996</v>
      </c>
      <c r="H277" s="119" t="str">
        <f t="shared" si="57"/>
        <v/>
      </c>
      <c r="I277" s="119">
        <f t="shared" si="58"/>
        <v>1.34</v>
      </c>
      <c r="J277" s="115" t="str">
        <f t="shared" si="59"/>
        <v/>
      </c>
      <c r="K277" s="102" t="str">
        <f>IF(A277&amp;B277="","",VLOOKUP(A277&amp;B277,INSUMOS!C:G,5,0))</f>
        <v>MT</v>
      </c>
    </row>
    <row r="278" spans="1:17" ht="15" x14ac:dyDescent="0.25">
      <c r="A278" s="109"/>
      <c r="B278" s="116"/>
      <c r="C278" s="518" t="str">
        <f>IF(A278&amp;B278="","",VLOOKUP(A278&amp;B278,INSUMOS!C:G,2,0))</f>
        <v/>
      </c>
      <c r="D278" s="519"/>
      <c r="E278" s="117" t="str">
        <f>IF(A278&amp;B278="","",VLOOKUP(A278&amp;B278,INSUMOS!C:G,3,0))</f>
        <v/>
      </c>
      <c r="F278" s="118"/>
      <c r="G278" s="113" t="str">
        <f>IF(A278&amp;B278="","",VLOOKUP(A278&amp;B278,INSUMOS!C:G,4,0))</f>
        <v/>
      </c>
      <c r="H278" s="119" t="str">
        <f t="shared" si="57"/>
        <v/>
      </c>
      <c r="I278" s="119" t="str">
        <f t="shared" si="58"/>
        <v/>
      </c>
      <c r="J278" s="115" t="str">
        <f t="shared" si="59"/>
        <v/>
      </c>
      <c r="K278" s="102" t="str">
        <f>IF(A278&amp;B278="","",VLOOKUP(A278&amp;B278,INSUMOS!C:G,5,0))</f>
        <v/>
      </c>
    </row>
    <row r="279" spans="1:17" ht="15" x14ac:dyDescent="0.25">
      <c r="A279" s="109"/>
      <c r="B279" s="116"/>
      <c r="C279" s="518" t="str">
        <f>IF(A279&amp;B279="","",VLOOKUP(A279&amp;B279,INSUMOS!C:G,2,0))</f>
        <v/>
      </c>
      <c r="D279" s="519"/>
      <c r="E279" s="117" t="str">
        <f>IF(A279&amp;B279="","",VLOOKUP(A279&amp;B279,INSUMOS!C:G,3,0))</f>
        <v/>
      </c>
      <c r="F279" s="118"/>
      <c r="G279" s="113" t="str">
        <f>IF(A279&amp;B279="","",VLOOKUP(A279&amp;B279,INSUMOS!C:G,4,0))</f>
        <v/>
      </c>
      <c r="H279" s="119" t="str">
        <f t="shared" si="57"/>
        <v/>
      </c>
      <c r="I279" s="119" t="str">
        <f t="shared" si="58"/>
        <v/>
      </c>
      <c r="J279" s="115" t="str">
        <f t="shared" si="59"/>
        <v/>
      </c>
      <c r="K279" s="102" t="str">
        <f>IF(A279&amp;B279="","",VLOOKUP(A279&amp;B279,INSUMOS!C:G,5,0))</f>
        <v/>
      </c>
    </row>
    <row r="280" spans="1:17" ht="15" x14ac:dyDescent="0.25">
      <c r="A280" s="120"/>
      <c r="B280" s="121"/>
      <c r="C280" s="518" t="str">
        <f>IF(A280&amp;B280="","",VLOOKUP(A280&amp;B280,INSUMOS!C:G,2,0))</f>
        <v/>
      </c>
      <c r="D280" s="519"/>
      <c r="E280" s="117" t="str">
        <f>IF(A280&amp;B280="","",VLOOKUP(A280&amp;B280,INSUMOS!C:G,3,0))</f>
        <v/>
      </c>
      <c r="F280" s="118"/>
      <c r="G280" s="122" t="str">
        <f>IF(A280&amp;B280="","",VLOOKUP(A280&amp;B280,INSUMOS!C:G,4,0))</f>
        <v/>
      </c>
      <c r="H280" s="119" t="str">
        <f t="shared" si="57"/>
        <v/>
      </c>
      <c r="I280" s="119" t="str">
        <f t="shared" si="58"/>
        <v/>
      </c>
      <c r="J280" s="115" t="str">
        <f t="shared" si="59"/>
        <v/>
      </c>
      <c r="K280" s="102" t="str">
        <f>IF(A280&amp;B280="","",VLOOKUP(A280&amp;B280,INSUMOS!C:G,5,0))</f>
        <v/>
      </c>
    </row>
    <row r="281" spans="1:17" ht="15" x14ac:dyDescent="0.25">
      <c r="A281" s="120"/>
      <c r="B281" s="121"/>
      <c r="C281" s="518" t="str">
        <f>IF(A281&amp;B281="","",VLOOKUP(A281&amp;B281,INSUMOS!C:G,2,0))</f>
        <v/>
      </c>
      <c r="D281" s="519"/>
      <c r="E281" s="117" t="str">
        <f>IF(A281&amp;B281="","",VLOOKUP(A281&amp;B281,INSUMOS!C:G,3,0))</f>
        <v/>
      </c>
      <c r="F281" s="118"/>
      <c r="G281" s="122" t="str">
        <f>IF(A281&amp;B281="","",VLOOKUP(A281&amp;B281,INSUMOS!C:G,4,0))</f>
        <v/>
      </c>
      <c r="H281" s="119" t="str">
        <f t="shared" si="57"/>
        <v/>
      </c>
      <c r="I281" s="119" t="str">
        <f t="shared" si="58"/>
        <v/>
      </c>
      <c r="J281" s="115" t="str">
        <f t="shared" si="59"/>
        <v/>
      </c>
      <c r="K281" s="102" t="str">
        <f>IF(A281&amp;B281="","",VLOOKUP(A281&amp;B281,INSUMOS!C:G,5,0))</f>
        <v/>
      </c>
    </row>
    <row r="282" spans="1:17" ht="15" x14ac:dyDescent="0.25">
      <c r="A282" s="120"/>
      <c r="B282" s="121"/>
      <c r="C282" s="518" t="str">
        <f>IF(A282&amp;B282="","",VLOOKUP(A282&amp;B282,INSUMOS!C:G,2,0))</f>
        <v/>
      </c>
      <c r="D282" s="519"/>
      <c r="E282" s="117" t="str">
        <f>IF(A282&amp;B282="","",VLOOKUP(A282&amp;B282,INSUMOS!C:G,3,0))</f>
        <v/>
      </c>
      <c r="F282" s="118"/>
      <c r="G282" s="122" t="str">
        <f>IF(A282&amp;B282="","",VLOOKUP(A282&amp;B282,INSUMOS!C:G,4,0))</f>
        <v/>
      </c>
      <c r="H282" s="119" t="str">
        <f t="shared" si="57"/>
        <v/>
      </c>
      <c r="I282" s="119" t="str">
        <f t="shared" si="58"/>
        <v/>
      </c>
      <c r="J282" s="115" t="str">
        <f t="shared" si="59"/>
        <v/>
      </c>
      <c r="K282" s="102" t="str">
        <f>IF(A282&amp;B282="","",VLOOKUP(A282&amp;B282,INSUMOS!C:G,5,0))</f>
        <v/>
      </c>
    </row>
    <row r="283" spans="1:17" ht="15" x14ac:dyDescent="0.25">
      <c r="A283" s="123" t="s">
        <v>4399</v>
      </c>
      <c r="B283" s="520"/>
      <c r="C283" s="520"/>
      <c r="D283" s="520"/>
      <c r="E283" s="520"/>
      <c r="F283" s="521"/>
      <c r="G283" s="124" t="s">
        <v>50</v>
      </c>
      <c r="H283" s="125">
        <f>SUM(H270:H282)</f>
        <v>61.24</v>
      </c>
      <c r="I283" s="125">
        <f>SUM(I270:I282)</f>
        <v>34.58</v>
      </c>
      <c r="J283" s="126">
        <f>SUM(J270:J282)</f>
        <v>0</v>
      </c>
    </row>
    <row r="284" spans="1:17" ht="15" x14ac:dyDescent="0.25">
      <c r="A284" s="127" t="s">
        <v>4400</v>
      </c>
      <c r="B284" s="128"/>
      <c r="C284" s="128"/>
      <c r="D284" s="127" t="s">
        <v>51</v>
      </c>
      <c r="E284" s="128"/>
      <c r="F284" s="129"/>
      <c r="G284" s="130" t="s">
        <v>55</v>
      </c>
      <c r="H284" s="131" t="s">
        <v>52</v>
      </c>
      <c r="I284" s="132"/>
      <c r="J284" s="125">
        <f>SUM(H283:J283)</f>
        <v>95.82</v>
      </c>
    </row>
    <row r="285" spans="1:17" ht="15" x14ac:dyDescent="0.25">
      <c r="A285" s="313" t="str">
        <f>$I$3</f>
        <v>Carlos Wieck</v>
      </c>
      <c r="B285" s="133"/>
      <c r="C285" s="133"/>
      <c r="D285" s="134"/>
      <c r="E285" s="133"/>
      <c r="F285" s="135"/>
      <c r="G285" s="522">
        <f>$J$5</f>
        <v>43040</v>
      </c>
      <c r="H285" s="136" t="s">
        <v>53</v>
      </c>
      <c r="I285" s="137"/>
      <c r="J285" s="125">
        <f>TRUNC(I285*J284,2)</f>
        <v>0</v>
      </c>
    </row>
    <row r="286" spans="1:17" ht="15" x14ac:dyDescent="0.25">
      <c r="A286" s="314"/>
      <c r="B286" s="139"/>
      <c r="C286" s="139"/>
      <c r="D286" s="138"/>
      <c r="E286" s="139"/>
      <c r="F286" s="140"/>
      <c r="G286" s="523"/>
      <c r="H286" s="141" t="s">
        <v>54</v>
      </c>
      <c r="I286" s="142"/>
      <c r="J286" s="143">
        <f>J285+J284</f>
        <v>95.82</v>
      </c>
      <c r="L286" s="102" t="str">
        <f>A267</f>
        <v>FDE ADAPTADO</v>
      </c>
      <c r="M286" s="144">
        <f>B267</f>
        <v>1605032</v>
      </c>
      <c r="N286" s="102" t="str">
        <f>L286&amp;M286</f>
        <v>FDE ADAPTADO1605032</v>
      </c>
      <c r="O286" s="103" t="str">
        <f>D266</f>
        <v>CA-22 Canaleta de águas pluviais em concreto (30cm)</v>
      </c>
      <c r="P286" s="145" t="str">
        <f>J267</f>
        <v>m</v>
      </c>
      <c r="Q286" s="145">
        <f>J286</f>
        <v>95.82</v>
      </c>
    </row>
    <row r="287" spans="1:17" ht="15" x14ac:dyDescent="0.25">
      <c r="A287" s="127" t="s">
        <v>4400</v>
      </c>
      <c r="B287" s="128"/>
      <c r="C287" s="128"/>
      <c r="D287" s="127" t="s">
        <v>51</v>
      </c>
      <c r="E287" s="128"/>
      <c r="F287" s="129"/>
      <c r="G287" s="130" t="s">
        <v>55</v>
      </c>
      <c r="H287" s="131" t="s">
        <v>52</v>
      </c>
      <c r="I287" s="132"/>
      <c r="J287" s="125">
        <f>SUM(H286:J286)</f>
        <v>95.82</v>
      </c>
    </row>
    <row r="288" spans="1:17" ht="15" x14ac:dyDescent="0.25">
      <c r="A288" s="313" t="str">
        <f>$I$3</f>
        <v>Carlos Wieck</v>
      </c>
      <c r="B288" s="133"/>
      <c r="C288" s="133"/>
      <c r="D288" s="134"/>
      <c r="E288" s="133"/>
      <c r="F288" s="135"/>
      <c r="G288" s="522">
        <f>$J$5</f>
        <v>43040</v>
      </c>
      <c r="H288" s="136" t="s">
        <v>53</v>
      </c>
      <c r="I288" s="137"/>
      <c r="J288" s="125">
        <f>TRUNC(I288*J287,2)</f>
        <v>0</v>
      </c>
    </row>
    <row r="289" spans="1:17" ht="15" x14ac:dyDescent="0.25">
      <c r="A289" s="314"/>
      <c r="B289" s="139"/>
      <c r="C289" s="139"/>
      <c r="D289" s="138"/>
      <c r="E289" s="139"/>
      <c r="F289" s="140"/>
      <c r="G289" s="523"/>
      <c r="H289" s="141" t="s">
        <v>54</v>
      </c>
      <c r="I289" s="142"/>
      <c r="J289" s="143">
        <f>J288+J287</f>
        <v>95.82</v>
      </c>
      <c r="L289" s="102" t="str">
        <f>A270</f>
        <v>CPOS</v>
      </c>
      <c r="M289" s="144">
        <f>B270</f>
        <v>10111</v>
      </c>
      <c r="N289" s="102" t="str">
        <f>L289&amp;M289</f>
        <v>CPOS10111</v>
      </c>
      <c r="O289" s="103">
        <f>D269</f>
        <v>0</v>
      </c>
      <c r="P289" s="145" t="str">
        <f>J270</f>
        <v/>
      </c>
      <c r="Q289" s="145">
        <f>J289</f>
        <v>95.82</v>
      </c>
    </row>
    <row r="290" spans="1:17" ht="15" customHeight="1" x14ac:dyDescent="0.25">
      <c r="A290" s="524" t="s">
        <v>40</v>
      </c>
      <c r="B290" s="525"/>
      <c r="C290" s="104" t="s">
        <v>41</v>
      </c>
      <c r="D290" s="526" t="str">
        <f>IF(B291="","",VLOOKUP(B291,SERVIÇOS!B:E,3,0))</f>
        <v>Instal/ligacao provisoria eletrica baixa tensao p/cant obra obra,m3-chave 100a carga 3kwh,20cv excl forn medidor</v>
      </c>
      <c r="E290" s="526"/>
      <c r="F290" s="526"/>
      <c r="G290" s="526"/>
      <c r="H290" s="526"/>
      <c r="I290" s="527"/>
      <c r="J290" s="105" t="s">
        <v>42</v>
      </c>
    </row>
    <row r="291" spans="1:17" ht="15" x14ac:dyDescent="0.25">
      <c r="A291" s="230" t="s">
        <v>5177</v>
      </c>
      <c r="B291" s="230" t="s">
        <v>4839</v>
      </c>
      <c r="C291" s="106"/>
      <c r="D291" s="528"/>
      <c r="E291" s="528"/>
      <c r="F291" s="528"/>
      <c r="G291" s="528"/>
      <c r="H291" s="528"/>
      <c r="I291" s="529"/>
      <c r="J291" s="107" t="str">
        <f>IF(B291="","",VLOOKUP(B291,SERVIÇOS!B:E,4,0))</f>
        <v>un</v>
      </c>
    </row>
    <row r="292" spans="1:17" ht="15" x14ac:dyDescent="0.25">
      <c r="A292" s="530" t="s">
        <v>4397</v>
      </c>
      <c r="B292" s="531" t="s">
        <v>11</v>
      </c>
      <c r="C292" s="533" t="s">
        <v>43</v>
      </c>
      <c r="D292" s="534"/>
      <c r="E292" s="530" t="s">
        <v>13</v>
      </c>
      <c r="F292" s="530" t="s">
        <v>44</v>
      </c>
      <c r="G292" s="538" t="s">
        <v>45</v>
      </c>
      <c r="H292" s="108" t="s">
        <v>46</v>
      </c>
      <c r="I292" s="108"/>
      <c r="J292" s="108"/>
    </row>
    <row r="293" spans="1:17" ht="15" x14ac:dyDescent="0.25">
      <c r="A293" s="530"/>
      <c r="B293" s="532"/>
      <c r="C293" s="535"/>
      <c r="D293" s="536"/>
      <c r="E293" s="537"/>
      <c r="F293" s="537"/>
      <c r="G293" s="539"/>
      <c r="H293" s="108" t="s">
        <v>47</v>
      </c>
      <c r="I293" s="108" t="s">
        <v>48</v>
      </c>
      <c r="J293" s="108" t="s">
        <v>49</v>
      </c>
    </row>
    <row r="294" spans="1:17" ht="15" x14ac:dyDescent="0.25">
      <c r="A294" s="109" t="s">
        <v>4398</v>
      </c>
      <c r="B294" s="110">
        <v>10115</v>
      </c>
      <c r="C294" s="540" t="str">
        <f>IF(A294&amp;B294="","",VLOOKUP(A294&amp;B294,INSUMOS!C:G,2,0))</f>
        <v>Eletricista</v>
      </c>
      <c r="D294" s="541"/>
      <c r="E294" s="111" t="str">
        <f>IF(A294&amp;B294="","",VLOOKUP(A294&amp;B294,INSUMOS!C:G,3,0))</f>
        <v>h</v>
      </c>
      <c r="F294" s="112">
        <v>24</v>
      </c>
      <c r="G294" s="113">
        <f>IF(A294&amp;B294="","",VLOOKUP(A294&amp;B294,INSUMOS!C:G,4,0))</f>
        <v>15.5816</v>
      </c>
      <c r="H294" s="114">
        <f>IF(K294="MO",TRUNC(F294*G294,2),"")</f>
        <v>373.95</v>
      </c>
      <c r="I294" s="114" t="str">
        <f>IF(K294="MT",TRUNC(F294*G294,2),"")</f>
        <v/>
      </c>
      <c r="J294" s="115" t="str">
        <f>IF(K294="EQ",TRUNC(F294*G294,2),"")</f>
        <v/>
      </c>
      <c r="K294" s="102" t="str">
        <f>IF(A294&amp;B294="","",VLOOKUP(A294&amp;B294,INSUMOS!C:G,5,0))</f>
        <v>MO</v>
      </c>
    </row>
    <row r="295" spans="1:17" ht="15" x14ac:dyDescent="0.25">
      <c r="A295" s="109" t="s">
        <v>4398</v>
      </c>
      <c r="B295" s="116">
        <v>10146</v>
      </c>
      <c r="C295" s="518" t="str">
        <f>IF(A295&amp;B295="","",VLOOKUP(A295&amp;B295,INSUMOS!C:G,2,0))</f>
        <v>Servente</v>
      </c>
      <c r="D295" s="519"/>
      <c r="E295" s="117" t="str">
        <f>IF(A295&amp;B295="","",VLOOKUP(A295&amp;B295,INSUMOS!C:G,3,0))</f>
        <v>h</v>
      </c>
      <c r="F295" s="118">
        <v>24</v>
      </c>
      <c r="G295" s="113">
        <f>IF(A295&amp;B295="","",VLOOKUP(A295&amp;B295,INSUMOS!C:G,4,0))</f>
        <v>11.335614</v>
      </c>
      <c r="H295" s="119">
        <f t="shared" ref="H295:H307" si="60">IF(K295="MO",TRUNC(F295*G295,2),"")</f>
        <v>272.05</v>
      </c>
      <c r="I295" s="119" t="str">
        <f t="shared" ref="I295:I307" si="61">IF(K295="MT",TRUNC(F295*G295,2),"")</f>
        <v/>
      </c>
      <c r="J295" s="115" t="str">
        <f t="shared" ref="J295:J307" si="62">IF(K295="EQ",TRUNC(F295*G295,2),"")</f>
        <v/>
      </c>
      <c r="K295" s="102" t="str">
        <f>IF(A295&amp;B295="","",VLOOKUP(A295&amp;B295,INSUMOS!C:G,5,0))</f>
        <v>MO</v>
      </c>
    </row>
    <row r="296" spans="1:17" ht="15" x14ac:dyDescent="0.25">
      <c r="A296" s="109" t="s">
        <v>4810</v>
      </c>
      <c r="B296" s="116">
        <v>392</v>
      </c>
      <c r="C296" s="518" t="str">
        <f>IF(A296&amp;B296="","",VLOOKUP(A296&amp;B296,INSUMOS!C:G,2,0))</f>
        <v>Abracadeira tipo d 1/2" c/ parafuso"</v>
      </c>
      <c r="D296" s="519"/>
      <c r="E296" s="117" t="str">
        <f>IF(A296&amp;B296="","",VLOOKUP(A296&amp;B296,INSUMOS!C:G,3,0))</f>
        <v>un</v>
      </c>
      <c r="F296" s="118">
        <v>1</v>
      </c>
      <c r="G296" s="113">
        <f>IF(A296&amp;B296="","",VLOOKUP(A296&amp;B296,INSUMOS!C:G,4,0))</f>
        <v>0.42</v>
      </c>
      <c r="H296" s="119" t="str">
        <f t="shared" si="60"/>
        <v/>
      </c>
      <c r="I296" s="119">
        <f t="shared" si="61"/>
        <v>0.42</v>
      </c>
      <c r="J296" s="115" t="str">
        <f t="shared" si="62"/>
        <v/>
      </c>
      <c r="K296" s="102" t="str">
        <f>IF(A296&amp;B296="","",VLOOKUP(A296&amp;B296,INSUMOS!C:G,5,0))</f>
        <v>MT</v>
      </c>
    </row>
    <row r="297" spans="1:17" ht="15" x14ac:dyDescent="0.25">
      <c r="A297" s="109" t="s">
        <v>4810</v>
      </c>
      <c r="B297" s="116">
        <v>979</v>
      </c>
      <c r="C297" s="518" t="str">
        <f>IF(A297&amp;B297="","",VLOOKUP(A297&amp;B297,INSUMOS!C:G,2,0))</f>
        <v>Cabo de cobre flexível de 16 mm2, com isolamento anti-chama 450/750 v</v>
      </c>
      <c r="D297" s="519"/>
      <c r="E297" s="117" t="str">
        <f>IF(A297&amp;B297="","",VLOOKUP(A297&amp;B297,INSUMOS!C:G,3,0))</f>
        <v>m</v>
      </c>
      <c r="F297" s="118">
        <v>20</v>
      </c>
      <c r="G297" s="113">
        <f>IF(A297&amp;B297="","",VLOOKUP(A297&amp;B297,INSUMOS!C:G,4,0))</f>
        <v>6.7</v>
      </c>
      <c r="H297" s="119" t="str">
        <f t="shared" si="60"/>
        <v/>
      </c>
      <c r="I297" s="119">
        <f t="shared" si="61"/>
        <v>134</v>
      </c>
      <c r="J297" s="115" t="str">
        <f t="shared" si="62"/>
        <v/>
      </c>
      <c r="K297" s="102" t="str">
        <f>IF(A297&amp;B297="","",VLOOKUP(A297&amp;B297,INSUMOS!C:G,5,0))</f>
        <v>MT</v>
      </c>
    </row>
    <row r="298" spans="1:17" ht="15" x14ac:dyDescent="0.25">
      <c r="A298" s="109" t="s">
        <v>4810</v>
      </c>
      <c r="B298" s="116">
        <v>1875</v>
      </c>
      <c r="C298" s="518" t="str">
        <f>IF(A298&amp;B298="","",VLOOKUP(A298&amp;B298,INSUMOS!C:G,2,0))</f>
        <v>Curva pvc 90g p/ eletroduto roscavel 1 1/2"</v>
      </c>
      <c r="D298" s="519"/>
      <c r="E298" s="117" t="str">
        <f>IF(A298&amp;B298="","",VLOOKUP(A298&amp;B298,INSUMOS!C:G,3,0))</f>
        <v>un</v>
      </c>
      <c r="F298" s="118">
        <v>2</v>
      </c>
      <c r="G298" s="113">
        <f>IF(A298&amp;B298="","",VLOOKUP(A298&amp;B298,INSUMOS!C:G,4,0))</f>
        <v>5.99</v>
      </c>
      <c r="H298" s="119" t="str">
        <f t="shared" si="60"/>
        <v/>
      </c>
      <c r="I298" s="119">
        <f t="shared" si="61"/>
        <v>11.98</v>
      </c>
      <c r="J298" s="115" t="str">
        <f t="shared" si="62"/>
        <v/>
      </c>
      <c r="K298" s="102" t="str">
        <f>IF(A298&amp;B298="","",VLOOKUP(A298&amp;B298,INSUMOS!C:G,5,0))</f>
        <v>MT</v>
      </c>
    </row>
    <row r="299" spans="1:17" ht="15" x14ac:dyDescent="0.25">
      <c r="A299" s="109" t="s">
        <v>4810</v>
      </c>
      <c r="B299" s="116">
        <v>2673</v>
      </c>
      <c r="C299" s="518" t="str">
        <f>IF(A299&amp;B299="","",VLOOKUP(A299&amp;B299,INSUMOS!C:G,2,0))</f>
        <v>Eletroduto de pvc roscável de 1/2, sem luva</v>
      </c>
      <c r="D299" s="519"/>
      <c r="E299" s="117" t="str">
        <f>IF(A299&amp;B299="","",VLOOKUP(A299&amp;B299,INSUMOS!C:G,3,0))</f>
        <v>m</v>
      </c>
      <c r="F299" s="118">
        <v>12</v>
      </c>
      <c r="G299" s="113">
        <f>IF(A299&amp;B299="","",VLOOKUP(A299&amp;B299,INSUMOS!C:G,4,0))</f>
        <v>1.82</v>
      </c>
      <c r="H299" s="119" t="str">
        <f t="shared" si="60"/>
        <v/>
      </c>
      <c r="I299" s="119">
        <f t="shared" si="61"/>
        <v>21.84</v>
      </c>
      <c r="J299" s="115" t="str">
        <f t="shared" si="62"/>
        <v/>
      </c>
      <c r="K299" s="102" t="str">
        <f>IF(A299&amp;B299="","",VLOOKUP(A299&amp;B299,INSUMOS!C:G,5,0))</f>
        <v>MT</v>
      </c>
    </row>
    <row r="300" spans="1:17" ht="15" x14ac:dyDescent="0.25">
      <c r="A300" s="109" t="s">
        <v>4810</v>
      </c>
      <c r="B300" s="116">
        <v>3406</v>
      </c>
      <c r="C300" s="518" t="str">
        <f>IF(A300&amp;B300="","",VLOOKUP(A300&amp;B300,INSUMOS!C:G,2,0))</f>
        <v>Isolador de porcelana, tipo pino monocorpo, para tensao de *15* kv</v>
      </c>
      <c r="D300" s="519"/>
      <c r="E300" s="117" t="str">
        <f>IF(A300&amp;B300="","",VLOOKUP(A300&amp;B300,INSUMOS!C:G,3,0))</f>
        <v>un</v>
      </c>
      <c r="F300" s="118">
        <v>4</v>
      </c>
      <c r="G300" s="113">
        <f>IF(A300&amp;B300="","",VLOOKUP(A300&amp;B300,INSUMOS!C:G,4,0))</f>
        <v>18.149999999999999</v>
      </c>
      <c r="H300" s="119" t="str">
        <f t="shared" si="60"/>
        <v/>
      </c>
      <c r="I300" s="119">
        <f t="shared" si="61"/>
        <v>72.599999999999994</v>
      </c>
      <c r="J300" s="115" t="str">
        <f t="shared" si="62"/>
        <v/>
      </c>
      <c r="K300" s="102" t="str">
        <f>IF(A300&amp;B300="","",VLOOKUP(A300&amp;B300,INSUMOS!C:G,5,0))</f>
        <v>MT</v>
      </c>
    </row>
    <row r="301" spans="1:17" ht="15" x14ac:dyDescent="0.25">
      <c r="A301" s="109" t="s">
        <v>4810</v>
      </c>
      <c r="B301" s="116">
        <v>4481</v>
      </c>
      <c r="C301" s="518" t="str">
        <f>IF(A301&amp;B301="","",VLOOKUP(A301&amp;B301,INSUMOS!C:G,2,0))</f>
        <v>Peca de madeira de lei *7,5  x 15* cm ( 3"  x 6" ), não aparelhada, (p/telhado, estruturas permanentes)</v>
      </c>
      <c r="D301" s="519"/>
      <c r="E301" s="117" t="str">
        <f>IF(A301&amp;B301="","",VLOOKUP(A301&amp;B301,INSUMOS!C:G,3,0))</f>
        <v>m</v>
      </c>
      <c r="F301" s="118">
        <v>6</v>
      </c>
      <c r="G301" s="113">
        <f>IF(A301&amp;B301="","",VLOOKUP(A301&amp;B301,INSUMOS!C:G,4,0))</f>
        <v>25.72</v>
      </c>
      <c r="H301" s="119" t="str">
        <f t="shared" si="60"/>
        <v/>
      </c>
      <c r="I301" s="119">
        <f t="shared" si="61"/>
        <v>154.32</v>
      </c>
      <c r="J301" s="115" t="str">
        <f t="shared" si="62"/>
        <v/>
      </c>
      <c r="K301" s="102" t="str">
        <f>IF(A301&amp;B301="","",VLOOKUP(A301&amp;B301,INSUMOS!C:G,5,0))</f>
        <v>MT</v>
      </c>
    </row>
    <row r="302" spans="1:17" ht="15" x14ac:dyDescent="0.25">
      <c r="A302" s="109" t="s">
        <v>4810</v>
      </c>
      <c r="B302" s="116">
        <v>7701</v>
      </c>
      <c r="C302" s="518" t="str">
        <f>IF(A302&amp;B302="","",VLOOKUP(A302&amp;B302,INSUMOS!C:G,2,0))</f>
        <v>Tubo aco galv c/ costura din 2440/nbr 5580 classe media dn 2.1/2" (65mm) e=3,65mm - 6,51kg/m</v>
      </c>
      <c r="D302" s="519"/>
      <c r="E302" s="117" t="str">
        <f>IF(A302&amp;B302="","",VLOOKUP(A302&amp;B302,INSUMOS!C:G,3,0))</f>
        <v>m</v>
      </c>
      <c r="F302" s="118">
        <v>2</v>
      </c>
      <c r="G302" s="113">
        <f>IF(A302&amp;B302="","",VLOOKUP(A302&amp;B302,INSUMOS!C:G,4,0))</f>
        <v>46.52</v>
      </c>
      <c r="H302" s="119" t="str">
        <f t="shared" si="60"/>
        <v/>
      </c>
      <c r="I302" s="119">
        <f t="shared" si="61"/>
        <v>93.04</v>
      </c>
      <c r="J302" s="115" t="str">
        <f t="shared" si="62"/>
        <v/>
      </c>
      <c r="K302" s="102" t="str">
        <f>IF(A302&amp;B302="","",VLOOKUP(A302&amp;B302,INSUMOS!C:G,5,0))</f>
        <v>MT</v>
      </c>
    </row>
    <row r="303" spans="1:17" ht="15" x14ac:dyDescent="0.25">
      <c r="A303" s="109" t="s">
        <v>4810</v>
      </c>
      <c r="B303" s="116">
        <v>12056</v>
      </c>
      <c r="C303" s="518" t="str">
        <f>IF(A303&amp;B303="","",VLOOKUP(A303&amp;B303,INSUMOS!C:G,2,0))</f>
        <v>Eletroduto metalico flexivel tipo conduite d = 1 1/2"</v>
      </c>
      <c r="D303" s="519"/>
      <c r="E303" s="117" t="str">
        <f>IF(A303&amp;B303="","",VLOOKUP(A303&amp;B303,INSUMOS!C:G,3,0))</f>
        <v>m</v>
      </c>
      <c r="F303" s="118">
        <v>1</v>
      </c>
      <c r="G303" s="113">
        <f>IF(A303&amp;B303="","",VLOOKUP(A303&amp;B303,INSUMOS!C:G,4,0))</f>
        <v>14.21</v>
      </c>
      <c r="H303" s="119" t="str">
        <f t="shared" si="60"/>
        <v/>
      </c>
      <c r="I303" s="119">
        <f t="shared" si="61"/>
        <v>14.21</v>
      </c>
      <c r="J303" s="115" t="str">
        <f t="shared" si="62"/>
        <v/>
      </c>
      <c r="K303" s="102" t="str">
        <f>IF(A303&amp;B303="","",VLOOKUP(A303&amp;B303,INSUMOS!C:G,5,0))</f>
        <v>MT</v>
      </c>
    </row>
    <row r="304" spans="1:17" ht="15" x14ac:dyDescent="0.25">
      <c r="A304" s="109" t="s">
        <v>4810</v>
      </c>
      <c r="B304" s="121" t="s">
        <v>5421</v>
      </c>
      <c r="C304" s="518" t="str">
        <f>IF(A304&amp;B304="","",VLOOKUP(A304&amp;B304,INSUMOS!C:G,2,0))</f>
        <v>Chave faca tripolar c/base de ardosia/marmore 100a/250v</v>
      </c>
      <c r="D304" s="519"/>
      <c r="E304" s="117" t="str">
        <f>IF(A304&amp;B304="","",VLOOKUP(A304&amp;B304,INSUMOS!C:G,3,0))</f>
        <v>un</v>
      </c>
      <c r="F304" s="118">
        <v>1</v>
      </c>
      <c r="G304" s="122">
        <f>IF(A304&amp;B304="","",VLOOKUP(A304&amp;B304,INSUMOS!C:G,4,0))</f>
        <v>64.12</v>
      </c>
      <c r="H304" s="119" t="str">
        <f t="shared" si="60"/>
        <v/>
      </c>
      <c r="I304" s="119">
        <f t="shared" si="61"/>
        <v>64.12</v>
      </c>
      <c r="J304" s="115" t="str">
        <f t="shared" si="62"/>
        <v/>
      </c>
      <c r="K304" s="102" t="str">
        <f>IF(A304&amp;B304="","",VLOOKUP(A304&amp;B304,INSUMOS!C:G,5,0))</f>
        <v>MT</v>
      </c>
    </row>
    <row r="305" spans="1:17" ht="15" x14ac:dyDescent="0.25">
      <c r="A305" s="109" t="s">
        <v>4810</v>
      </c>
      <c r="B305" s="121" t="s">
        <v>5422</v>
      </c>
      <c r="C305" s="518" t="str">
        <f>IF(A305&amp;B305="","",VLOOKUP(A305&amp;B305,INSUMOS!C:G,2,0))</f>
        <v>Fusivel faca 100a - 250v fixo</v>
      </c>
      <c r="D305" s="519"/>
      <c r="E305" s="117" t="str">
        <f>IF(A305&amp;B305="","",VLOOKUP(A305&amp;B305,INSUMOS!C:G,3,0))</f>
        <v>un</v>
      </c>
      <c r="F305" s="118">
        <v>3</v>
      </c>
      <c r="G305" s="122">
        <f>IF(A305&amp;B305="","",VLOOKUP(A305&amp;B305,INSUMOS!C:G,4,0))</f>
        <v>6.57</v>
      </c>
      <c r="H305" s="119" t="str">
        <f t="shared" si="60"/>
        <v/>
      </c>
      <c r="I305" s="119">
        <f t="shared" si="61"/>
        <v>19.71</v>
      </c>
      <c r="J305" s="115" t="str">
        <f t="shared" si="62"/>
        <v/>
      </c>
      <c r="K305" s="102" t="str">
        <f>IF(A305&amp;B305="","",VLOOKUP(A305&amp;B305,INSUMOS!C:G,5,0))</f>
        <v>MT</v>
      </c>
    </row>
    <row r="306" spans="1:17" ht="15" x14ac:dyDescent="0.25">
      <c r="A306" s="109" t="s">
        <v>4810</v>
      </c>
      <c r="B306" s="121" t="s">
        <v>5423</v>
      </c>
      <c r="C306" s="518" t="str">
        <f>IF(A306&amp;B306="","",VLOOKUP(A306&amp;B306,INSUMOS!C:G,2,0))</f>
        <v>Fusivel rosca 15a - 250v fixo</v>
      </c>
      <c r="D306" s="519"/>
      <c r="E306" s="117" t="str">
        <f>IF(A306&amp;B306="","",VLOOKUP(A306&amp;B306,INSUMOS!C:G,3,0))</f>
        <v>un</v>
      </c>
      <c r="F306" s="118">
        <v>4</v>
      </c>
      <c r="G306" s="122">
        <f>IF(A306&amp;B306="","",VLOOKUP(A306&amp;B306,INSUMOS!C:G,4,0))</f>
        <v>1.56</v>
      </c>
      <c r="H306" s="119" t="str">
        <f t="shared" ref="H306" si="63">IF(K306="MO",TRUNC(F306*G306,2),"")</f>
        <v/>
      </c>
      <c r="I306" s="119">
        <f t="shared" ref="I306" si="64">IF(K306="MT",TRUNC(F306*G306,2),"")</f>
        <v>6.24</v>
      </c>
      <c r="J306" s="115" t="str">
        <f t="shared" ref="J306" si="65">IF(K306="EQ",TRUNC(F306*G306,2),"")</f>
        <v/>
      </c>
      <c r="K306" s="102" t="str">
        <f>IF(A306&amp;B306="","",VLOOKUP(A306&amp;B306,INSUMOS!C:G,5,0))</f>
        <v>MT</v>
      </c>
    </row>
    <row r="307" spans="1:17" ht="15" x14ac:dyDescent="0.25">
      <c r="A307" s="109" t="s">
        <v>4810</v>
      </c>
      <c r="B307" s="121" t="s">
        <v>5424</v>
      </c>
      <c r="C307" s="518" t="str">
        <f>IF(A307&amp;B307="","",VLOOKUP(A307&amp;B307,INSUMOS!C:G,2,0))</f>
        <v>Isolador de porcelana, tipo carretilha, dimensoes de 42 x 75 mm, 4 ranhuras</v>
      </c>
      <c r="D307" s="519"/>
      <c r="E307" s="117" t="str">
        <f>IF(A307&amp;B307="","",VLOOKUP(A307&amp;B307,INSUMOS!C:G,3,0))</f>
        <v>un</v>
      </c>
      <c r="F307" s="118">
        <v>4</v>
      </c>
      <c r="G307" s="122">
        <f>IF(A307&amp;B307="","",VLOOKUP(A307&amp;B307,INSUMOS!C:G,4,0))</f>
        <v>5.82</v>
      </c>
      <c r="H307" s="119" t="str">
        <f t="shared" si="60"/>
        <v/>
      </c>
      <c r="I307" s="119">
        <f t="shared" si="61"/>
        <v>23.28</v>
      </c>
      <c r="J307" s="115" t="str">
        <f t="shared" si="62"/>
        <v/>
      </c>
      <c r="K307" s="102" t="str">
        <f>IF(A307&amp;B307="","",VLOOKUP(A307&amp;B307,INSUMOS!C:G,5,0))</f>
        <v>MT</v>
      </c>
    </row>
    <row r="308" spans="1:17" ht="15" x14ac:dyDescent="0.25">
      <c r="A308" s="123" t="s">
        <v>4399</v>
      </c>
      <c r="B308" s="520"/>
      <c r="C308" s="520"/>
      <c r="D308" s="520"/>
      <c r="E308" s="520"/>
      <c r="F308" s="521"/>
      <c r="G308" s="124" t="s">
        <v>50</v>
      </c>
      <c r="H308" s="125">
        <f>SUM(H294:H307)</f>
        <v>646</v>
      </c>
      <c r="I308" s="125">
        <f>SUM(I294:I307)</f>
        <v>615.76</v>
      </c>
      <c r="J308" s="126">
        <f>SUM(J294:J307)</f>
        <v>0</v>
      </c>
    </row>
    <row r="309" spans="1:17" ht="15" x14ac:dyDescent="0.25">
      <c r="A309" s="127" t="s">
        <v>4400</v>
      </c>
      <c r="B309" s="128"/>
      <c r="C309" s="128"/>
      <c r="D309" s="127" t="s">
        <v>51</v>
      </c>
      <c r="E309" s="128"/>
      <c r="F309" s="129"/>
      <c r="G309" s="130" t="s">
        <v>55</v>
      </c>
      <c r="H309" s="131" t="s">
        <v>52</v>
      </c>
      <c r="I309" s="132"/>
      <c r="J309" s="125">
        <f>SUM(H308:J308)</f>
        <v>1261.76</v>
      </c>
    </row>
    <row r="310" spans="1:17" ht="15" x14ac:dyDescent="0.25">
      <c r="A310" s="313" t="str">
        <f>$I$3</f>
        <v>Carlos Wieck</v>
      </c>
      <c r="B310" s="133"/>
      <c r="C310" s="133"/>
      <c r="D310" s="134"/>
      <c r="E310" s="133"/>
      <c r="F310" s="135"/>
      <c r="G310" s="522">
        <f>$J$5</f>
        <v>43040</v>
      </c>
      <c r="H310" s="136" t="s">
        <v>53</v>
      </c>
      <c r="I310" s="137"/>
      <c r="J310" s="125">
        <f>TRUNC(I310*J309,2)</f>
        <v>0</v>
      </c>
    </row>
    <row r="311" spans="1:17" ht="15" x14ac:dyDescent="0.25">
      <c r="A311" s="314"/>
      <c r="B311" s="139"/>
      <c r="C311" s="139"/>
      <c r="D311" s="138"/>
      <c r="E311" s="139"/>
      <c r="F311" s="140"/>
      <c r="G311" s="523"/>
      <c r="H311" s="141" t="s">
        <v>54</v>
      </c>
      <c r="I311" s="142"/>
      <c r="J311" s="143">
        <f>J310+J309</f>
        <v>1261.76</v>
      </c>
      <c r="L311" s="102" t="str">
        <f>A291</f>
        <v>SINAPI ADAPTADO</v>
      </c>
      <c r="M311" s="144" t="str">
        <f>B291</f>
        <v>73960/001</v>
      </c>
      <c r="N311" s="102" t="str">
        <f>L311&amp;M311</f>
        <v>SINAPI ADAPTADO73960/001</v>
      </c>
      <c r="O311" s="103" t="str">
        <f>D290</f>
        <v>Instal/ligacao provisoria eletrica baixa tensao p/cant obra obra,m3-chave 100a carga 3kwh,20cv excl forn medidor</v>
      </c>
      <c r="P311" s="145" t="str">
        <f>J291</f>
        <v>un</v>
      </c>
      <c r="Q311" s="145">
        <f>J311</f>
        <v>1261.76</v>
      </c>
    </row>
    <row r="312" spans="1:17" ht="15" customHeight="1" x14ac:dyDescent="0.25">
      <c r="A312" s="524" t="s">
        <v>40</v>
      </c>
      <c r="B312" s="525"/>
      <c r="C312" s="104" t="s">
        <v>41</v>
      </c>
      <c r="D312" s="526" t="str">
        <f>IF(B313="","",VLOOKUP(B313,SERVIÇOS!B:E,3,0))</f>
        <v>Cuba de semi encaixe quadrada com mesa em louça branca ref. Deca L.830.17 ou equivalente</v>
      </c>
      <c r="E312" s="526"/>
      <c r="F312" s="526"/>
      <c r="G312" s="526"/>
      <c r="H312" s="526"/>
      <c r="I312" s="527"/>
      <c r="J312" s="105" t="s">
        <v>42</v>
      </c>
    </row>
    <row r="313" spans="1:17" ht="15" x14ac:dyDescent="0.25">
      <c r="A313" s="230" t="s">
        <v>4715</v>
      </c>
      <c r="B313" s="230" t="s">
        <v>4716</v>
      </c>
      <c r="C313" s="106"/>
      <c r="D313" s="528"/>
      <c r="E313" s="528"/>
      <c r="F313" s="528"/>
      <c r="G313" s="528"/>
      <c r="H313" s="528"/>
      <c r="I313" s="529"/>
      <c r="J313" s="107" t="str">
        <f>IF(B313="","",VLOOKUP(B313,SERVIÇOS!B:E,4,0))</f>
        <v>un</v>
      </c>
    </row>
    <row r="314" spans="1:17" ht="15" x14ac:dyDescent="0.25">
      <c r="A314" s="530" t="s">
        <v>4397</v>
      </c>
      <c r="B314" s="531" t="s">
        <v>11</v>
      </c>
      <c r="C314" s="533" t="s">
        <v>43</v>
      </c>
      <c r="D314" s="534"/>
      <c r="E314" s="530" t="s">
        <v>13</v>
      </c>
      <c r="F314" s="530" t="s">
        <v>44</v>
      </c>
      <c r="G314" s="538" t="s">
        <v>45</v>
      </c>
      <c r="H314" s="108" t="s">
        <v>46</v>
      </c>
      <c r="I314" s="108"/>
      <c r="J314" s="108"/>
    </row>
    <row r="315" spans="1:17" ht="15" x14ac:dyDescent="0.25">
      <c r="A315" s="530"/>
      <c r="B315" s="532"/>
      <c r="C315" s="535"/>
      <c r="D315" s="536"/>
      <c r="E315" s="537"/>
      <c r="F315" s="537"/>
      <c r="G315" s="539"/>
      <c r="H315" s="108" t="s">
        <v>47</v>
      </c>
      <c r="I315" s="108" t="s">
        <v>48</v>
      </c>
      <c r="J315" s="108" t="s">
        <v>49</v>
      </c>
    </row>
    <row r="316" spans="1:17" ht="15" x14ac:dyDescent="0.25">
      <c r="A316" s="109" t="s">
        <v>4398</v>
      </c>
      <c r="B316" s="110">
        <v>10118</v>
      </c>
      <c r="C316" s="540" t="str">
        <f>IF(A316&amp;B316="","",VLOOKUP(A316&amp;B316,INSUMOS!C:G,2,0))</f>
        <v xml:space="preserve">Encanador </v>
      </c>
      <c r="D316" s="541"/>
      <c r="E316" s="111" t="str">
        <f>IF(A316&amp;B316="","",VLOOKUP(A316&amp;B316,INSUMOS!C:G,3,0))</f>
        <v>h</v>
      </c>
      <c r="F316" s="112">
        <v>7.1999999999999995E-2</v>
      </c>
      <c r="G316" s="113">
        <f>IF(A316&amp;B316="","",VLOOKUP(A316&amp;B316,INSUMOS!C:G,4,0))</f>
        <v>16.906036</v>
      </c>
      <c r="H316" s="114">
        <f>IF(K316="MO",TRUNC(F316*G316,2),"")</f>
        <v>1.21</v>
      </c>
      <c r="I316" s="114" t="str">
        <f>IF(K316="MT",TRUNC(F316*G316,2),"")</f>
        <v/>
      </c>
      <c r="J316" s="115" t="str">
        <f>IF(K316="EQ",TRUNC(F316*G316,2),"")</f>
        <v/>
      </c>
      <c r="K316" s="102" t="str">
        <f>IF(A316&amp;B316="","",VLOOKUP(A316&amp;B316,INSUMOS!C:G,5,0))</f>
        <v>MO</v>
      </c>
    </row>
    <row r="317" spans="1:17" ht="15" x14ac:dyDescent="0.25">
      <c r="A317" s="109" t="s">
        <v>4398</v>
      </c>
      <c r="B317" s="116">
        <v>10119</v>
      </c>
      <c r="C317" s="518" t="str">
        <f>IF(A317&amp;B317="","",VLOOKUP(A317&amp;B317,INSUMOS!C:G,2,0))</f>
        <v>Ajudante de encanador</v>
      </c>
      <c r="D317" s="519"/>
      <c r="E317" s="117" t="str">
        <f>IF(A317&amp;B317="","",VLOOKUP(A317&amp;B317,INSUMOS!C:G,3,0))</f>
        <v>h</v>
      </c>
      <c r="F317" s="118">
        <v>0.2298</v>
      </c>
      <c r="G317" s="113">
        <f>IF(A317&amp;B317="","",VLOOKUP(A317&amp;B317,INSUMOS!C:G,4,0))</f>
        <v>10.985028</v>
      </c>
      <c r="H317" s="119">
        <f t="shared" ref="H317:H328" si="66">IF(K317="MO",TRUNC(F317*G317,2),"")</f>
        <v>2.52</v>
      </c>
      <c r="I317" s="119" t="str">
        <f t="shared" ref="I317:I328" si="67">IF(K317="MT",TRUNC(F317*G317,2),"")</f>
        <v/>
      </c>
      <c r="J317" s="115" t="str">
        <f t="shared" ref="J317:J328" si="68">IF(K317="EQ",TRUNC(F317*G317,2),"")</f>
        <v/>
      </c>
      <c r="K317" s="102" t="str">
        <f>IF(A317&amp;B317="","",VLOOKUP(A317&amp;B317,INSUMOS!C:G,5,0))</f>
        <v>MO</v>
      </c>
    </row>
    <row r="318" spans="1:17" ht="15" x14ac:dyDescent="0.25">
      <c r="A318" s="109" t="s">
        <v>4398</v>
      </c>
      <c r="B318" s="116">
        <v>37501</v>
      </c>
      <c r="C318" s="518" t="str">
        <f>IF(A318&amp;B318="","",VLOOKUP(A318&amp;B318,INSUMOS!C:G,2,0))</f>
        <v>Massa plástica</v>
      </c>
      <c r="D318" s="519"/>
      <c r="E318" s="117" t="str">
        <f>IF(A318&amp;B318="","",VLOOKUP(A318&amp;B318,INSUMOS!C:G,3,0))</f>
        <v>kg</v>
      </c>
      <c r="F318" s="118">
        <v>8.0000000000000004E-4</v>
      </c>
      <c r="G318" s="113">
        <f>IF(A318&amp;B318="","",VLOOKUP(A318&amp;B318,INSUMOS!C:G,4,0))</f>
        <v>22.86</v>
      </c>
      <c r="H318" s="119" t="str">
        <f t="shared" si="66"/>
        <v/>
      </c>
      <c r="I318" s="119">
        <f t="shared" si="67"/>
        <v>0.01</v>
      </c>
      <c r="J318" s="115" t="str">
        <f t="shared" si="68"/>
        <v/>
      </c>
      <c r="K318" s="102" t="str">
        <f>IF(A318&amp;B318="","",VLOOKUP(A318&amp;B318,INSUMOS!C:G,5,0))</f>
        <v>MT</v>
      </c>
    </row>
    <row r="319" spans="1:17" ht="30" customHeight="1" x14ac:dyDescent="0.25">
      <c r="A319" s="109" t="s">
        <v>4717</v>
      </c>
      <c r="B319" s="116" t="s">
        <v>4728</v>
      </c>
      <c r="C319" s="518" t="str">
        <f>IF(A319&amp;B319="","",VLOOKUP(A319&amp;B319,INSUMOS!C:G,2,0))</f>
        <v>Cuba de semi encaixe quadrada com mesa em louça branca ref. Deca L.830.17 ou equivalente</v>
      </c>
      <c r="D319" s="519"/>
      <c r="E319" s="117" t="str">
        <f>IF(A319&amp;B319="","",VLOOKUP(A319&amp;B319,INSUMOS!C:G,3,0))</f>
        <v>un</v>
      </c>
      <c r="F319" s="118">
        <v>1</v>
      </c>
      <c r="G319" s="113">
        <f>IF(A319&amp;B319="","",VLOOKUP(A319&amp;B319,INSUMOS!C:G,4,0))</f>
        <v>498.90019999999998</v>
      </c>
      <c r="H319" s="119" t="str">
        <f t="shared" si="66"/>
        <v/>
      </c>
      <c r="I319" s="119">
        <f t="shared" si="67"/>
        <v>498.9</v>
      </c>
      <c r="J319" s="115" t="str">
        <f t="shared" si="68"/>
        <v/>
      </c>
      <c r="K319" s="102" t="str">
        <f>IF(A319&amp;B319="","",VLOOKUP(A319&amp;B319,INSUMOS!C:G,5,0))</f>
        <v>MT</v>
      </c>
    </row>
    <row r="320" spans="1:17" ht="15" x14ac:dyDescent="0.25">
      <c r="A320" s="109"/>
      <c r="B320" s="116"/>
      <c r="C320" s="518" t="str">
        <f>IF(A320&amp;B320="","",VLOOKUP(A320&amp;B320,INSUMOS!C:G,2,0))</f>
        <v/>
      </c>
      <c r="D320" s="519"/>
      <c r="E320" s="117" t="str">
        <f>IF(A320&amp;B320="","",VLOOKUP(A320&amp;B320,INSUMOS!C:G,3,0))</f>
        <v/>
      </c>
      <c r="F320" s="118"/>
      <c r="G320" s="113" t="str">
        <f>IF(A320&amp;B320="","",VLOOKUP(A320&amp;B320,INSUMOS!C:G,4,0))</f>
        <v/>
      </c>
      <c r="H320" s="119" t="str">
        <f t="shared" si="66"/>
        <v/>
      </c>
      <c r="I320" s="119" t="str">
        <f t="shared" si="67"/>
        <v/>
      </c>
      <c r="J320" s="115" t="str">
        <f t="shared" si="68"/>
        <v/>
      </c>
      <c r="K320" s="102" t="str">
        <f>IF(A320&amp;B320="","",VLOOKUP(A320&amp;B320,INSUMOS!C:G,5,0))</f>
        <v/>
      </c>
    </row>
    <row r="321" spans="1:17" ht="15" x14ac:dyDescent="0.25">
      <c r="A321" s="109"/>
      <c r="B321" s="116"/>
      <c r="C321" s="518" t="str">
        <f>IF(A321&amp;B321="","",VLOOKUP(A321&amp;B321,INSUMOS!C:G,2,0))</f>
        <v/>
      </c>
      <c r="D321" s="519"/>
      <c r="E321" s="117" t="str">
        <f>IF(A321&amp;B321="","",VLOOKUP(A321&amp;B321,INSUMOS!C:G,3,0))</f>
        <v/>
      </c>
      <c r="F321" s="118"/>
      <c r="G321" s="113" t="str">
        <f>IF(A321&amp;B321="","",VLOOKUP(A321&amp;B321,INSUMOS!C:G,4,0))</f>
        <v/>
      </c>
      <c r="H321" s="119" t="str">
        <f t="shared" si="66"/>
        <v/>
      </c>
      <c r="I321" s="119" t="str">
        <f t="shared" si="67"/>
        <v/>
      </c>
      <c r="J321" s="115" t="str">
        <f t="shared" si="68"/>
        <v/>
      </c>
      <c r="K321" s="102" t="str">
        <f>IF(A321&amp;B321="","",VLOOKUP(A321&amp;B321,INSUMOS!C:G,5,0))</f>
        <v/>
      </c>
    </row>
    <row r="322" spans="1:17" ht="15" x14ac:dyDescent="0.25">
      <c r="A322" s="109"/>
      <c r="B322" s="116"/>
      <c r="C322" s="518" t="str">
        <f>IF(A322&amp;B322="","",VLOOKUP(A322&amp;B322,INSUMOS!C:G,2,0))</f>
        <v/>
      </c>
      <c r="D322" s="519"/>
      <c r="E322" s="117" t="str">
        <f>IF(A322&amp;B322="","",VLOOKUP(A322&amp;B322,INSUMOS!C:G,3,0))</f>
        <v/>
      </c>
      <c r="F322" s="118"/>
      <c r="G322" s="113" t="str">
        <f>IF(A322&amp;B322="","",VLOOKUP(A322&amp;B322,INSUMOS!C:G,4,0))</f>
        <v/>
      </c>
      <c r="H322" s="119" t="str">
        <f t="shared" si="66"/>
        <v/>
      </c>
      <c r="I322" s="119" t="str">
        <f t="shared" si="67"/>
        <v/>
      </c>
      <c r="J322" s="115" t="str">
        <f t="shared" si="68"/>
        <v/>
      </c>
      <c r="K322" s="102" t="str">
        <f>IF(A322&amp;B322="","",VLOOKUP(A322&amp;B322,INSUMOS!C:G,5,0))</f>
        <v/>
      </c>
    </row>
    <row r="323" spans="1:17" ht="15" x14ac:dyDescent="0.25">
      <c r="A323" s="109"/>
      <c r="B323" s="116"/>
      <c r="C323" s="518" t="str">
        <f>IF(A323&amp;B323="","",VLOOKUP(A323&amp;B323,INSUMOS!C:G,2,0))</f>
        <v/>
      </c>
      <c r="D323" s="519"/>
      <c r="E323" s="117" t="str">
        <f>IF(A323&amp;B323="","",VLOOKUP(A323&amp;B323,INSUMOS!C:G,3,0))</f>
        <v/>
      </c>
      <c r="F323" s="118"/>
      <c r="G323" s="113" t="str">
        <f>IF(A323&amp;B323="","",VLOOKUP(A323&amp;B323,INSUMOS!C:G,4,0))</f>
        <v/>
      </c>
      <c r="H323" s="119" t="str">
        <f t="shared" si="66"/>
        <v/>
      </c>
      <c r="I323" s="119" t="str">
        <f t="shared" si="67"/>
        <v/>
      </c>
      <c r="J323" s="115" t="str">
        <f t="shared" si="68"/>
        <v/>
      </c>
      <c r="K323" s="102" t="str">
        <f>IF(A323&amp;B323="","",VLOOKUP(A323&amp;B323,INSUMOS!C:G,5,0))</f>
        <v/>
      </c>
    </row>
    <row r="324" spans="1:17" ht="15" x14ac:dyDescent="0.25">
      <c r="A324" s="109"/>
      <c r="B324" s="116"/>
      <c r="C324" s="518" t="str">
        <f>IF(A324&amp;B324="","",VLOOKUP(A324&amp;B324,INSUMOS!C:G,2,0))</f>
        <v/>
      </c>
      <c r="D324" s="519"/>
      <c r="E324" s="117" t="str">
        <f>IF(A324&amp;B324="","",VLOOKUP(A324&amp;B324,INSUMOS!C:G,3,0))</f>
        <v/>
      </c>
      <c r="F324" s="118"/>
      <c r="G324" s="113" t="str">
        <f>IF(A324&amp;B324="","",VLOOKUP(A324&amp;B324,INSUMOS!C:G,4,0))</f>
        <v/>
      </c>
      <c r="H324" s="119" t="str">
        <f t="shared" si="66"/>
        <v/>
      </c>
      <c r="I324" s="119" t="str">
        <f t="shared" si="67"/>
        <v/>
      </c>
      <c r="J324" s="115" t="str">
        <f t="shared" si="68"/>
        <v/>
      </c>
      <c r="K324" s="102" t="str">
        <f>IF(A324&amp;B324="","",VLOOKUP(A324&amp;B324,INSUMOS!C:G,5,0))</f>
        <v/>
      </c>
    </row>
    <row r="325" spans="1:17" ht="15" x14ac:dyDescent="0.25">
      <c r="A325" s="109"/>
      <c r="B325" s="116"/>
      <c r="C325" s="518" t="str">
        <f>IF(A325&amp;B325="","",VLOOKUP(A325&amp;B325,INSUMOS!C:G,2,0))</f>
        <v/>
      </c>
      <c r="D325" s="519"/>
      <c r="E325" s="117" t="str">
        <f>IF(A325&amp;B325="","",VLOOKUP(A325&amp;B325,INSUMOS!C:G,3,0))</f>
        <v/>
      </c>
      <c r="F325" s="118"/>
      <c r="G325" s="113" t="str">
        <f>IF(A325&amp;B325="","",VLOOKUP(A325&amp;B325,INSUMOS!C:G,4,0))</f>
        <v/>
      </c>
      <c r="H325" s="119" t="str">
        <f t="shared" si="66"/>
        <v/>
      </c>
      <c r="I325" s="119" t="str">
        <f t="shared" si="67"/>
        <v/>
      </c>
      <c r="J325" s="115" t="str">
        <f t="shared" si="68"/>
        <v/>
      </c>
      <c r="K325" s="102" t="str">
        <f>IF(A325&amp;B325="","",VLOOKUP(A325&amp;B325,INSUMOS!C:G,5,0))</f>
        <v/>
      </c>
    </row>
    <row r="326" spans="1:17" ht="15" x14ac:dyDescent="0.25">
      <c r="A326" s="120"/>
      <c r="B326" s="121"/>
      <c r="C326" s="518" t="str">
        <f>IF(A326&amp;B326="","",VLOOKUP(A326&amp;B326,INSUMOS!C:G,2,0))</f>
        <v/>
      </c>
      <c r="D326" s="519"/>
      <c r="E326" s="117" t="str">
        <f>IF(A326&amp;B326="","",VLOOKUP(A326&amp;B326,INSUMOS!C:G,3,0))</f>
        <v/>
      </c>
      <c r="F326" s="118"/>
      <c r="G326" s="122" t="str">
        <f>IF(A326&amp;B326="","",VLOOKUP(A326&amp;B326,INSUMOS!C:G,4,0))</f>
        <v/>
      </c>
      <c r="H326" s="119" t="str">
        <f t="shared" si="66"/>
        <v/>
      </c>
      <c r="I326" s="119" t="str">
        <f t="shared" si="67"/>
        <v/>
      </c>
      <c r="J326" s="115" t="str">
        <f t="shared" si="68"/>
        <v/>
      </c>
      <c r="K326" s="102" t="str">
        <f>IF(A326&amp;B326="","",VLOOKUP(A326&amp;B326,INSUMOS!C:G,5,0))</f>
        <v/>
      </c>
    </row>
    <row r="327" spans="1:17" ht="15" x14ac:dyDescent="0.25">
      <c r="A327" s="120"/>
      <c r="B327" s="121"/>
      <c r="C327" s="518" t="str">
        <f>IF(A327&amp;B327="","",VLOOKUP(A327&amp;B327,INSUMOS!C:G,2,0))</f>
        <v/>
      </c>
      <c r="D327" s="519"/>
      <c r="E327" s="117" t="str">
        <f>IF(A327&amp;B327="","",VLOOKUP(A327&amp;B327,INSUMOS!C:G,3,0))</f>
        <v/>
      </c>
      <c r="F327" s="118"/>
      <c r="G327" s="122" t="str">
        <f>IF(A327&amp;B327="","",VLOOKUP(A327&amp;B327,INSUMOS!C:G,4,0))</f>
        <v/>
      </c>
      <c r="H327" s="119" t="str">
        <f t="shared" si="66"/>
        <v/>
      </c>
      <c r="I327" s="119" t="str">
        <f t="shared" si="67"/>
        <v/>
      </c>
      <c r="J327" s="115" t="str">
        <f t="shared" si="68"/>
        <v/>
      </c>
      <c r="K327" s="102" t="str">
        <f>IF(A327&amp;B327="","",VLOOKUP(A327&amp;B327,INSUMOS!C:G,5,0))</f>
        <v/>
      </c>
    </row>
    <row r="328" spans="1:17" ht="15" x14ac:dyDescent="0.25">
      <c r="A328" s="120"/>
      <c r="B328" s="121"/>
      <c r="C328" s="518" t="str">
        <f>IF(A328&amp;B328="","",VLOOKUP(A328&amp;B328,INSUMOS!C:G,2,0))</f>
        <v/>
      </c>
      <c r="D328" s="519"/>
      <c r="E328" s="117" t="str">
        <f>IF(A328&amp;B328="","",VLOOKUP(A328&amp;B328,INSUMOS!C:G,3,0))</f>
        <v/>
      </c>
      <c r="F328" s="118"/>
      <c r="G328" s="122" t="str">
        <f>IF(A328&amp;B328="","",VLOOKUP(A328&amp;B328,INSUMOS!C:G,4,0))</f>
        <v/>
      </c>
      <c r="H328" s="119" t="str">
        <f t="shared" si="66"/>
        <v/>
      </c>
      <c r="I328" s="119" t="str">
        <f t="shared" si="67"/>
        <v/>
      </c>
      <c r="J328" s="115" t="str">
        <f t="shared" si="68"/>
        <v/>
      </c>
      <c r="K328" s="102" t="str">
        <f>IF(A328&amp;B328="","",VLOOKUP(A328&amp;B328,INSUMOS!C:G,5,0))</f>
        <v/>
      </c>
    </row>
    <row r="329" spans="1:17" ht="15" x14ac:dyDescent="0.25">
      <c r="A329" s="123" t="s">
        <v>4399</v>
      </c>
      <c r="B329" s="520"/>
      <c r="C329" s="520"/>
      <c r="D329" s="520"/>
      <c r="E329" s="520"/>
      <c r="F329" s="521"/>
      <c r="G329" s="124" t="s">
        <v>50</v>
      </c>
      <c r="H329" s="125">
        <f>SUM(H316:H328)</f>
        <v>3.73</v>
      </c>
      <c r="I329" s="125">
        <f>SUM(I316:I328)</f>
        <v>498.90999999999997</v>
      </c>
      <c r="J329" s="126">
        <f>SUM(J316:J328)</f>
        <v>0</v>
      </c>
    </row>
    <row r="330" spans="1:17" ht="15" x14ac:dyDescent="0.25">
      <c r="A330" s="127" t="s">
        <v>4400</v>
      </c>
      <c r="B330" s="128"/>
      <c r="C330" s="128"/>
      <c r="D330" s="127" t="s">
        <v>51</v>
      </c>
      <c r="E330" s="128"/>
      <c r="F330" s="129"/>
      <c r="G330" s="130" t="s">
        <v>55</v>
      </c>
      <c r="H330" s="131" t="s">
        <v>52</v>
      </c>
      <c r="I330" s="132"/>
      <c r="J330" s="125">
        <f>SUM(H329:J329)</f>
        <v>502.64</v>
      </c>
    </row>
    <row r="331" spans="1:17" ht="15" x14ac:dyDescent="0.25">
      <c r="A331" s="313" t="str">
        <f>$I$3</f>
        <v>Carlos Wieck</v>
      </c>
      <c r="B331" s="133"/>
      <c r="C331" s="133"/>
      <c r="D331" s="134"/>
      <c r="E331" s="133"/>
      <c r="F331" s="135"/>
      <c r="G331" s="522">
        <f>$J$5</f>
        <v>43040</v>
      </c>
      <c r="H331" s="136" t="s">
        <v>53</v>
      </c>
      <c r="I331" s="137"/>
      <c r="J331" s="125">
        <f>TRUNC(I331*J330,2)</f>
        <v>0</v>
      </c>
    </row>
    <row r="332" spans="1:17" ht="15" x14ac:dyDescent="0.25">
      <c r="A332" s="314"/>
      <c r="B332" s="139"/>
      <c r="C332" s="139"/>
      <c r="D332" s="138"/>
      <c r="E332" s="139"/>
      <c r="F332" s="140"/>
      <c r="G332" s="523"/>
      <c r="H332" s="141" t="s">
        <v>54</v>
      </c>
      <c r="I332" s="142"/>
      <c r="J332" s="143">
        <f>J331+J330</f>
        <v>502.64</v>
      </c>
      <c r="L332" s="102" t="str">
        <f>A313</f>
        <v>COMPOSIÇÃO</v>
      </c>
      <c r="M332" s="144" t="str">
        <f>B313</f>
        <v>FF-001</v>
      </c>
      <c r="N332" s="102" t="str">
        <f>L332&amp;M332</f>
        <v>COMPOSIÇÃOFF-001</v>
      </c>
      <c r="O332" s="103" t="str">
        <f>D312</f>
        <v>Cuba de semi encaixe quadrada com mesa em louça branca ref. Deca L.830.17 ou equivalente</v>
      </c>
      <c r="P332" s="145" t="str">
        <f>J313</f>
        <v>un</v>
      </c>
      <c r="Q332" s="145">
        <f>J332</f>
        <v>502.64</v>
      </c>
    </row>
    <row r="333" spans="1:17" ht="15" customHeight="1" x14ac:dyDescent="0.25">
      <c r="A333" s="524" t="s">
        <v>40</v>
      </c>
      <c r="B333" s="525"/>
      <c r="C333" s="104" t="s">
        <v>41</v>
      </c>
      <c r="D333" s="526" t="str">
        <f>IF(B334="","",VLOOKUP(B334,SERVIÇOS!B:E,3,0))</f>
        <v>Bancada em painel com miolo de madeira contraplacado por lâminas de madeira e externamente por chapas em CRFS, para piso, ref. Eternit ou equivalente. Com pintura epóxi cor branca</v>
      </c>
      <c r="E333" s="526"/>
      <c r="F333" s="526"/>
      <c r="G333" s="526"/>
      <c r="H333" s="526"/>
      <c r="I333" s="527"/>
      <c r="J333" s="105" t="s">
        <v>42</v>
      </c>
    </row>
    <row r="334" spans="1:17" ht="15" x14ac:dyDescent="0.25">
      <c r="A334" s="230" t="s">
        <v>4715</v>
      </c>
      <c r="B334" s="230" t="s">
        <v>4738</v>
      </c>
      <c r="C334" s="106"/>
      <c r="D334" s="528"/>
      <c r="E334" s="528"/>
      <c r="F334" s="528"/>
      <c r="G334" s="528"/>
      <c r="H334" s="528"/>
      <c r="I334" s="529"/>
      <c r="J334" s="107" t="str">
        <f>IF(B334="","",VLOOKUP(B334,SERVIÇOS!B:E,4,0))</f>
        <v>m²</v>
      </c>
    </row>
    <row r="335" spans="1:17" ht="15" x14ac:dyDescent="0.25">
      <c r="A335" s="530" t="s">
        <v>4397</v>
      </c>
      <c r="B335" s="531" t="s">
        <v>11</v>
      </c>
      <c r="C335" s="533" t="s">
        <v>43</v>
      </c>
      <c r="D335" s="534"/>
      <c r="E335" s="530" t="s">
        <v>13</v>
      </c>
      <c r="F335" s="530" t="s">
        <v>44</v>
      </c>
      <c r="G335" s="538" t="s">
        <v>45</v>
      </c>
      <c r="H335" s="108" t="s">
        <v>46</v>
      </c>
      <c r="I335" s="108"/>
      <c r="J335" s="108"/>
    </row>
    <row r="336" spans="1:17" ht="15" x14ac:dyDescent="0.25">
      <c r="A336" s="530"/>
      <c r="B336" s="532"/>
      <c r="C336" s="535"/>
      <c r="D336" s="536"/>
      <c r="E336" s="537"/>
      <c r="F336" s="537"/>
      <c r="G336" s="539"/>
      <c r="H336" s="108" t="s">
        <v>47</v>
      </c>
      <c r="I336" s="108" t="s">
        <v>48</v>
      </c>
      <c r="J336" s="108" t="s">
        <v>49</v>
      </c>
    </row>
    <row r="337" spans="1:17" ht="15" x14ac:dyDescent="0.25">
      <c r="A337" s="109" t="s">
        <v>4398</v>
      </c>
      <c r="B337" s="116">
        <v>10146</v>
      </c>
      <c r="C337" s="540" t="str">
        <f>IF(A337&amp;B337="","",VLOOKUP(A337&amp;B337,INSUMOS!C:G,2,0))</f>
        <v>Servente</v>
      </c>
      <c r="D337" s="541"/>
      <c r="E337" s="111" t="str">
        <f>IF(A337&amp;B337="","",VLOOKUP(A337&amp;B337,INSUMOS!C:G,3,0))</f>
        <v>h</v>
      </c>
      <c r="F337" s="112">
        <v>0.5</v>
      </c>
      <c r="G337" s="113">
        <f>IF(A337&amp;B337="","",VLOOKUP(A337&amp;B337,INSUMOS!C:G,4,0))</f>
        <v>11.335614</v>
      </c>
      <c r="H337" s="114">
        <f>IF(K337="MO",TRUNC(F337*G337,2),"")</f>
        <v>5.66</v>
      </c>
      <c r="I337" s="114" t="str">
        <f>IF(K337="MT",TRUNC(F337*G337,2),"")</f>
        <v/>
      </c>
      <c r="J337" s="115" t="str">
        <f>IF(K337="EQ",TRUNC(F337*G337,2),"")</f>
        <v/>
      </c>
      <c r="K337" s="102" t="str">
        <f>IF(A337&amp;B337="","",VLOOKUP(A337&amp;B337,INSUMOS!C:G,5,0))</f>
        <v>MO</v>
      </c>
    </row>
    <row r="338" spans="1:17" ht="15" x14ac:dyDescent="0.25">
      <c r="A338" s="109" t="s">
        <v>4398</v>
      </c>
      <c r="B338" s="116">
        <v>10111</v>
      </c>
      <c r="C338" s="518" t="str">
        <f>IF(A338&amp;B338="","",VLOOKUP(A338&amp;B338,INSUMOS!C:G,2,0))</f>
        <v>Carpinteiro</v>
      </c>
      <c r="D338" s="519"/>
      <c r="E338" s="117" t="str">
        <f>IF(A338&amp;B338="","",VLOOKUP(A338&amp;B338,INSUMOS!C:G,3,0))</f>
        <v>h</v>
      </c>
      <c r="F338" s="118">
        <v>0.5</v>
      </c>
      <c r="G338" s="113">
        <f>IF(A338&amp;B338="","",VLOOKUP(A338&amp;B338,INSUMOS!C:G,4,0))</f>
        <v>13.380699</v>
      </c>
      <c r="H338" s="119">
        <f t="shared" ref="H338:H348" si="69">IF(K338="MO",TRUNC(F338*G338,2),"")</f>
        <v>6.69</v>
      </c>
      <c r="I338" s="119" t="str">
        <f t="shared" ref="I338:I348" si="70">IF(K338="MT",TRUNC(F338*G338,2),"")</f>
        <v/>
      </c>
      <c r="J338" s="115" t="str">
        <f t="shared" ref="J338:J348" si="71">IF(K338="EQ",TRUNC(F338*G338,2),"")</f>
        <v/>
      </c>
      <c r="K338" s="102" t="str">
        <f>IF(A338&amp;B338="","",VLOOKUP(A338&amp;B338,INSUMOS!C:G,5,0))</f>
        <v>MO</v>
      </c>
    </row>
    <row r="339" spans="1:17" ht="15" x14ac:dyDescent="0.25">
      <c r="A339" s="109" t="s">
        <v>4398</v>
      </c>
      <c r="B339" s="116">
        <v>10140</v>
      </c>
      <c r="C339" s="518" t="str">
        <f>IF(A339&amp;B339="","",VLOOKUP(A339&amp;B339,INSUMOS!C:G,2,0))</f>
        <v>Pintor</v>
      </c>
      <c r="D339" s="519"/>
      <c r="E339" s="117" t="str">
        <f>IF(A339&amp;B339="","",VLOOKUP(A339&amp;B339,INSUMOS!C:G,3,0))</f>
        <v>h</v>
      </c>
      <c r="F339" s="118">
        <v>0.9</v>
      </c>
      <c r="G339" s="113">
        <f>IF(A339&amp;B339="","",VLOOKUP(A339&amp;B339,INSUMOS!C:G,4,0))</f>
        <v>14.198733000000001</v>
      </c>
      <c r="H339" s="119">
        <f>IF(K339="MO",TRUNC(F339*G339,2),"")</f>
        <v>12.77</v>
      </c>
      <c r="I339" s="119" t="str">
        <f>IF(K339="MT",TRUNC(F339*G339,2),"")</f>
        <v/>
      </c>
      <c r="J339" s="115" t="str">
        <f>IF(K339="EQ",TRUNC(F339*G339,2),"")</f>
        <v/>
      </c>
      <c r="K339" s="102" t="str">
        <f>IF(A339&amp;B339="","",VLOOKUP(A339&amp;B339,INSUMOS!C:G,5,0))</f>
        <v>MO</v>
      </c>
    </row>
    <row r="340" spans="1:17" ht="15" x14ac:dyDescent="0.25">
      <c r="A340" s="109" t="s">
        <v>4398</v>
      </c>
      <c r="B340" s="116">
        <v>10141</v>
      </c>
      <c r="C340" s="518" t="str">
        <f>IF(A340&amp;B340="","",VLOOKUP(A340&amp;B340,INSUMOS!C:G,2,0))</f>
        <v xml:space="preserve">Ajudante de pintor </v>
      </c>
      <c r="D340" s="519"/>
      <c r="E340" s="117" t="str">
        <f>IF(A340&amp;B340="","",VLOOKUP(A340&amp;B340,INSUMOS!C:G,3,0))</f>
        <v>h</v>
      </c>
      <c r="F340" s="118">
        <v>0.9</v>
      </c>
      <c r="G340" s="113">
        <f>IF(A340&amp;B340="","",VLOOKUP(A340&amp;B340,INSUMOS!C:G,4,0))</f>
        <v>10.985028</v>
      </c>
      <c r="H340" s="119">
        <f>IF(K340="MO",TRUNC(F340*G340,2),"")</f>
        <v>9.8800000000000008</v>
      </c>
      <c r="I340" s="119" t="str">
        <f>IF(K340="MT",TRUNC(F340*G340,2),"")</f>
        <v/>
      </c>
      <c r="J340" s="115" t="str">
        <f>IF(K340="EQ",TRUNC(F340*G340,2),"")</f>
        <v/>
      </c>
      <c r="K340" s="102" t="str">
        <f>IF(A340&amp;B340="","",VLOOKUP(A340&amp;B340,INSUMOS!C:G,5,0))</f>
        <v>MO</v>
      </c>
    </row>
    <row r="341" spans="1:17" ht="30" customHeight="1" x14ac:dyDescent="0.25">
      <c r="A341" s="109" t="s">
        <v>4398</v>
      </c>
      <c r="B341" s="116">
        <v>25057</v>
      </c>
      <c r="C341" s="518" t="str">
        <f>IF(A341&amp;B341="","",VLOOKUP(A341&amp;B341,INSUMOS!C:G,2,0))</f>
        <v>Painel Wall com miolo de madeira contraplacado por lâminas de madeira e externamente por chapas em CRFS, para piso, ref. Eternit ou equivalente</v>
      </c>
      <c r="D341" s="519"/>
      <c r="E341" s="117" t="str">
        <f>IF(A341&amp;B341="","",VLOOKUP(A341&amp;B341,INSUMOS!C:G,3,0))</f>
        <v>m²</v>
      </c>
      <c r="F341" s="118">
        <v>1</v>
      </c>
      <c r="G341" s="113">
        <f>IF(A341&amp;B341="","",VLOOKUP(A341&amp;B341,INSUMOS!C:G,4,0))</f>
        <v>82.88</v>
      </c>
      <c r="H341" s="119" t="str">
        <f t="shared" si="69"/>
        <v/>
      </c>
      <c r="I341" s="119">
        <f t="shared" si="70"/>
        <v>82.88</v>
      </c>
      <c r="J341" s="115" t="str">
        <f t="shared" si="71"/>
        <v/>
      </c>
      <c r="K341" s="102" t="str">
        <f>IF(A341&amp;B341="","",VLOOKUP(A341&amp;B341,INSUMOS!C:G,5,0))</f>
        <v>MT</v>
      </c>
    </row>
    <row r="342" spans="1:17" ht="15" x14ac:dyDescent="0.25">
      <c r="A342" s="109" t="s">
        <v>4398</v>
      </c>
      <c r="B342" s="116">
        <v>28057</v>
      </c>
      <c r="C342" s="518" t="str">
        <f>IF(A342&amp;B342="","",VLOOKUP(A342&amp;B342,INSUMOS!C:G,2,0))</f>
        <v>Selador para tinta epóxi</v>
      </c>
      <c r="D342" s="519"/>
      <c r="E342" s="117" t="str">
        <f>IF(A342&amp;B342="","",VLOOKUP(A342&amp;B342,INSUMOS!C:G,3,0))</f>
        <v>l</v>
      </c>
      <c r="F342" s="118">
        <v>0.24</v>
      </c>
      <c r="G342" s="113">
        <f>IF(A342&amp;B342="","",VLOOKUP(A342&amp;B342,INSUMOS!C:G,4,0))</f>
        <v>35.58</v>
      </c>
      <c r="H342" s="119" t="str">
        <f t="shared" si="69"/>
        <v/>
      </c>
      <c r="I342" s="119">
        <f t="shared" si="70"/>
        <v>8.5299999999999994</v>
      </c>
      <c r="J342" s="115" t="str">
        <f t="shared" si="71"/>
        <v/>
      </c>
      <c r="K342" s="102" t="str">
        <f>IF(A342&amp;B342="","",VLOOKUP(A342&amp;B342,INSUMOS!C:G,5,0))</f>
        <v>MT</v>
      </c>
    </row>
    <row r="343" spans="1:17" ht="15" x14ac:dyDescent="0.25">
      <c r="A343" s="109" t="s">
        <v>4398</v>
      </c>
      <c r="B343" s="116">
        <v>37545</v>
      </c>
      <c r="C343" s="518" t="str">
        <f>IF(A343&amp;B343="","",VLOOKUP(A343&amp;B343,INSUMOS!C:G,2,0))</f>
        <v>Tinta-base epoxi</v>
      </c>
      <c r="D343" s="519"/>
      <c r="E343" s="117" t="str">
        <f>IF(A343&amp;B343="","",VLOOKUP(A343&amp;B343,INSUMOS!C:G,3,0))</f>
        <v>l</v>
      </c>
      <c r="F343" s="118">
        <v>0.5</v>
      </c>
      <c r="G343" s="113">
        <f>IF(A343&amp;B343="","",VLOOKUP(A343&amp;B343,INSUMOS!C:G,4,0))</f>
        <v>44.74</v>
      </c>
      <c r="H343" s="119" t="str">
        <f t="shared" si="69"/>
        <v/>
      </c>
      <c r="I343" s="119">
        <f t="shared" si="70"/>
        <v>22.37</v>
      </c>
      <c r="J343" s="115" t="str">
        <f t="shared" si="71"/>
        <v/>
      </c>
      <c r="K343" s="102" t="str">
        <f>IF(A343&amp;B343="","",VLOOKUP(A343&amp;B343,INSUMOS!C:G,5,0))</f>
        <v>MT</v>
      </c>
    </row>
    <row r="344" spans="1:17" ht="15" x14ac:dyDescent="0.25">
      <c r="A344" s="109" t="s">
        <v>4398</v>
      </c>
      <c r="B344" s="116">
        <v>38014</v>
      </c>
      <c r="C344" s="518" t="str">
        <f>IF(A344&amp;B344="","",VLOOKUP(A344&amp;B344,INSUMOS!C:G,2,0))</f>
        <v>Lixa massa/madeira uso geral Norton, Alcar ou equivalente (médias)</v>
      </c>
      <c r="D344" s="519"/>
      <c r="E344" s="117" t="str">
        <f>IF(A344&amp;B344="","",VLOOKUP(A344&amp;B344,INSUMOS!C:G,3,0))</f>
        <v>un</v>
      </c>
      <c r="F344" s="118">
        <v>0.3</v>
      </c>
      <c r="G344" s="113">
        <f>IF(A344&amp;B344="","",VLOOKUP(A344&amp;B344,INSUMOS!C:G,4,0))</f>
        <v>0.5</v>
      </c>
      <c r="H344" s="119" t="str">
        <f t="shared" si="69"/>
        <v/>
      </c>
      <c r="I344" s="119">
        <f t="shared" si="70"/>
        <v>0.15</v>
      </c>
      <c r="J344" s="115" t="str">
        <f t="shared" si="71"/>
        <v/>
      </c>
      <c r="K344" s="102" t="str">
        <f>IF(A344&amp;B344="","",VLOOKUP(A344&amp;B344,INSUMOS!C:G,5,0))</f>
        <v>MT</v>
      </c>
    </row>
    <row r="345" spans="1:17" ht="15" x14ac:dyDescent="0.25">
      <c r="A345" s="109" t="s">
        <v>4701</v>
      </c>
      <c r="B345" s="116">
        <v>31065</v>
      </c>
      <c r="C345" s="518" t="str">
        <f>IF(A345&amp;B345="","",VLOOKUP(A345&amp;B345,INSUMOS!C:G,2,0))</f>
        <v>Suporte  metálico (perfil laminado trabalhado)</v>
      </c>
      <c r="D345" s="519"/>
      <c r="E345" s="117" t="str">
        <f>IF(A345&amp;B345="","",VLOOKUP(A345&amp;B345,INSUMOS!C:G,3,0))</f>
        <v>kg</v>
      </c>
      <c r="F345" s="118">
        <v>6.23</v>
      </c>
      <c r="G345" s="113">
        <f>IF(A345&amp;B345="","",VLOOKUP(A345&amp;B345,INSUMOS!C:G,4,0))</f>
        <v>17.28</v>
      </c>
      <c r="H345" s="119" t="str">
        <f t="shared" si="69"/>
        <v/>
      </c>
      <c r="I345" s="119">
        <f t="shared" si="70"/>
        <v>107.65</v>
      </c>
      <c r="J345" s="115" t="str">
        <f t="shared" si="71"/>
        <v/>
      </c>
      <c r="K345" s="102" t="str">
        <f>IF(A345&amp;B345="","",VLOOKUP(A345&amp;B345,INSUMOS!C:G,5,0))</f>
        <v>MT</v>
      </c>
    </row>
    <row r="346" spans="1:17" ht="15" x14ac:dyDescent="0.25">
      <c r="A346" s="120"/>
      <c r="B346" s="121"/>
      <c r="C346" s="518" t="str">
        <f>IF(A346&amp;B346="","",VLOOKUP(A346&amp;B346,INSUMOS!C:G,2,0))</f>
        <v/>
      </c>
      <c r="D346" s="519"/>
      <c r="E346" s="117" t="str">
        <f>IF(A346&amp;B346="","",VLOOKUP(A346&amp;B346,INSUMOS!C:G,3,0))</f>
        <v/>
      </c>
      <c r="F346" s="118"/>
      <c r="G346" s="122" t="str">
        <f>IF(A346&amp;B346="","",VLOOKUP(A346&amp;B346,INSUMOS!C:G,4,0))</f>
        <v/>
      </c>
      <c r="H346" s="119" t="str">
        <f t="shared" si="69"/>
        <v/>
      </c>
      <c r="I346" s="119" t="str">
        <f t="shared" si="70"/>
        <v/>
      </c>
      <c r="J346" s="115" t="str">
        <f t="shared" si="71"/>
        <v/>
      </c>
      <c r="K346" s="102" t="str">
        <f>IF(A346&amp;B346="","",VLOOKUP(A346&amp;B346,INSUMOS!C:G,5,0))</f>
        <v/>
      </c>
    </row>
    <row r="347" spans="1:17" ht="15" x14ac:dyDescent="0.25">
      <c r="A347" s="120"/>
      <c r="B347" s="121"/>
      <c r="C347" s="518" t="str">
        <f>IF(A347&amp;B347="","",VLOOKUP(A347&amp;B347,INSUMOS!C:G,2,0))</f>
        <v/>
      </c>
      <c r="D347" s="519"/>
      <c r="E347" s="117" t="str">
        <f>IF(A347&amp;B347="","",VLOOKUP(A347&amp;B347,INSUMOS!C:G,3,0))</f>
        <v/>
      </c>
      <c r="F347" s="118"/>
      <c r="G347" s="122" t="str">
        <f>IF(A347&amp;B347="","",VLOOKUP(A347&amp;B347,INSUMOS!C:G,4,0))</f>
        <v/>
      </c>
      <c r="H347" s="119" t="str">
        <f t="shared" si="69"/>
        <v/>
      </c>
      <c r="I347" s="119" t="str">
        <f t="shared" si="70"/>
        <v/>
      </c>
      <c r="J347" s="115" t="str">
        <f t="shared" si="71"/>
        <v/>
      </c>
      <c r="K347" s="102" t="str">
        <f>IF(A347&amp;B347="","",VLOOKUP(A347&amp;B347,INSUMOS!C:G,5,0))</f>
        <v/>
      </c>
    </row>
    <row r="348" spans="1:17" ht="15" x14ac:dyDescent="0.25">
      <c r="A348" s="120"/>
      <c r="B348" s="121"/>
      <c r="C348" s="518" t="str">
        <f>IF(A348&amp;B348="","",VLOOKUP(A348&amp;B348,INSUMOS!C:G,2,0))</f>
        <v/>
      </c>
      <c r="D348" s="519"/>
      <c r="E348" s="117" t="str">
        <f>IF(A348&amp;B348="","",VLOOKUP(A348&amp;B348,INSUMOS!C:G,3,0))</f>
        <v/>
      </c>
      <c r="F348" s="118"/>
      <c r="G348" s="122" t="str">
        <f>IF(A348&amp;B348="","",VLOOKUP(A348&amp;B348,INSUMOS!C:G,4,0))</f>
        <v/>
      </c>
      <c r="H348" s="119" t="str">
        <f t="shared" si="69"/>
        <v/>
      </c>
      <c r="I348" s="119" t="str">
        <f t="shared" si="70"/>
        <v/>
      </c>
      <c r="J348" s="115" t="str">
        <f t="shared" si="71"/>
        <v/>
      </c>
      <c r="K348" s="102" t="str">
        <f>IF(A348&amp;B348="","",VLOOKUP(A348&amp;B348,INSUMOS!C:G,5,0))</f>
        <v/>
      </c>
    </row>
    <row r="349" spans="1:17" ht="15" x14ac:dyDescent="0.25">
      <c r="A349" s="123" t="s">
        <v>4399</v>
      </c>
      <c r="B349" s="520"/>
      <c r="C349" s="520"/>
      <c r="D349" s="520"/>
      <c r="E349" s="520"/>
      <c r="F349" s="521"/>
      <c r="G349" s="124" t="s">
        <v>50</v>
      </c>
      <c r="H349" s="125">
        <f>SUM(H337:H348)</f>
        <v>35</v>
      </c>
      <c r="I349" s="125">
        <f>SUM(I337:I348)</f>
        <v>221.58</v>
      </c>
      <c r="J349" s="126">
        <f>SUM(J337:J348)</f>
        <v>0</v>
      </c>
    </row>
    <row r="350" spans="1:17" ht="15" x14ac:dyDescent="0.25">
      <c r="A350" s="127" t="s">
        <v>4400</v>
      </c>
      <c r="B350" s="128"/>
      <c r="C350" s="128"/>
      <c r="D350" s="127" t="s">
        <v>51</v>
      </c>
      <c r="E350" s="128"/>
      <c r="F350" s="129"/>
      <c r="G350" s="130" t="s">
        <v>55</v>
      </c>
      <c r="H350" s="131" t="s">
        <v>52</v>
      </c>
      <c r="I350" s="132"/>
      <c r="J350" s="125">
        <f>SUM(H349:J349)</f>
        <v>256.58000000000004</v>
      </c>
    </row>
    <row r="351" spans="1:17" ht="15" x14ac:dyDescent="0.25">
      <c r="A351" s="313" t="str">
        <f>$I$3</f>
        <v>Carlos Wieck</v>
      </c>
      <c r="B351" s="133"/>
      <c r="C351" s="133"/>
      <c r="D351" s="134"/>
      <c r="E351" s="133"/>
      <c r="F351" s="135"/>
      <c r="G351" s="522">
        <f>$J$5</f>
        <v>43040</v>
      </c>
      <c r="H351" s="136" t="s">
        <v>53</v>
      </c>
      <c r="I351" s="137"/>
      <c r="J351" s="125">
        <f>TRUNC(I351*J350,2)</f>
        <v>0</v>
      </c>
    </row>
    <row r="352" spans="1:17" ht="15" x14ac:dyDescent="0.25">
      <c r="A352" s="138"/>
      <c r="B352" s="139"/>
      <c r="C352" s="139"/>
      <c r="D352" s="138"/>
      <c r="E352" s="139"/>
      <c r="F352" s="140"/>
      <c r="G352" s="523"/>
      <c r="H352" s="141" t="s">
        <v>54</v>
      </c>
      <c r="I352" s="142"/>
      <c r="J352" s="143">
        <f>J351+J350</f>
        <v>256.58000000000004</v>
      </c>
      <c r="L352" s="102" t="str">
        <f>A334</f>
        <v>COMPOSIÇÃO</v>
      </c>
      <c r="M352" s="144" t="str">
        <f>B334</f>
        <v>FF-003</v>
      </c>
      <c r="N352" s="102" t="str">
        <f>L352&amp;M352</f>
        <v>COMPOSIÇÃOFF-003</v>
      </c>
      <c r="O352" s="103" t="str">
        <f>D333</f>
        <v>Bancada em painel com miolo de madeira contraplacado por lâminas de madeira e externamente por chapas em CRFS, para piso, ref. Eternit ou equivalente. Com pintura epóxi cor branca</v>
      </c>
      <c r="P352" s="145" t="str">
        <f>J334</f>
        <v>m²</v>
      </c>
      <c r="Q352" s="145">
        <f>J352</f>
        <v>256.58000000000004</v>
      </c>
    </row>
    <row r="353" spans="1:11" ht="15" customHeight="1" x14ac:dyDescent="0.25">
      <c r="A353" s="524" t="s">
        <v>40</v>
      </c>
      <c r="B353" s="525"/>
      <c r="C353" s="104" t="s">
        <v>41</v>
      </c>
      <c r="D353" s="526" t="str">
        <f>IF(B354="","",VLOOKUP(B354,SERVIÇOS!B:E,3,0))</f>
        <v>Fornecimento e Instalação de Sistema com 10 módulos 265W e inversor Fronius 2,5kWp, inclusive homologação junto à concessionária.</v>
      </c>
      <c r="E353" s="526"/>
      <c r="F353" s="526"/>
      <c r="G353" s="526"/>
      <c r="H353" s="526"/>
      <c r="I353" s="527"/>
      <c r="J353" s="105" t="s">
        <v>42</v>
      </c>
    </row>
    <row r="354" spans="1:11" ht="15" x14ac:dyDescent="0.25">
      <c r="A354" s="230" t="s">
        <v>4715</v>
      </c>
      <c r="B354" s="230" t="s">
        <v>4883</v>
      </c>
      <c r="C354" s="106"/>
      <c r="D354" s="528"/>
      <c r="E354" s="528"/>
      <c r="F354" s="528"/>
      <c r="G354" s="528"/>
      <c r="H354" s="528"/>
      <c r="I354" s="529"/>
      <c r="J354" s="107" t="str">
        <f>IF(B354="","",VLOOKUP(B354,SERVIÇOS!B:E,4,0))</f>
        <v>cj</v>
      </c>
    </row>
    <row r="355" spans="1:11" ht="15" x14ac:dyDescent="0.25">
      <c r="A355" s="530" t="s">
        <v>4397</v>
      </c>
      <c r="B355" s="531" t="s">
        <v>11</v>
      </c>
      <c r="C355" s="533" t="s">
        <v>43</v>
      </c>
      <c r="D355" s="534"/>
      <c r="E355" s="530" t="s">
        <v>13</v>
      </c>
      <c r="F355" s="530" t="s">
        <v>44</v>
      </c>
      <c r="G355" s="538" t="s">
        <v>45</v>
      </c>
      <c r="H355" s="108" t="s">
        <v>46</v>
      </c>
      <c r="I355" s="108"/>
      <c r="J355" s="108"/>
    </row>
    <row r="356" spans="1:11" ht="15" x14ac:dyDescent="0.25">
      <c r="A356" s="530"/>
      <c r="B356" s="532"/>
      <c r="C356" s="535"/>
      <c r="D356" s="536"/>
      <c r="E356" s="537"/>
      <c r="F356" s="537"/>
      <c r="G356" s="539"/>
      <c r="H356" s="108" t="s">
        <v>47</v>
      </c>
      <c r="I356" s="108" t="s">
        <v>48</v>
      </c>
      <c r="J356" s="108" t="s">
        <v>49</v>
      </c>
    </row>
    <row r="357" spans="1:11" ht="30" customHeight="1" x14ac:dyDescent="0.25">
      <c r="A357" s="109" t="s">
        <v>4717</v>
      </c>
      <c r="B357" s="116" t="s">
        <v>4855</v>
      </c>
      <c r="C357" s="540" t="str">
        <f>IF(A357&amp;B357="","",VLOOKUP(A357&amp;B357,INSUMOS!C:G,2,0))</f>
        <v>Fornecimento e Instalação de Sistema com 10 módulos 265W e inversor Fronius 2,5kWp, inclusive homologação junto à concessionária.</v>
      </c>
      <c r="D357" s="541"/>
      <c r="E357" s="111" t="str">
        <f>IF(A357&amp;B357="","",VLOOKUP(A357&amp;B357,INSUMOS!C:G,3,0))</f>
        <v>cj</v>
      </c>
      <c r="F357" s="112">
        <v>1</v>
      </c>
      <c r="G357" s="113">
        <f>IF(A357&amp;B357="","",VLOOKUP(A357&amp;B357,INSUMOS!C:G,4,0))</f>
        <v>27474.94</v>
      </c>
      <c r="H357" s="114" t="str">
        <f>IF(K357="MO",TRUNC(F357*G357,2),"")</f>
        <v/>
      </c>
      <c r="I357" s="114">
        <f>IF(K357="MT",TRUNC(F357*G357,2),"")</f>
        <v>27474.94</v>
      </c>
      <c r="J357" s="115" t="str">
        <f>IF(K357="EQ",TRUNC(F357*G357,2),"")</f>
        <v/>
      </c>
      <c r="K357" s="102" t="str">
        <f>IF(A357&amp;B357="","",VLOOKUP(A357&amp;B357,INSUMOS!C:G,5,0))</f>
        <v>MT</v>
      </c>
    </row>
    <row r="358" spans="1:11" ht="15" x14ac:dyDescent="0.25">
      <c r="A358" s="109"/>
      <c r="B358" s="116"/>
      <c r="C358" s="518" t="str">
        <f>IF(A358&amp;B358="","",VLOOKUP(A358&amp;B358,INSUMOS!C:G,2,0))</f>
        <v/>
      </c>
      <c r="D358" s="519"/>
      <c r="E358" s="117" t="str">
        <f>IF(A358&amp;B358="","",VLOOKUP(A358&amp;B358,INSUMOS!C:G,3,0))</f>
        <v/>
      </c>
      <c r="F358" s="118"/>
      <c r="G358" s="113" t="str">
        <f>IF(A358&amp;B358="","",VLOOKUP(A358&amp;B358,INSUMOS!C:G,4,0))</f>
        <v/>
      </c>
      <c r="H358" s="119" t="str">
        <f t="shared" ref="H358:H369" si="72">IF(K358="MO",TRUNC(F358*G358,2),"")</f>
        <v/>
      </c>
      <c r="I358" s="119" t="str">
        <f t="shared" ref="I358:I369" si="73">IF(K358="MT",TRUNC(F358*G358,2),"")</f>
        <v/>
      </c>
      <c r="J358" s="115" t="str">
        <f t="shared" ref="J358:J369" si="74">IF(K358="EQ",TRUNC(F358*G358,2),"")</f>
        <v/>
      </c>
      <c r="K358" s="102" t="str">
        <f>IF(A358&amp;B358="","",VLOOKUP(A358&amp;B358,INSUMOS!C:G,5,0))</f>
        <v/>
      </c>
    </row>
    <row r="359" spans="1:11" ht="15" x14ac:dyDescent="0.25">
      <c r="A359" s="109"/>
      <c r="B359" s="116"/>
      <c r="C359" s="518" t="str">
        <f>IF(A359&amp;B359="","",VLOOKUP(A359&amp;B359,INSUMOS!C:G,2,0))</f>
        <v/>
      </c>
      <c r="D359" s="519"/>
      <c r="E359" s="117" t="str">
        <f>IF(A359&amp;B359="","",VLOOKUP(A359&amp;B359,INSUMOS!C:G,3,0))</f>
        <v/>
      </c>
      <c r="F359" s="118"/>
      <c r="G359" s="113" t="str">
        <f>IF(A359&amp;B359="","",VLOOKUP(A359&amp;B359,INSUMOS!C:G,4,0))</f>
        <v/>
      </c>
      <c r="H359" s="119" t="str">
        <f t="shared" si="72"/>
        <v/>
      </c>
      <c r="I359" s="119" t="str">
        <f t="shared" si="73"/>
        <v/>
      </c>
      <c r="J359" s="115" t="str">
        <f t="shared" si="74"/>
        <v/>
      </c>
      <c r="K359" s="102" t="str">
        <f>IF(A359&amp;B359="","",VLOOKUP(A359&amp;B359,INSUMOS!C:G,5,0))</f>
        <v/>
      </c>
    </row>
    <row r="360" spans="1:11" ht="15" x14ac:dyDescent="0.25">
      <c r="A360" s="109"/>
      <c r="B360" s="116"/>
      <c r="C360" s="518" t="str">
        <f>IF(A360&amp;B360="","",VLOOKUP(A360&amp;B360,INSUMOS!C:G,2,0))</f>
        <v/>
      </c>
      <c r="D360" s="519"/>
      <c r="E360" s="117" t="str">
        <f>IF(A360&amp;B360="","",VLOOKUP(A360&amp;B360,INSUMOS!C:G,3,0))</f>
        <v/>
      </c>
      <c r="F360" s="118"/>
      <c r="G360" s="113" t="str">
        <f>IF(A360&amp;B360="","",VLOOKUP(A360&amp;B360,INSUMOS!C:G,4,0))</f>
        <v/>
      </c>
      <c r="H360" s="119" t="str">
        <f t="shared" si="72"/>
        <v/>
      </c>
      <c r="I360" s="119" t="str">
        <f t="shared" si="73"/>
        <v/>
      </c>
      <c r="J360" s="115" t="str">
        <f t="shared" si="74"/>
        <v/>
      </c>
      <c r="K360" s="102" t="str">
        <f>IF(A360&amp;B360="","",VLOOKUP(A360&amp;B360,INSUMOS!C:G,5,0))</f>
        <v/>
      </c>
    </row>
    <row r="361" spans="1:11" ht="15" x14ac:dyDescent="0.25">
      <c r="A361" s="109"/>
      <c r="B361" s="116"/>
      <c r="C361" s="518" t="str">
        <f>IF(A361&amp;B361="","",VLOOKUP(A361&amp;B361,INSUMOS!C:G,2,0))</f>
        <v/>
      </c>
      <c r="D361" s="519"/>
      <c r="E361" s="117" t="str">
        <f>IF(A361&amp;B361="","",VLOOKUP(A361&amp;B361,INSUMOS!C:G,3,0))</f>
        <v/>
      </c>
      <c r="F361" s="118"/>
      <c r="G361" s="113" t="str">
        <f>IF(A361&amp;B361="","",VLOOKUP(A361&amp;B361,INSUMOS!C:G,4,0))</f>
        <v/>
      </c>
      <c r="H361" s="119" t="str">
        <f t="shared" si="72"/>
        <v/>
      </c>
      <c r="I361" s="119" t="str">
        <f t="shared" si="73"/>
        <v/>
      </c>
      <c r="J361" s="115" t="str">
        <f t="shared" si="74"/>
        <v/>
      </c>
      <c r="K361" s="102" t="str">
        <f>IF(A361&amp;B361="","",VLOOKUP(A361&amp;B361,INSUMOS!C:G,5,0))</f>
        <v/>
      </c>
    </row>
    <row r="362" spans="1:11" ht="15" x14ac:dyDescent="0.25">
      <c r="A362" s="109"/>
      <c r="B362" s="116"/>
      <c r="C362" s="518" t="str">
        <f>IF(A362&amp;B362="","",VLOOKUP(A362&amp;B362,INSUMOS!C:G,2,0))</f>
        <v/>
      </c>
      <c r="D362" s="519"/>
      <c r="E362" s="117" t="str">
        <f>IF(A362&amp;B362="","",VLOOKUP(A362&amp;B362,INSUMOS!C:G,3,0))</f>
        <v/>
      </c>
      <c r="F362" s="118"/>
      <c r="G362" s="113" t="str">
        <f>IF(A362&amp;B362="","",VLOOKUP(A362&amp;B362,INSUMOS!C:G,4,0))</f>
        <v/>
      </c>
      <c r="H362" s="119" t="str">
        <f t="shared" si="72"/>
        <v/>
      </c>
      <c r="I362" s="119" t="str">
        <f t="shared" si="73"/>
        <v/>
      </c>
      <c r="J362" s="115" t="str">
        <f t="shared" si="74"/>
        <v/>
      </c>
      <c r="K362" s="102" t="str">
        <f>IF(A362&amp;B362="","",VLOOKUP(A362&amp;B362,INSUMOS!C:G,5,0))</f>
        <v/>
      </c>
    </row>
    <row r="363" spans="1:11" ht="15" x14ac:dyDescent="0.25">
      <c r="A363" s="109"/>
      <c r="B363" s="116"/>
      <c r="C363" s="518" t="str">
        <f>IF(A363&amp;B363="","",VLOOKUP(A363&amp;B363,INSUMOS!C:G,2,0))</f>
        <v/>
      </c>
      <c r="D363" s="519"/>
      <c r="E363" s="117" t="str">
        <f>IF(A363&amp;B363="","",VLOOKUP(A363&amp;B363,INSUMOS!C:G,3,0))</f>
        <v/>
      </c>
      <c r="F363" s="118"/>
      <c r="G363" s="113" t="str">
        <f>IF(A363&amp;B363="","",VLOOKUP(A363&amp;B363,INSUMOS!C:G,4,0))</f>
        <v/>
      </c>
      <c r="H363" s="119" t="str">
        <f t="shared" si="72"/>
        <v/>
      </c>
      <c r="I363" s="119" t="str">
        <f t="shared" si="73"/>
        <v/>
      </c>
      <c r="J363" s="115" t="str">
        <f t="shared" si="74"/>
        <v/>
      </c>
      <c r="K363" s="102" t="str">
        <f>IF(A363&amp;B363="","",VLOOKUP(A363&amp;B363,INSUMOS!C:G,5,0))</f>
        <v/>
      </c>
    </row>
    <row r="364" spans="1:11" ht="15" x14ac:dyDescent="0.25">
      <c r="A364" s="109"/>
      <c r="B364" s="116"/>
      <c r="C364" s="518" t="str">
        <f>IF(A364&amp;B364="","",VLOOKUP(A364&amp;B364,INSUMOS!C:G,2,0))</f>
        <v/>
      </c>
      <c r="D364" s="519"/>
      <c r="E364" s="117" t="str">
        <f>IF(A364&amp;B364="","",VLOOKUP(A364&amp;B364,INSUMOS!C:G,3,0))</f>
        <v/>
      </c>
      <c r="F364" s="118"/>
      <c r="G364" s="113" t="str">
        <f>IF(A364&amp;B364="","",VLOOKUP(A364&amp;B364,INSUMOS!C:G,4,0))</f>
        <v/>
      </c>
      <c r="H364" s="119" t="str">
        <f t="shared" si="72"/>
        <v/>
      </c>
      <c r="I364" s="119" t="str">
        <f t="shared" si="73"/>
        <v/>
      </c>
      <c r="J364" s="115" t="str">
        <f t="shared" si="74"/>
        <v/>
      </c>
      <c r="K364" s="102" t="str">
        <f>IF(A364&amp;B364="","",VLOOKUP(A364&amp;B364,INSUMOS!C:G,5,0))</f>
        <v/>
      </c>
    </row>
    <row r="365" spans="1:11" ht="15" x14ac:dyDescent="0.25">
      <c r="A365" s="109"/>
      <c r="B365" s="116"/>
      <c r="C365" s="518" t="str">
        <f>IF(A365&amp;B365="","",VLOOKUP(A365&amp;B365,INSUMOS!C:G,2,0))</f>
        <v/>
      </c>
      <c r="D365" s="519"/>
      <c r="E365" s="117" t="str">
        <f>IF(A365&amp;B365="","",VLOOKUP(A365&amp;B365,INSUMOS!C:G,3,0))</f>
        <v/>
      </c>
      <c r="F365" s="118"/>
      <c r="G365" s="113" t="str">
        <f>IF(A365&amp;B365="","",VLOOKUP(A365&amp;B365,INSUMOS!C:G,4,0))</f>
        <v/>
      </c>
      <c r="H365" s="119" t="str">
        <f t="shared" si="72"/>
        <v/>
      </c>
      <c r="I365" s="119" t="str">
        <f t="shared" si="73"/>
        <v/>
      </c>
      <c r="J365" s="115" t="str">
        <f t="shared" si="74"/>
        <v/>
      </c>
      <c r="K365" s="102" t="str">
        <f>IF(A365&amp;B365="","",VLOOKUP(A365&amp;B365,INSUMOS!C:G,5,0))</f>
        <v/>
      </c>
    </row>
    <row r="366" spans="1:11" ht="15" x14ac:dyDescent="0.25">
      <c r="A366" s="109"/>
      <c r="B366" s="116"/>
      <c r="C366" s="518" t="str">
        <f>IF(A366&amp;B366="","",VLOOKUP(A366&amp;B366,INSUMOS!C:G,2,0))</f>
        <v/>
      </c>
      <c r="D366" s="519"/>
      <c r="E366" s="117" t="str">
        <f>IF(A366&amp;B366="","",VLOOKUP(A366&amp;B366,INSUMOS!C:G,3,0))</f>
        <v/>
      </c>
      <c r="F366" s="118"/>
      <c r="G366" s="113" t="str">
        <f>IF(A366&amp;B366="","",VLOOKUP(A366&amp;B366,INSUMOS!C:G,4,0))</f>
        <v/>
      </c>
      <c r="H366" s="119" t="str">
        <f t="shared" si="72"/>
        <v/>
      </c>
      <c r="I366" s="119" t="str">
        <f t="shared" si="73"/>
        <v/>
      </c>
      <c r="J366" s="115" t="str">
        <f t="shared" si="74"/>
        <v/>
      </c>
      <c r="K366" s="102" t="str">
        <f>IF(A366&amp;B366="","",VLOOKUP(A366&amp;B366,INSUMOS!C:G,5,0))</f>
        <v/>
      </c>
    </row>
    <row r="367" spans="1:11" ht="15" x14ac:dyDescent="0.25">
      <c r="A367" s="120"/>
      <c r="B367" s="121"/>
      <c r="C367" s="518" t="str">
        <f>IF(A367&amp;B367="","",VLOOKUP(A367&amp;B367,INSUMOS!C:G,2,0))</f>
        <v/>
      </c>
      <c r="D367" s="519"/>
      <c r="E367" s="117" t="str">
        <f>IF(A367&amp;B367="","",VLOOKUP(A367&amp;B367,INSUMOS!C:G,3,0))</f>
        <v/>
      </c>
      <c r="F367" s="118"/>
      <c r="G367" s="122" t="str">
        <f>IF(A367&amp;B367="","",VLOOKUP(A367&amp;B367,INSUMOS!C:G,4,0))</f>
        <v/>
      </c>
      <c r="H367" s="119" t="str">
        <f t="shared" si="72"/>
        <v/>
      </c>
      <c r="I367" s="119" t="str">
        <f t="shared" si="73"/>
        <v/>
      </c>
      <c r="J367" s="115" t="str">
        <f t="shared" si="74"/>
        <v/>
      </c>
      <c r="K367" s="102" t="str">
        <f>IF(A367&amp;B367="","",VLOOKUP(A367&amp;B367,INSUMOS!C:G,5,0))</f>
        <v/>
      </c>
    </row>
    <row r="368" spans="1:11" ht="15" x14ac:dyDescent="0.25">
      <c r="A368" s="120"/>
      <c r="B368" s="121"/>
      <c r="C368" s="518" t="str">
        <f>IF(A368&amp;B368="","",VLOOKUP(A368&amp;B368,INSUMOS!C:G,2,0))</f>
        <v/>
      </c>
      <c r="D368" s="519"/>
      <c r="E368" s="117" t="str">
        <f>IF(A368&amp;B368="","",VLOOKUP(A368&amp;B368,INSUMOS!C:G,3,0))</f>
        <v/>
      </c>
      <c r="F368" s="118"/>
      <c r="G368" s="122" t="str">
        <f>IF(A368&amp;B368="","",VLOOKUP(A368&amp;B368,INSUMOS!C:G,4,0))</f>
        <v/>
      </c>
      <c r="H368" s="119" t="str">
        <f t="shared" si="72"/>
        <v/>
      </c>
      <c r="I368" s="119" t="str">
        <f t="shared" si="73"/>
        <v/>
      </c>
      <c r="J368" s="115" t="str">
        <f t="shared" si="74"/>
        <v/>
      </c>
      <c r="K368" s="102" t="str">
        <f>IF(A368&amp;B368="","",VLOOKUP(A368&amp;B368,INSUMOS!C:G,5,0))</f>
        <v/>
      </c>
    </row>
    <row r="369" spans="1:17" ht="15" x14ac:dyDescent="0.25">
      <c r="A369" s="120"/>
      <c r="B369" s="121"/>
      <c r="C369" s="518" t="str">
        <f>IF(A369&amp;B369="","",VLOOKUP(A369&amp;B369,INSUMOS!C:G,2,0))</f>
        <v/>
      </c>
      <c r="D369" s="519"/>
      <c r="E369" s="117" t="str">
        <f>IF(A369&amp;B369="","",VLOOKUP(A369&amp;B369,INSUMOS!C:G,3,0))</f>
        <v/>
      </c>
      <c r="F369" s="118"/>
      <c r="G369" s="122" t="str">
        <f>IF(A369&amp;B369="","",VLOOKUP(A369&amp;B369,INSUMOS!C:G,4,0))</f>
        <v/>
      </c>
      <c r="H369" s="119" t="str">
        <f t="shared" si="72"/>
        <v/>
      </c>
      <c r="I369" s="119" t="str">
        <f t="shared" si="73"/>
        <v/>
      </c>
      <c r="J369" s="115" t="str">
        <f t="shared" si="74"/>
        <v/>
      </c>
      <c r="K369" s="102" t="str">
        <f>IF(A369&amp;B369="","",VLOOKUP(A369&amp;B369,INSUMOS!C:G,5,0))</f>
        <v/>
      </c>
    </row>
    <row r="370" spans="1:17" ht="15" x14ac:dyDescent="0.25">
      <c r="A370" s="123" t="s">
        <v>4399</v>
      </c>
      <c r="B370" s="520"/>
      <c r="C370" s="520"/>
      <c r="D370" s="520"/>
      <c r="E370" s="520"/>
      <c r="F370" s="521"/>
      <c r="G370" s="124" t="s">
        <v>50</v>
      </c>
      <c r="H370" s="125">
        <f>SUM(H357:H369)</f>
        <v>0</v>
      </c>
      <c r="I370" s="125">
        <f>SUM(I357:I369)</f>
        <v>27474.94</v>
      </c>
      <c r="J370" s="126">
        <f>SUM(J357:J369)</f>
        <v>0</v>
      </c>
    </row>
    <row r="371" spans="1:17" ht="15" x14ac:dyDescent="0.25">
      <c r="A371" s="127" t="s">
        <v>4400</v>
      </c>
      <c r="B371" s="128"/>
      <c r="C371" s="128"/>
      <c r="D371" s="127" t="s">
        <v>51</v>
      </c>
      <c r="E371" s="128"/>
      <c r="F371" s="129"/>
      <c r="G371" s="130" t="s">
        <v>55</v>
      </c>
      <c r="H371" s="131" t="s">
        <v>52</v>
      </c>
      <c r="I371" s="132"/>
      <c r="J371" s="125">
        <f>SUM(H370:J370)</f>
        <v>27474.94</v>
      </c>
    </row>
    <row r="372" spans="1:17" ht="15" x14ac:dyDescent="0.25">
      <c r="A372" s="313" t="str">
        <f>$I$3</f>
        <v>Carlos Wieck</v>
      </c>
      <c r="B372" s="133"/>
      <c r="C372" s="133"/>
      <c r="D372" s="134"/>
      <c r="E372" s="133"/>
      <c r="F372" s="135"/>
      <c r="G372" s="522">
        <f>$J$5</f>
        <v>43040</v>
      </c>
      <c r="H372" s="136" t="s">
        <v>53</v>
      </c>
      <c r="I372" s="137"/>
      <c r="J372" s="125">
        <f>TRUNC(I372*J371,2)</f>
        <v>0</v>
      </c>
    </row>
    <row r="373" spans="1:17" ht="15" x14ac:dyDescent="0.25">
      <c r="A373" s="138"/>
      <c r="B373" s="139"/>
      <c r="C373" s="139"/>
      <c r="D373" s="138"/>
      <c r="E373" s="139"/>
      <c r="F373" s="140"/>
      <c r="G373" s="523"/>
      <c r="H373" s="141" t="s">
        <v>54</v>
      </c>
      <c r="I373" s="142"/>
      <c r="J373" s="143">
        <f>J372+J371</f>
        <v>27474.94</v>
      </c>
      <c r="L373" s="102" t="str">
        <f>A354</f>
        <v>COMPOSIÇÃO</v>
      </c>
      <c r="M373" s="144" t="str">
        <f>B354</f>
        <v>FF-004</v>
      </c>
      <c r="N373" s="102" t="str">
        <f>L373&amp;M373</f>
        <v>COMPOSIÇÃOFF-004</v>
      </c>
      <c r="O373" s="103" t="str">
        <f>D353</f>
        <v>Fornecimento e Instalação de Sistema com 10 módulos 265W e inversor Fronius 2,5kWp, inclusive homologação junto à concessionária.</v>
      </c>
      <c r="P373" s="145" t="str">
        <f>J354</f>
        <v>cj</v>
      </c>
      <c r="Q373" s="145">
        <f>J373</f>
        <v>27474.94</v>
      </c>
    </row>
    <row r="374" spans="1:17" ht="15" customHeight="1" x14ac:dyDescent="0.25">
      <c r="A374" s="524" t="s">
        <v>40</v>
      </c>
      <c r="B374" s="525"/>
      <c r="C374" s="104" t="s">
        <v>41</v>
      </c>
      <c r="D374" s="526" t="str">
        <f>IF(B375="","",VLOOKUP(B375,SERVIÇOS!B:E,3,0))</f>
        <v>Fornecimento e Instalação de Sistema com 60 módulos  265 W e inversor 12,5 ABB kWp, inclusive homologação junto à concessionária.</v>
      </c>
      <c r="E374" s="526"/>
      <c r="F374" s="526"/>
      <c r="G374" s="526"/>
      <c r="H374" s="526"/>
      <c r="I374" s="527"/>
      <c r="J374" s="105" t="s">
        <v>42</v>
      </c>
    </row>
    <row r="375" spans="1:17" ht="15" x14ac:dyDescent="0.25">
      <c r="A375" s="230" t="s">
        <v>4715</v>
      </c>
      <c r="B375" s="230" t="s">
        <v>4885</v>
      </c>
      <c r="C375" s="106"/>
      <c r="D375" s="528"/>
      <c r="E375" s="528"/>
      <c r="F375" s="528"/>
      <c r="G375" s="528"/>
      <c r="H375" s="528"/>
      <c r="I375" s="529"/>
      <c r="J375" s="107" t="str">
        <f>IF(B375="","",VLOOKUP(B375,SERVIÇOS!B:E,4,0))</f>
        <v>cj</v>
      </c>
    </row>
    <row r="376" spans="1:17" ht="15" x14ac:dyDescent="0.25">
      <c r="A376" s="530" t="s">
        <v>4397</v>
      </c>
      <c r="B376" s="531" t="s">
        <v>11</v>
      </c>
      <c r="C376" s="533" t="s">
        <v>43</v>
      </c>
      <c r="D376" s="534"/>
      <c r="E376" s="530" t="s">
        <v>13</v>
      </c>
      <c r="F376" s="530" t="s">
        <v>44</v>
      </c>
      <c r="G376" s="538" t="s">
        <v>45</v>
      </c>
      <c r="H376" s="108" t="s">
        <v>46</v>
      </c>
      <c r="I376" s="108"/>
      <c r="J376" s="108"/>
    </row>
    <row r="377" spans="1:17" ht="15" x14ac:dyDescent="0.25">
      <c r="A377" s="530"/>
      <c r="B377" s="532"/>
      <c r="C377" s="535"/>
      <c r="D377" s="536"/>
      <c r="E377" s="537"/>
      <c r="F377" s="537"/>
      <c r="G377" s="539"/>
      <c r="H377" s="108" t="s">
        <v>47</v>
      </c>
      <c r="I377" s="108" t="s">
        <v>48</v>
      </c>
      <c r="J377" s="108" t="s">
        <v>49</v>
      </c>
    </row>
    <row r="378" spans="1:17" ht="30" customHeight="1" x14ac:dyDescent="0.25">
      <c r="A378" s="109" t="s">
        <v>4717</v>
      </c>
      <c r="B378" s="116" t="s">
        <v>4856</v>
      </c>
      <c r="C378" s="540" t="str">
        <f>IF(A378&amp;B378="","",VLOOKUP(A378&amp;B378,INSUMOS!C:G,2,0))</f>
        <v>Fornecimento e Instalação de Sistema com 60 módulos  265 W e inversor 12,5 ABB kWp, inclusive homologação junto à concessionária.</v>
      </c>
      <c r="D378" s="541"/>
      <c r="E378" s="111" t="str">
        <f>IF(A378&amp;B378="","",VLOOKUP(A378&amp;B378,INSUMOS!C:G,3,0))</f>
        <v>cj</v>
      </c>
      <c r="F378" s="112">
        <v>1.05</v>
      </c>
      <c r="G378" s="113">
        <f>IF(A378&amp;B378="","",VLOOKUP(A378&amp;B378,INSUMOS!C:G,4,0))</f>
        <v>105388.8</v>
      </c>
      <c r="H378" s="114" t="str">
        <f>IF(K378="MO",TRUNC(F378*G378,2),"")</f>
        <v/>
      </c>
      <c r="I378" s="114">
        <f>IF(K378="MT",TRUNC(F378*G378,2),"")</f>
        <v>110658.24000000001</v>
      </c>
      <c r="J378" s="115" t="str">
        <f>IF(K378="EQ",TRUNC(F378*G378,2),"")</f>
        <v/>
      </c>
      <c r="K378" s="102" t="str">
        <f>IF(A378&amp;B378="","",VLOOKUP(A378&amp;B378,INSUMOS!C:G,5,0))</f>
        <v>MT</v>
      </c>
    </row>
    <row r="379" spans="1:17" ht="15" x14ac:dyDescent="0.25">
      <c r="A379" s="109"/>
      <c r="B379" s="116"/>
      <c r="C379" s="518" t="str">
        <f>IF(A379&amp;B379="","",VLOOKUP(A379&amp;B379,INSUMOS!C:G,2,0))</f>
        <v/>
      </c>
      <c r="D379" s="519"/>
      <c r="E379" s="117" t="str">
        <f>IF(A379&amp;B379="","",VLOOKUP(A379&amp;B379,INSUMOS!C:G,3,0))</f>
        <v/>
      </c>
      <c r="F379" s="118"/>
      <c r="G379" s="113" t="str">
        <f>IF(A379&amp;B379="","",VLOOKUP(A379&amp;B379,INSUMOS!C:G,4,0))</f>
        <v/>
      </c>
      <c r="H379" s="119" t="str">
        <f t="shared" ref="H379:H390" si="75">IF(K379="MO",TRUNC(F379*G379,2),"")</f>
        <v/>
      </c>
      <c r="I379" s="119" t="str">
        <f t="shared" ref="I379:I390" si="76">IF(K379="MT",TRUNC(F379*G379,2),"")</f>
        <v/>
      </c>
      <c r="J379" s="115" t="str">
        <f t="shared" ref="J379:J390" si="77">IF(K379="EQ",TRUNC(F379*G379,2),"")</f>
        <v/>
      </c>
      <c r="K379" s="102" t="str">
        <f>IF(A379&amp;B379="","",VLOOKUP(A379&amp;B379,INSUMOS!C:G,5,0))</f>
        <v/>
      </c>
    </row>
    <row r="380" spans="1:17" ht="15" x14ac:dyDescent="0.25">
      <c r="A380" s="109"/>
      <c r="B380" s="116"/>
      <c r="C380" s="518" t="str">
        <f>IF(A380&amp;B380="","",VLOOKUP(A380&amp;B380,INSUMOS!C:G,2,0))</f>
        <v/>
      </c>
      <c r="D380" s="519"/>
      <c r="E380" s="117" t="str">
        <f>IF(A380&amp;B380="","",VLOOKUP(A380&amp;B380,INSUMOS!C:G,3,0))</f>
        <v/>
      </c>
      <c r="F380" s="118"/>
      <c r="G380" s="113" t="str">
        <f>IF(A380&amp;B380="","",VLOOKUP(A380&amp;B380,INSUMOS!C:G,4,0))</f>
        <v/>
      </c>
      <c r="H380" s="119" t="str">
        <f t="shared" si="75"/>
        <v/>
      </c>
      <c r="I380" s="119" t="str">
        <f t="shared" si="76"/>
        <v/>
      </c>
      <c r="J380" s="115" t="str">
        <f t="shared" si="77"/>
        <v/>
      </c>
      <c r="K380" s="102" t="str">
        <f>IF(A380&amp;B380="","",VLOOKUP(A380&amp;B380,INSUMOS!C:G,5,0))</f>
        <v/>
      </c>
    </row>
    <row r="381" spans="1:17" ht="15" x14ac:dyDescent="0.25">
      <c r="A381" s="109"/>
      <c r="B381" s="116"/>
      <c r="C381" s="518" t="str">
        <f>IF(A381&amp;B381="","",VLOOKUP(A381&amp;B381,INSUMOS!C:G,2,0))</f>
        <v/>
      </c>
      <c r="D381" s="519"/>
      <c r="E381" s="117" t="str">
        <f>IF(A381&amp;B381="","",VLOOKUP(A381&amp;B381,INSUMOS!C:G,3,0))</f>
        <v/>
      </c>
      <c r="F381" s="118"/>
      <c r="G381" s="113" t="str">
        <f>IF(A381&amp;B381="","",VLOOKUP(A381&amp;B381,INSUMOS!C:G,4,0))</f>
        <v/>
      </c>
      <c r="H381" s="119" t="str">
        <f t="shared" si="75"/>
        <v/>
      </c>
      <c r="I381" s="119" t="str">
        <f t="shared" si="76"/>
        <v/>
      </c>
      <c r="J381" s="115" t="str">
        <f t="shared" si="77"/>
        <v/>
      </c>
      <c r="K381" s="102" t="str">
        <f>IF(A381&amp;B381="","",VLOOKUP(A381&amp;B381,INSUMOS!C:G,5,0))</f>
        <v/>
      </c>
    </row>
    <row r="382" spans="1:17" ht="15" x14ac:dyDescent="0.25">
      <c r="A382" s="109"/>
      <c r="B382" s="116"/>
      <c r="C382" s="518" t="str">
        <f>IF(A382&amp;B382="","",VLOOKUP(A382&amp;B382,INSUMOS!C:G,2,0))</f>
        <v/>
      </c>
      <c r="D382" s="519"/>
      <c r="E382" s="117" t="str">
        <f>IF(A382&amp;B382="","",VLOOKUP(A382&amp;B382,INSUMOS!C:G,3,0))</f>
        <v/>
      </c>
      <c r="F382" s="118"/>
      <c r="G382" s="113" t="str">
        <f>IF(A382&amp;B382="","",VLOOKUP(A382&amp;B382,INSUMOS!C:G,4,0))</f>
        <v/>
      </c>
      <c r="H382" s="119" t="str">
        <f t="shared" si="75"/>
        <v/>
      </c>
      <c r="I382" s="119" t="str">
        <f t="shared" si="76"/>
        <v/>
      </c>
      <c r="J382" s="115" t="str">
        <f t="shared" si="77"/>
        <v/>
      </c>
      <c r="K382" s="102" t="str">
        <f>IF(A382&amp;B382="","",VLOOKUP(A382&amp;B382,INSUMOS!C:G,5,0))</f>
        <v/>
      </c>
    </row>
    <row r="383" spans="1:17" ht="15" x14ac:dyDescent="0.25">
      <c r="A383" s="109"/>
      <c r="B383" s="116"/>
      <c r="C383" s="518" t="str">
        <f>IF(A383&amp;B383="","",VLOOKUP(A383&amp;B383,INSUMOS!C:G,2,0))</f>
        <v/>
      </c>
      <c r="D383" s="519"/>
      <c r="E383" s="117" t="str">
        <f>IF(A383&amp;B383="","",VLOOKUP(A383&amp;B383,INSUMOS!C:G,3,0))</f>
        <v/>
      </c>
      <c r="F383" s="118"/>
      <c r="G383" s="113" t="str">
        <f>IF(A383&amp;B383="","",VLOOKUP(A383&amp;B383,INSUMOS!C:G,4,0))</f>
        <v/>
      </c>
      <c r="H383" s="119" t="str">
        <f t="shared" si="75"/>
        <v/>
      </c>
      <c r="I383" s="119" t="str">
        <f t="shared" si="76"/>
        <v/>
      </c>
      <c r="J383" s="115" t="str">
        <f t="shared" si="77"/>
        <v/>
      </c>
      <c r="K383" s="102" t="str">
        <f>IF(A383&amp;B383="","",VLOOKUP(A383&amp;B383,INSUMOS!C:G,5,0))</f>
        <v/>
      </c>
    </row>
    <row r="384" spans="1:17" ht="15" x14ac:dyDescent="0.25">
      <c r="A384" s="109"/>
      <c r="B384" s="116"/>
      <c r="C384" s="518" t="str">
        <f>IF(A384&amp;B384="","",VLOOKUP(A384&amp;B384,INSUMOS!C:G,2,0))</f>
        <v/>
      </c>
      <c r="D384" s="519"/>
      <c r="E384" s="117" t="str">
        <f>IF(A384&amp;B384="","",VLOOKUP(A384&amp;B384,INSUMOS!C:G,3,0))</f>
        <v/>
      </c>
      <c r="F384" s="118"/>
      <c r="G384" s="113" t="str">
        <f>IF(A384&amp;B384="","",VLOOKUP(A384&amp;B384,INSUMOS!C:G,4,0))</f>
        <v/>
      </c>
      <c r="H384" s="119" t="str">
        <f t="shared" si="75"/>
        <v/>
      </c>
      <c r="I384" s="119" t="str">
        <f t="shared" si="76"/>
        <v/>
      </c>
      <c r="J384" s="115" t="str">
        <f t="shared" si="77"/>
        <v/>
      </c>
      <c r="K384" s="102" t="str">
        <f>IF(A384&amp;B384="","",VLOOKUP(A384&amp;B384,INSUMOS!C:G,5,0))</f>
        <v/>
      </c>
    </row>
    <row r="385" spans="1:17" ht="15" x14ac:dyDescent="0.25">
      <c r="A385" s="109"/>
      <c r="B385" s="116"/>
      <c r="C385" s="518" t="str">
        <f>IF(A385&amp;B385="","",VLOOKUP(A385&amp;B385,INSUMOS!C:G,2,0))</f>
        <v/>
      </c>
      <c r="D385" s="519"/>
      <c r="E385" s="117" t="str">
        <f>IF(A385&amp;B385="","",VLOOKUP(A385&amp;B385,INSUMOS!C:G,3,0))</f>
        <v/>
      </c>
      <c r="F385" s="118"/>
      <c r="G385" s="113" t="str">
        <f>IF(A385&amp;B385="","",VLOOKUP(A385&amp;B385,INSUMOS!C:G,4,0))</f>
        <v/>
      </c>
      <c r="H385" s="119" t="str">
        <f t="shared" si="75"/>
        <v/>
      </c>
      <c r="I385" s="119" t="str">
        <f t="shared" si="76"/>
        <v/>
      </c>
      <c r="J385" s="115" t="str">
        <f t="shared" si="77"/>
        <v/>
      </c>
      <c r="K385" s="102" t="str">
        <f>IF(A385&amp;B385="","",VLOOKUP(A385&amp;B385,INSUMOS!C:G,5,0))</f>
        <v/>
      </c>
    </row>
    <row r="386" spans="1:17" ht="15" x14ac:dyDescent="0.25">
      <c r="A386" s="109"/>
      <c r="B386" s="116"/>
      <c r="C386" s="518" t="str">
        <f>IF(A386&amp;B386="","",VLOOKUP(A386&amp;B386,INSUMOS!C:G,2,0))</f>
        <v/>
      </c>
      <c r="D386" s="519"/>
      <c r="E386" s="117" t="str">
        <f>IF(A386&amp;B386="","",VLOOKUP(A386&amp;B386,INSUMOS!C:G,3,0))</f>
        <v/>
      </c>
      <c r="F386" s="118"/>
      <c r="G386" s="113" t="str">
        <f>IF(A386&amp;B386="","",VLOOKUP(A386&amp;B386,INSUMOS!C:G,4,0))</f>
        <v/>
      </c>
      <c r="H386" s="119" t="str">
        <f t="shared" si="75"/>
        <v/>
      </c>
      <c r="I386" s="119" t="str">
        <f t="shared" si="76"/>
        <v/>
      </c>
      <c r="J386" s="115" t="str">
        <f t="shared" si="77"/>
        <v/>
      </c>
      <c r="K386" s="102" t="str">
        <f>IF(A386&amp;B386="","",VLOOKUP(A386&amp;B386,INSUMOS!C:G,5,0))</f>
        <v/>
      </c>
    </row>
    <row r="387" spans="1:17" ht="15" x14ac:dyDescent="0.25">
      <c r="A387" s="109"/>
      <c r="B387" s="116"/>
      <c r="C387" s="518" t="str">
        <f>IF(A387&amp;B387="","",VLOOKUP(A387&amp;B387,INSUMOS!C:G,2,0))</f>
        <v/>
      </c>
      <c r="D387" s="519"/>
      <c r="E387" s="117" t="str">
        <f>IF(A387&amp;B387="","",VLOOKUP(A387&amp;B387,INSUMOS!C:G,3,0))</f>
        <v/>
      </c>
      <c r="F387" s="118"/>
      <c r="G387" s="113" t="str">
        <f>IF(A387&amp;B387="","",VLOOKUP(A387&amp;B387,INSUMOS!C:G,4,0))</f>
        <v/>
      </c>
      <c r="H387" s="119" t="str">
        <f t="shared" si="75"/>
        <v/>
      </c>
      <c r="I387" s="119" t="str">
        <f t="shared" si="76"/>
        <v/>
      </c>
      <c r="J387" s="115" t="str">
        <f t="shared" si="77"/>
        <v/>
      </c>
      <c r="K387" s="102" t="str">
        <f>IF(A387&amp;B387="","",VLOOKUP(A387&amp;B387,INSUMOS!C:G,5,0))</f>
        <v/>
      </c>
    </row>
    <row r="388" spans="1:17" ht="15" x14ac:dyDescent="0.25">
      <c r="A388" s="120"/>
      <c r="B388" s="121"/>
      <c r="C388" s="518" t="str">
        <f>IF(A388&amp;B388="","",VLOOKUP(A388&amp;B388,INSUMOS!C:G,2,0))</f>
        <v/>
      </c>
      <c r="D388" s="519"/>
      <c r="E388" s="117" t="str">
        <f>IF(A388&amp;B388="","",VLOOKUP(A388&amp;B388,INSUMOS!C:G,3,0))</f>
        <v/>
      </c>
      <c r="F388" s="118"/>
      <c r="G388" s="122" t="str">
        <f>IF(A388&amp;B388="","",VLOOKUP(A388&amp;B388,INSUMOS!C:G,4,0))</f>
        <v/>
      </c>
      <c r="H388" s="119" t="str">
        <f t="shared" si="75"/>
        <v/>
      </c>
      <c r="I388" s="119" t="str">
        <f t="shared" si="76"/>
        <v/>
      </c>
      <c r="J388" s="115" t="str">
        <f t="shared" si="77"/>
        <v/>
      </c>
      <c r="K388" s="102" t="str">
        <f>IF(A388&amp;B388="","",VLOOKUP(A388&amp;B388,INSUMOS!C:G,5,0))</f>
        <v/>
      </c>
    </row>
    <row r="389" spans="1:17" ht="15" x14ac:dyDescent="0.25">
      <c r="A389" s="120"/>
      <c r="B389" s="121"/>
      <c r="C389" s="518" t="str">
        <f>IF(A389&amp;B389="","",VLOOKUP(A389&amp;B389,INSUMOS!C:G,2,0))</f>
        <v/>
      </c>
      <c r="D389" s="519"/>
      <c r="E389" s="117" t="str">
        <f>IF(A389&amp;B389="","",VLOOKUP(A389&amp;B389,INSUMOS!C:G,3,0))</f>
        <v/>
      </c>
      <c r="F389" s="118"/>
      <c r="G389" s="122" t="str">
        <f>IF(A389&amp;B389="","",VLOOKUP(A389&amp;B389,INSUMOS!C:G,4,0))</f>
        <v/>
      </c>
      <c r="H389" s="119" t="str">
        <f t="shared" si="75"/>
        <v/>
      </c>
      <c r="I389" s="119" t="str">
        <f t="shared" si="76"/>
        <v/>
      </c>
      <c r="J389" s="115" t="str">
        <f t="shared" si="77"/>
        <v/>
      </c>
      <c r="K389" s="102" t="str">
        <f>IF(A389&amp;B389="","",VLOOKUP(A389&amp;B389,INSUMOS!C:G,5,0))</f>
        <v/>
      </c>
    </row>
    <row r="390" spans="1:17" ht="15" x14ac:dyDescent="0.25">
      <c r="A390" s="120"/>
      <c r="B390" s="121"/>
      <c r="C390" s="518" t="str">
        <f>IF(A390&amp;B390="","",VLOOKUP(A390&amp;B390,INSUMOS!C:G,2,0))</f>
        <v/>
      </c>
      <c r="D390" s="519"/>
      <c r="E390" s="117" t="str">
        <f>IF(A390&amp;B390="","",VLOOKUP(A390&amp;B390,INSUMOS!C:G,3,0))</f>
        <v/>
      </c>
      <c r="F390" s="118"/>
      <c r="G390" s="122" t="str">
        <f>IF(A390&amp;B390="","",VLOOKUP(A390&amp;B390,INSUMOS!C:G,4,0))</f>
        <v/>
      </c>
      <c r="H390" s="119" t="str">
        <f t="shared" si="75"/>
        <v/>
      </c>
      <c r="I390" s="119" t="str">
        <f t="shared" si="76"/>
        <v/>
      </c>
      <c r="J390" s="115" t="str">
        <f t="shared" si="77"/>
        <v/>
      </c>
      <c r="K390" s="102" t="str">
        <f>IF(A390&amp;B390="","",VLOOKUP(A390&amp;B390,INSUMOS!C:G,5,0))</f>
        <v/>
      </c>
    </row>
    <row r="391" spans="1:17" ht="15" x14ac:dyDescent="0.25">
      <c r="A391" s="123" t="s">
        <v>4399</v>
      </c>
      <c r="B391" s="520"/>
      <c r="C391" s="520"/>
      <c r="D391" s="520"/>
      <c r="E391" s="520"/>
      <c r="F391" s="521"/>
      <c r="G391" s="124" t="s">
        <v>50</v>
      </c>
      <c r="H391" s="125">
        <f>SUM(H378:H390)</f>
        <v>0</v>
      </c>
      <c r="I391" s="125">
        <f>SUM(I378:I390)</f>
        <v>110658.24000000001</v>
      </c>
      <c r="J391" s="126">
        <f>SUM(J378:J390)</f>
        <v>0</v>
      </c>
    </row>
    <row r="392" spans="1:17" ht="15" x14ac:dyDescent="0.25">
      <c r="A392" s="127" t="s">
        <v>4400</v>
      </c>
      <c r="B392" s="128"/>
      <c r="C392" s="128"/>
      <c r="D392" s="127" t="s">
        <v>51</v>
      </c>
      <c r="E392" s="128"/>
      <c r="F392" s="129"/>
      <c r="G392" s="130" t="s">
        <v>55</v>
      </c>
      <c r="H392" s="131" t="s">
        <v>52</v>
      </c>
      <c r="I392" s="132"/>
      <c r="J392" s="125">
        <f>SUM(H391:J391)</f>
        <v>110658.24000000001</v>
      </c>
    </row>
    <row r="393" spans="1:17" ht="15" x14ac:dyDescent="0.25">
      <c r="A393" s="313" t="str">
        <f>$I$3</f>
        <v>Carlos Wieck</v>
      </c>
      <c r="B393" s="133"/>
      <c r="C393" s="133"/>
      <c r="D393" s="134"/>
      <c r="E393" s="133"/>
      <c r="F393" s="135"/>
      <c r="G393" s="522">
        <f>$J$5</f>
        <v>43040</v>
      </c>
      <c r="H393" s="136" t="s">
        <v>53</v>
      </c>
      <c r="I393" s="137"/>
      <c r="J393" s="125">
        <f>TRUNC(I393*J392,2)</f>
        <v>0</v>
      </c>
    </row>
    <row r="394" spans="1:17" ht="15" x14ac:dyDescent="0.25">
      <c r="A394" s="138"/>
      <c r="B394" s="139"/>
      <c r="C394" s="139"/>
      <c r="D394" s="138"/>
      <c r="E394" s="139"/>
      <c r="F394" s="140"/>
      <c r="G394" s="523"/>
      <c r="H394" s="141" t="s">
        <v>54</v>
      </c>
      <c r="I394" s="142"/>
      <c r="J394" s="143">
        <f>J393+J392</f>
        <v>110658.24000000001</v>
      </c>
      <c r="L394" s="102" t="str">
        <f>A375</f>
        <v>COMPOSIÇÃO</v>
      </c>
      <c r="M394" s="144" t="str">
        <f>B375</f>
        <v>FF-005</v>
      </c>
      <c r="N394" s="102" t="str">
        <f>L394&amp;M394</f>
        <v>COMPOSIÇÃOFF-005</v>
      </c>
      <c r="O394" s="103" t="str">
        <f>D374</f>
        <v>Fornecimento e Instalação de Sistema com 60 módulos  265 W e inversor 12,5 ABB kWp, inclusive homologação junto à concessionária.</v>
      </c>
      <c r="P394" s="145" t="str">
        <f>J375</f>
        <v>cj</v>
      </c>
      <c r="Q394" s="145">
        <f>J394</f>
        <v>110658.24000000001</v>
      </c>
    </row>
    <row r="395" spans="1:17" ht="15" customHeight="1" x14ac:dyDescent="0.25">
      <c r="A395" s="524" t="s">
        <v>40</v>
      </c>
      <c r="B395" s="525"/>
      <c r="C395" s="104" t="s">
        <v>41</v>
      </c>
      <c r="D395" s="526" t="str">
        <f>IF(B396="","",VLOOKUP(B396,SERVIÇOS!B:E,3,0))</f>
        <v>Fornecimento e Instalação de Sistema com 10 módulos 265 W e inversor Fronius 2,5 kWp, inclusive homologação junto à concessionária.</v>
      </c>
      <c r="E395" s="526"/>
      <c r="F395" s="526"/>
      <c r="G395" s="526"/>
      <c r="H395" s="526"/>
      <c r="I395" s="527"/>
      <c r="J395" s="105" t="s">
        <v>42</v>
      </c>
    </row>
    <row r="396" spans="1:17" ht="15" x14ac:dyDescent="0.25">
      <c r="A396" s="230" t="s">
        <v>4715</v>
      </c>
      <c r="B396" s="230" t="s">
        <v>4886</v>
      </c>
      <c r="C396" s="106"/>
      <c r="D396" s="528"/>
      <c r="E396" s="528"/>
      <c r="F396" s="528"/>
      <c r="G396" s="528"/>
      <c r="H396" s="528"/>
      <c r="I396" s="529"/>
      <c r="J396" s="107" t="str">
        <f>IF(B396="","",VLOOKUP(B396,SERVIÇOS!B:E,4,0))</f>
        <v>cj</v>
      </c>
    </row>
    <row r="397" spans="1:17" ht="15" x14ac:dyDescent="0.25">
      <c r="A397" s="530" t="s">
        <v>4397</v>
      </c>
      <c r="B397" s="531" t="s">
        <v>11</v>
      </c>
      <c r="C397" s="533" t="s">
        <v>43</v>
      </c>
      <c r="D397" s="534"/>
      <c r="E397" s="530" t="s">
        <v>13</v>
      </c>
      <c r="F397" s="530" t="s">
        <v>44</v>
      </c>
      <c r="G397" s="538" t="s">
        <v>45</v>
      </c>
      <c r="H397" s="108" t="s">
        <v>46</v>
      </c>
      <c r="I397" s="108"/>
      <c r="J397" s="108"/>
    </row>
    <row r="398" spans="1:17" ht="15" x14ac:dyDescent="0.25">
      <c r="A398" s="530"/>
      <c r="B398" s="532"/>
      <c r="C398" s="535"/>
      <c r="D398" s="536"/>
      <c r="E398" s="537"/>
      <c r="F398" s="537"/>
      <c r="G398" s="539"/>
      <c r="H398" s="108" t="s">
        <v>47</v>
      </c>
      <c r="I398" s="108" t="s">
        <v>48</v>
      </c>
      <c r="J398" s="108" t="s">
        <v>49</v>
      </c>
    </row>
    <row r="399" spans="1:17" ht="30" customHeight="1" x14ac:dyDescent="0.25">
      <c r="A399" s="109" t="s">
        <v>4717</v>
      </c>
      <c r="B399" s="116" t="s">
        <v>4857</v>
      </c>
      <c r="C399" s="540" t="str">
        <f>IF(A399&amp;B399="","",VLOOKUP(A399&amp;B399,INSUMOS!C:G,2,0))</f>
        <v>Fornecimento e Instalação de Sistema com 10 módulos 265 W e inversor Fronius 2,5 kWp, inclusive homologação junto à concessionária.</v>
      </c>
      <c r="D399" s="541"/>
      <c r="E399" s="111" t="str">
        <f>IF(A399&amp;B399="","",VLOOKUP(A399&amp;B399,INSUMOS!C:G,3,0))</f>
        <v>cj</v>
      </c>
      <c r="F399" s="112">
        <v>1</v>
      </c>
      <c r="G399" s="113">
        <f>IF(A399&amp;B399="","",VLOOKUP(A399&amp;B399,INSUMOS!C:G,4,0))</f>
        <v>25948</v>
      </c>
      <c r="H399" s="114" t="str">
        <f>IF(K399="MO",TRUNC(F399*G399,2),"")</f>
        <v/>
      </c>
      <c r="I399" s="114">
        <f>IF(K399="MT",TRUNC(F399*G399,2),"")</f>
        <v>25948</v>
      </c>
      <c r="J399" s="115" t="str">
        <f>IF(K399="EQ",TRUNC(F399*G399,2),"")</f>
        <v/>
      </c>
      <c r="K399" s="102" t="str">
        <f>IF(A399&amp;B399="","",VLOOKUP(A399&amp;B399,INSUMOS!C:G,5,0))</f>
        <v>MT</v>
      </c>
    </row>
    <row r="400" spans="1:17" ht="15" x14ac:dyDescent="0.25">
      <c r="A400" s="109"/>
      <c r="B400" s="116"/>
      <c r="C400" s="518" t="str">
        <f>IF(A400&amp;B400="","",VLOOKUP(A400&amp;B400,INSUMOS!C:G,2,0))</f>
        <v/>
      </c>
      <c r="D400" s="519"/>
      <c r="E400" s="117" t="str">
        <f>IF(A400&amp;B400="","",VLOOKUP(A400&amp;B400,INSUMOS!C:G,3,0))</f>
        <v/>
      </c>
      <c r="F400" s="118"/>
      <c r="G400" s="113" t="str">
        <f>IF(A400&amp;B400="","",VLOOKUP(A400&amp;B400,INSUMOS!C:G,4,0))</f>
        <v/>
      </c>
      <c r="H400" s="119" t="str">
        <f t="shared" ref="H400:H411" si="78">IF(K400="MO",TRUNC(F400*G400,2),"")</f>
        <v/>
      </c>
      <c r="I400" s="119" t="str">
        <f t="shared" ref="I400:I411" si="79">IF(K400="MT",TRUNC(F400*G400,2),"")</f>
        <v/>
      </c>
      <c r="J400" s="115" t="str">
        <f t="shared" ref="J400:J411" si="80">IF(K400="EQ",TRUNC(F400*G400,2),"")</f>
        <v/>
      </c>
      <c r="K400" s="102" t="str">
        <f>IF(A400&amp;B400="","",VLOOKUP(A400&amp;B400,INSUMOS!C:G,5,0))</f>
        <v/>
      </c>
    </row>
    <row r="401" spans="1:17" ht="15" x14ac:dyDescent="0.25">
      <c r="A401" s="109"/>
      <c r="B401" s="116"/>
      <c r="C401" s="518" t="str">
        <f>IF(A401&amp;B401="","",VLOOKUP(A401&amp;B401,INSUMOS!C:G,2,0))</f>
        <v/>
      </c>
      <c r="D401" s="519"/>
      <c r="E401" s="117" t="str">
        <f>IF(A401&amp;B401="","",VLOOKUP(A401&amp;B401,INSUMOS!C:G,3,0))</f>
        <v/>
      </c>
      <c r="F401" s="118"/>
      <c r="G401" s="113" t="str">
        <f>IF(A401&amp;B401="","",VLOOKUP(A401&amp;B401,INSUMOS!C:G,4,0))</f>
        <v/>
      </c>
      <c r="H401" s="119" t="str">
        <f t="shared" si="78"/>
        <v/>
      </c>
      <c r="I401" s="119" t="str">
        <f t="shared" si="79"/>
        <v/>
      </c>
      <c r="J401" s="115" t="str">
        <f t="shared" si="80"/>
        <v/>
      </c>
      <c r="K401" s="102" t="str">
        <f>IF(A401&amp;B401="","",VLOOKUP(A401&amp;B401,INSUMOS!C:G,5,0))</f>
        <v/>
      </c>
    </row>
    <row r="402" spans="1:17" ht="15" x14ac:dyDescent="0.25">
      <c r="A402" s="109"/>
      <c r="B402" s="116"/>
      <c r="C402" s="518" t="str">
        <f>IF(A402&amp;B402="","",VLOOKUP(A402&amp;B402,INSUMOS!C:G,2,0))</f>
        <v/>
      </c>
      <c r="D402" s="519"/>
      <c r="E402" s="117" t="str">
        <f>IF(A402&amp;B402="","",VLOOKUP(A402&amp;B402,INSUMOS!C:G,3,0))</f>
        <v/>
      </c>
      <c r="F402" s="118"/>
      <c r="G402" s="113" t="str">
        <f>IF(A402&amp;B402="","",VLOOKUP(A402&amp;B402,INSUMOS!C:G,4,0))</f>
        <v/>
      </c>
      <c r="H402" s="119" t="str">
        <f t="shared" si="78"/>
        <v/>
      </c>
      <c r="I402" s="119" t="str">
        <f t="shared" si="79"/>
        <v/>
      </c>
      <c r="J402" s="115" t="str">
        <f t="shared" si="80"/>
        <v/>
      </c>
      <c r="K402" s="102" t="str">
        <f>IF(A402&amp;B402="","",VLOOKUP(A402&amp;B402,INSUMOS!C:G,5,0))</f>
        <v/>
      </c>
    </row>
    <row r="403" spans="1:17" ht="15" x14ac:dyDescent="0.25">
      <c r="A403" s="109"/>
      <c r="B403" s="116"/>
      <c r="C403" s="518" t="str">
        <f>IF(A403&amp;B403="","",VLOOKUP(A403&amp;B403,INSUMOS!C:G,2,0))</f>
        <v/>
      </c>
      <c r="D403" s="519"/>
      <c r="E403" s="117" t="str">
        <f>IF(A403&amp;B403="","",VLOOKUP(A403&amp;B403,INSUMOS!C:G,3,0))</f>
        <v/>
      </c>
      <c r="F403" s="118"/>
      <c r="G403" s="113" t="str">
        <f>IF(A403&amp;B403="","",VLOOKUP(A403&amp;B403,INSUMOS!C:G,4,0))</f>
        <v/>
      </c>
      <c r="H403" s="119" t="str">
        <f t="shared" si="78"/>
        <v/>
      </c>
      <c r="I403" s="119" t="str">
        <f t="shared" si="79"/>
        <v/>
      </c>
      <c r="J403" s="115" t="str">
        <f t="shared" si="80"/>
        <v/>
      </c>
      <c r="K403" s="102" t="str">
        <f>IF(A403&amp;B403="","",VLOOKUP(A403&amp;B403,INSUMOS!C:G,5,0))</f>
        <v/>
      </c>
    </row>
    <row r="404" spans="1:17" ht="15" x14ac:dyDescent="0.25">
      <c r="A404" s="109"/>
      <c r="B404" s="116"/>
      <c r="C404" s="518" t="str">
        <f>IF(A404&amp;B404="","",VLOOKUP(A404&amp;B404,INSUMOS!C:G,2,0))</f>
        <v/>
      </c>
      <c r="D404" s="519"/>
      <c r="E404" s="117" t="str">
        <f>IF(A404&amp;B404="","",VLOOKUP(A404&amp;B404,INSUMOS!C:G,3,0))</f>
        <v/>
      </c>
      <c r="F404" s="118"/>
      <c r="G404" s="113" t="str">
        <f>IF(A404&amp;B404="","",VLOOKUP(A404&amp;B404,INSUMOS!C:G,4,0))</f>
        <v/>
      </c>
      <c r="H404" s="119" t="str">
        <f t="shared" si="78"/>
        <v/>
      </c>
      <c r="I404" s="119" t="str">
        <f t="shared" si="79"/>
        <v/>
      </c>
      <c r="J404" s="115" t="str">
        <f t="shared" si="80"/>
        <v/>
      </c>
      <c r="K404" s="102" t="str">
        <f>IF(A404&amp;B404="","",VLOOKUP(A404&amp;B404,INSUMOS!C:G,5,0))</f>
        <v/>
      </c>
    </row>
    <row r="405" spans="1:17" ht="15" x14ac:dyDescent="0.25">
      <c r="A405" s="109"/>
      <c r="B405" s="116"/>
      <c r="C405" s="518" t="str">
        <f>IF(A405&amp;B405="","",VLOOKUP(A405&amp;B405,INSUMOS!C:G,2,0))</f>
        <v/>
      </c>
      <c r="D405" s="519"/>
      <c r="E405" s="117" t="str">
        <f>IF(A405&amp;B405="","",VLOOKUP(A405&amp;B405,INSUMOS!C:G,3,0))</f>
        <v/>
      </c>
      <c r="F405" s="118"/>
      <c r="G405" s="113" t="str">
        <f>IF(A405&amp;B405="","",VLOOKUP(A405&amp;B405,INSUMOS!C:G,4,0))</f>
        <v/>
      </c>
      <c r="H405" s="119" t="str">
        <f t="shared" si="78"/>
        <v/>
      </c>
      <c r="I405" s="119" t="str">
        <f t="shared" si="79"/>
        <v/>
      </c>
      <c r="J405" s="115" t="str">
        <f t="shared" si="80"/>
        <v/>
      </c>
      <c r="K405" s="102" t="str">
        <f>IF(A405&amp;B405="","",VLOOKUP(A405&amp;B405,INSUMOS!C:G,5,0))</f>
        <v/>
      </c>
    </row>
    <row r="406" spans="1:17" ht="15" x14ac:dyDescent="0.25">
      <c r="A406" s="109"/>
      <c r="B406" s="116"/>
      <c r="C406" s="518" t="str">
        <f>IF(A406&amp;B406="","",VLOOKUP(A406&amp;B406,INSUMOS!C:G,2,0))</f>
        <v/>
      </c>
      <c r="D406" s="519"/>
      <c r="E406" s="117" t="str">
        <f>IF(A406&amp;B406="","",VLOOKUP(A406&amp;B406,INSUMOS!C:G,3,0))</f>
        <v/>
      </c>
      <c r="F406" s="118"/>
      <c r="G406" s="113" t="str">
        <f>IF(A406&amp;B406="","",VLOOKUP(A406&amp;B406,INSUMOS!C:G,4,0))</f>
        <v/>
      </c>
      <c r="H406" s="119" t="str">
        <f t="shared" si="78"/>
        <v/>
      </c>
      <c r="I406" s="119" t="str">
        <f t="shared" si="79"/>
        <v/>
      </c>
      <c r="J406" s="115" t="str">
        <f t="shared" si="80"/>
        <v/>
      </c>
      <c r="K406" s="102" t="str">
        <f>IF(A406&amp;B406="","",VLOOKUP(A406&amp;B406,INSUMOS!C:G,5,0))</f>
        <v/>
      </c>
    </row>
    <row r="407" spans="1:17" ht="15" x14ac:dyDescent="0.25">
      <c r="A407" s="109"/>
      <c r="B407" s="116"/>
      <c r="C407" s="518" t="str">
        <f>IF(A407&amp;B407="","",VLOOKUP(A407&amp;B407,INSUMOS!C:G,2,0))</f>
        <v/>
      </c>
      <c r="D407" s="519"/>
      <c r="E407" s="117" t="str">
        <f>IF(A407&amp;B407="","",VLOOKUP(A407&amp;B407,INSUMOS!C:G,3,0))</f>
        <v/>
      </c>
      <c r="F407" s="118"/>
      <c r="G407" s="113" t="str">
        <f>IF(A407&amp;B407="","",VLOOKUP(A407&amp;B407,INSUMOS!C:G,4,0))</f>
        <v/>
      </c>
      <c r="H407" s="119" t="str">
        <f t="shared" si="78"/>
        <v/>
      </c>
      <c r="I407" s="119" t="str">
        <f t="shared" si="79"/>
        <v/>
      </c>
      <c r="J407" s="115" t="str">
        <f t="shared" si="80"/>
        <v/>
      </c>
      <c r="K407" s="102" t="str">
        <f>IF(A407&amp;B407="","",VLOOKUP(A407&amp;B407,INSUMOS!C:G,5,0))</f>
        <v/>
      </c>
    </row>
    <row r="408" spans="1:17" ht="15" x14ac:dyDescent="0.25">
      <c r="A408" s="109"/>
      <c r="B408" s="116"/>
      <c r="C408" s="518" t="str">
        <f>IF(A408&amp;B408="","",VLOOKUP(A408&amp;B408,INSUMOS!C:G,2,0))</f>
        <v/>
      </c>
      <c r="D408" s="519"/>
      <c r="E408" s="117" t="str">
        <f>IF(A408&amp;B408="","",VLOOKUP(A408&amp;B408,INSUMOS!C:G,3,0))</f>
        <v/>
      </c>
      <c r="F408" s="118"/>
      <c r="G408" s="113" t="str">
        <f>IF(A408&amp;B408="","",VLOOKUP(A408&amp;B408,INSUMOS!C:G,4,0))</f>
        <v/>
      </c>
      <c r="H408" s="119" t="str">
        <f t="shared" si="78"/>
        <v/>
      </c>
      <c r="I408" s="119" t="str">
        <f t="shared" si="79"/>
        <v/>
      </c>
      <c r="J408" s="115" t="str">
        <f t="shared" si="80"/>
        <v/>
      </c>
      <c r="K408" s="102" t="str">
        <f>IF(A408&amp;B408="","",VLOOKUP(A408&amp;B408,INSUMOS!C:G,5,0))</f>
        <v/>
      </c>
    </row>
    <row r="409" spans="1:17" ht="15" x14ac:dyDescent="0.25">
      <c r="A409" s="120"/>
      <c r="B409" s="121"/>
      <c r="C409" s="518" t="str">
        <f>IF(A409&amp;B409="","",VLOOKUP(A409&amp;B409,INSUMOS!C:G,2,0))</f>
        <v/>
      </c>
      <c r="D409" s="519"/>
      <c r="E409" s="117" t="str">
        <f>IF(A409&amp;B409="","",VLOOKUP(A409&amp;B409,INSUMOS!C:G,3,0))</f>
        <v/>
      </c>
      <c r="F409" s="118"/>
      <c r="G409" s="122" t="str">
        <f>IF(A409&amp;B409="","",VLOOKUP(A409&amp;B409,INSUMOS!C:G,4,0))</f>
        <v/>
      </c>
      <c r="H409" s="119" t="str">
        <f t="shared" si="78"/>
        <v/>
      </c>
      <c r="I409" s="119" t="str">
        <f t="shared" si="79"/>
        <v/>
      </c>
      <c r="J409" s="115" t="str">
        <f t="shared" si="80"/>
        <v/>
      </c>
      <c r="K409" s="102" t="str">
        <f>IF(A409&amp;B409="","",VLOOKUP(A409&amp;B409,INSUMOS!C:G,5,0))</f>
        <v/>
      </c>
    </row>
    <row r="410" spans="1:17" ht="15" x14ac:dyDescent="0.25">
      <c r="A410" s="120"/>
      <c r="B410" s="121"/>
      <c r="C410" s="518" t="str">
        <f>IF(A410&amp;B410="","",VLOOKUP(A410&amp;B410,INSUMOS!C:G,2,0))</f>
        <v/>
      </c>
      <c r="D410" s="519"/>
      <c r="E410" s="117" t="str">
        <f>IF(A410&amp;B410="","",VLOOKUP(A410&amp;B410,INSUMOS!C:G,3,0))</f>
        <v/>
      </c>
      <c r="F410" s="118"/>
      <c r="G410" s="122" t="str">
        <f>IF(A410&amp;B410="","",VLOOKUP(A410&amp;B410,INSUMOS!C:G,4,0))</f>
        <v/>
      </c>
      <c r="H410" s="119" t="str">
        <f t="shared" si="78"/>
        <v/>
      </c>
      <c r="I410" s="119" t="str">
        <f t="shared" si="79"/>
        <v/>
      </c>
      <c r="J410" s="115" t="str">
        <f t="shared" si="80"/>
        <v/>
      </c>
      <c r="K410" s="102" t="str">
        <f>IF(A410&amp;B410="","",VLOOKUP(A410&amp;B410,INSUMOS!C:G,5,0))</f>
        <v/>
      </c>
    </row>
    <row r="411" spans="1:17" ht="15" x14ac:dyDescent="0.25">
      <c r="A411" s="120"/>
      <c r="B411" s="121"/>
      <c r="C411" s="518" t="str">
        <f>IF(A411&amp;B411="","",VLOOKUP(A411&amp;B411,INSUMOS!C:G,2,0))</f>
        <v/>
      </c>
      <c r="D411" s="519"/>
      <c r="E411" s="117" t="str">
        <f>IF(A411&amp;B411="","",VLOOKUP(A411&amp;B411,INSUMOS!C:G,3,0))</f>
        <v/>
      </c>
      <c r="F411" s="118"/>
      <c r="G411" s="122" t="str">
        <f>IF(A411&amp;B411="","",VLOOKUP(A411&amp;B411,INSUMOS!C:G,4,0))</f>
        <v/>
      </c>
      <c r="H411" s="119" t="str">
        <f t="shared" si="78"/>
        <v/>
      </c>
      <c r="I411" s="119" t="str">
        <f t="shared" si="79"/>
        <v/>
      </c>
      <c r="J411" s="115" t="str">
        <f t="shared" si="80"/>
        <v/>
      </c>
      <c r="K411" s="102" t="str">
        <f>IF(A411&amp;B411="","",VLOOKUP(A411&amp;B411,INSUMOS!C:G,5,0))</f>
        <v/>
      </c>
    </row>
    <row r="412" spans="1:17" ht="15" x14ac:dyDescent="0.25">
      <c r="A412" s="123" t="s">
        <v>4399</v>
      </c>
      <c r="B412" s="520"/>
      <c r="C412" s="520"/>
      <c r="D412" s="520"/>
      <c r="E412" s="520"/>
      <c r="F412" s="521"/>
      <c r="G412" s="124" t="s">
        <v>50</v>
      </c>
      <c r="H412" s="125">
        <f>SUM(H399:H411)</f>
        <v>0</v>
      </c>
      <c r="I412" s="125">
        <f>SUM(I399:I411)</f>
        <v>25948</v>
      </c>
      <c r="J412" s="126">
        <f>SUM(J399:J411)</f>
        <v>0</v>
      </c>
    </row>
    <row r="413" spans="1:17" ht="15" x14ac:dyDescent="0.25">
      <c r="A413" s="127" t="s">
        <v>4400</v>
      </c>
      <c r="B413" s="128"/>
      <c r="C413" s="128"/>
      <c r="D413" s="127" t="s">
        <v>51</v>
      </c>
      <c r="E413" s="128"/>
      <c r="F413" s="129"/>
      <c r="G413" s="130" t="s">
        <v>55</v>
      </c>
      <c r="H413" s="131" t="s">
        <v>52</v>
      </c>
      <c r="I413" s="132"/>
      <c r="J413" s="125">
        <f>SUM(H412:J412)</f>
        <v>25948</v>
      </c>
    </row>
    <row r="414" spans="1:17" ht="15" x14ac:dyDescent="0.25">
      <c r="A414" s="313" t="str">
        <f>$I$3</f>
        <v>Carlos Wieck</v>
      </c>
      <c r="B414" s="133"/>
      <c r="C414" s="133"/>
      <c r="D414" s="134"/>
      <c r="E414" s="133"/>
      <c r="F414" s="135"/>
      <c r="G414" s="522">
        <f>$J$5</f>
        <v>43040</v>
      </c>
      <c r="H414" s="136" t="s">
        <v>53</v>
      </c>
      <c r="I414" s="137"/>
      <c r="J414" s="125">
        <f>TRUNC(I414*J413,2)</f>
        <v>0</v>
      </c>
    </row>
    <row r="415" spans="1:17" ht="15" x14ac:dyDescent="0.25">
      <c r="A415" s="138"/>
      <c r="B415" s="139"/>
      <c r="C415" s="139"/>
      <c r="D415" s="138"/>
      <c r="E415" s="139"/>
      <c r="F415" s="140"/>
      <c r="G415" s="523"/>
      <c r="H415" s="141" t="s">
        <v>54</v>
      </c>
      <c r="I415" s="142"/>
      <c r="J415" s="143">
        <f>J414+J413</f>
        <v>25948</v>
      </c>
      <c r="L415" s="102" t="str">
        <f>A396</f>
        <v>COMPOSIÇÃO</v>
      </c>
      <c r="M415" s="144" t="str">
        <f>B396</f>
        <v>FF-006</v>
      </c>
      <c r="N415" s="102" t="str">
        <f>L415&amp;M415</f>
        <v>COMPOSIÇÃOFF-006</v>
      </c>
      <c r="O415" s="103" t="str">
        <f>D395</f>
        <v>Fornecimento e Instalação de Sistema com 10 módulos 265 W e inversor Fronius 2,5 kWp, inclusive homologação junto à concessionária.</v>
      </c>
      <c r="P415" s="145" t="str">
        <f>J396</f>
        <v>cj</v>
      </c>
      <c r="Q415" s="145">
        <f>J415</f>
        <v>25948</v>
      </c>
    </row>
    <row r="416" spans="1:17" ht="15" customHeight="1" x14ac:dyDescent="0.25">
      <c r="A416" s="524" t="s">
        <v>40</v>
      </c>
      <c r="B416" s="525"/>
      <c r="C416" s="104" t="s">
        <v>41</v>
      </c>
      <c r="D416" s="526" t="str">
        <f>IF(B417="","",VLOOKUP(B417,SERVIÇOS!B:E,3,0))</f>
        <v>Fornecimento e Instalação de Sistema com 12 módulos 265W com sistema off-grid, inclusive homologação junto à concessionária.</v>
      </c>
      <c r="E416" s="526"/>
      <c r="F416" s="526"/>
      <c r="G416" s="526"/>
      <c r="H416" s="526"/>
      <c r="I416" s="527"/>
      <c r="J416" s="105" t="s">
        <v>42</v>
      </c>
    </row>
    <row r="417" spans="1:11" ht="15" x14ac:dyDescent="0.25">
      <c r="A417" s="230" t="s">
        <v>4715</v>
      </c>
      <c r="B417" s="230" t="s">
        <v>4887</v>
      </c>
      <c r="C417" s="106"/>
      <c r="D417" s="528"/>
      <c r="E417" s="528"/>
      <c r="F417" s="528"/>
      <c r="G417" s="528"/>
      <c r="H417" s="528"/>
      <c r="I417" s="529"/>
      <c r="J417" s="107" t="str">
        <f>IF(B417="","",VLOOKUP(B417,SERVIÇOS!B:E,4,0))</f>
        <v>cj</v>
      </c>
    </row>
    <row r="418" spans="1:11" ht="15" x14ac:dyDescent="0.25">
      <c r="A418" s="530" t="s">
        <v>4397</v>
      </c>
      <c r="B418" s="531" t="s">
        <v>11</v>
      </c>
      <c r="C418" s="533" t="s">
        <v>43</v>
      </c>
      <c r="D418" s="534"/>
      <c r="E418" s="530" t="s">
        <v>13</v>
      </c>
      <c r="F418" s="530" t="s">
        <v>44</v>
      </c>
      <c r="G418" s="538" t="s">
        <v>45</v>
      </c>
      <c r="H418" s="108" t="s">
        <v>46</v>
      </c>
      <c r="I418" s="108"/>
      <c r="J418" s="108"/>
    </row>
    <row r="419" spans="1:11" ht="15" x14ac:dyDescent="0.25">
      <c r="A419" s="530"/>
      <c r="B419" s="532"/>
      <c r="C419" s="535"/>
      <c r="D419" s="536"/>
      <c r="E419" s="537"/>
      <c r="F419" s="537"/>
      <c r="G419" s="539"/>
      <c r="H419" s="108" t="s">
        <v>47</v>
      </c>
      <c r="I419" s="108" t="s">
        <v>48</v>
      </c>
      <c r="J419" s="108" t="s">
        <v>49</v>
      </c>
    </row>
    <row r="420" spans="1:11" ht="30" customHeight="1" x14ac:dyDescent="0.25">
      <c r="A420" s="109" t="s">
        <v>4717</v>
      </c>
      <c r="B420" s="116" t="s">
        <v>4858</v>
      </c>
      <c r="C420" s="540" t="str">
        <f>IF(A420&amp;B420="","",VLOOKUP(A420&amp;B420,INSUMOS!C:G,2,0))</f>
        <v>Fornecimento e Instalação de Sistema com 12 módulos 265W com sistema off-grid, inclusive homologação junto à concessionária.</v>
      </c>
      <c r="D420" s="541"/>
      <c r="E420" s="111" t="str">
        <f>IF(A420&amp;B420="","",VLOOKUP(A420&amp;B420,INSUMOS!C:G,3,0))</f>
        <v>cj</v>
      </c>
      <c r="F420" s="112">
        <v>1</v>
      </c>
      <c r="G420" s="113">
        <f>IF(A420&amp;B420="","",VLOOKUP(A420&amp;B420,INSUMOS!C:G,4,0))</f>
        <v>70751.214000000007</v>
      </c>
      <c r="H420" s="114" t="str">
        <f>IF(K420="MO",TRUNC(F420*G420,2),"")</f>
        <v/>
      </c>
      <c r="I420" s="114">
        <f>IF(K420="MT",TRUNC(F420*G420,2),"")</f>
        <v>70751.210000000006</v>
      </c>
      <c r="J420" s="115" t="str">
        <f>IF(K420="EQ",TRUNC(F420*G420,2),"")</f>
        <v/>
      </c>
      <c r="K420" s="102" t="str">
        <f>IF(A420&amp;B420="","",VLOOKUP(A420&amp;B420,INSUMOS!C:G,5,0))</f>
        <v>MT</v>
      </c>
    </row>
    <row r="421" spans="1:11" ht="15" x14ac:dyDescent="0.25">
      <c r="A421" s="109"/>
      <c r="B421" s="116"/>
      <c r="C421" s="518" t="str">
        <f>IF(A421&amp;B421="","",VLOOKUP(A421&amp;B421,INSUMOS!C:G,2,0))</f>
        <v/>
      </c>
      <c r="D421" s="519"/>
      <c r="E421" s="117" t="str">
        <f>IF(A421&amp;B421="","",VLOOKUP(A421&amp;B421,INSUMOS!C:G,3,0))</f>
        <v/>
      </c>
      <c r="F421" s="118"/>
      <c r="G421" s="113" t="str">
        <f>IF(A421&amp;B421="","",VLOOKUP(A421&amp;B421,INSUMOS!C:G,4,0))</f>
        <v/>
      </c>
      <c r="H421" s="119" t="str">
        <f t="shared" ref="H421:H432" si="81">IF(K421="MO",TRUNC(F421*G421,2),"")</f>
        <v/>
      </c>
      <c r="I421" s="119" t="str">
        <f t="shared" ref="I421:I432" si="82">IF(K421="MT",TRUNC(F421*G421,2),"")</f>
        <v/>
      </c>
      <c r="J421" s="115" t="str">
        <f t="shared" ref="J421:J432" si="83">IF(K421="EQ",TRUNC(F421*G421,2),"")</f>
        <v/>
      </c>
      <c r="K421" s="102" t="str">
        <f>IF(A421&amp;B421="","",VLOOKUP(A421&amp;B421,INSUMOS!C:G,5,0))</f>
        <v/>
      </c>
    </row>
    <row r="422" spans="1:11" ht="15" x14ac:dyDescent="0.25">
      <c r="A422" s="109"/>
      <c r="B422" s="116"/>
      <c r="C422" s="518" t="str">
        <f>IF(A422&amp;B422="","",VLOOKUP(A422&amp;B422,INSUMOS!C:G,2,0))</f>
        <v/>
      </c>
      <c r="D422" s="519"/>
      <c r="E422" s="117" t="str">
        <f>IF(A422&amp;B422="","",VLOOKUP(A422&amp;B422,INSUMOS!C:G,3,0))</f>
        <v/>
      </c>
      <c r="F422" s="118"/>
      <c r="G422" s="113" t="str">
        <f>IF(A422&amp;B422="","",VLOOKUP(A422&amp;B422,INSUMOS!C:G,4,0))</f>
        <v/>
      </c>
      <c r="H422" s="119" t="str">
        <f t="shared" si="81"/>
        <v/>
      </c>
      <c r="I422" s="119" t="str">
        <f t="shared" si="82"/>
        <v/>
      </c>
      <c r="J422" s="115" t="str">
        <f t="shared" si="83"/>
        <v/>
      </c>
      <c r="K422" s="102" t="str">
        <f>IF(A422&amp;B422="","",VLOOKUP(A422&amp;B422,INSUMOS!C:G,5,0))</f>
        <v/>
      </c>
    </row>
    <row r="423" spans="1:11" ht="15" x14ac:dyDescent="0.25">
      <c r="A423" s="109"/>
      <c r="B423" s="116"/>
      <c r="C423" s="518" t="str">
        <f>IF(A423&amp;B423="","",VLOOKUP(A423&amp;B423,INSUMOS!C:G,2,0))</f>
        <v/>
      </c>
      <c r="D423" s="519"/>
      <c r="E423" s="117" t="str">
        <f>IF(A423&amp;B423="","",VLOOKUP(A423&amp;B423,INSUMOS!C:G,3,0))</f>
        <v/>
      </c>
      <c r="F423" s="118"/>
      <c r="G423" s="113" t="str">
        <f>IF(A423&amp;B423="","",VLOOKUP(A423&amp;B423,INSUMOS!C:G,4,0))</f>
        <v/>
      </c>
      <c r="H423" s="119" t="str">
        <f t="shared" si="81"/>
        <v/>
      </c>
      <c r="I423" s="119" t="str">
        <f t="shared" si="82"/>
        <v/>
      </c>
      <c r="J423" s="115" t="str">
        <f t="shared" si="83"/>
        <v/>
      </c>
      <c r="K423" s="102" t="str">
        <f>IF(A423&amp;B423="","",VLOOKUP(A423&amp;B423,INSUMOS!C:G,5,0))</f>
        <v/>
      </c>
    </row>
    <row r="424" spans="1:11" ht="15" x14ac:dyDescent="0.25">
      <c r="A424" s="109"/>
      <c r="B424" s="116"/>
      <c r="C424" s="518" t="str">
        <f>IF(A424&amp;B424="","",VLOOKUP(A424&amp;B424,INSUMOS!C:G,2,0))</f>
        <v/>
      </c>
      <c r="D424" s="519"/>
      <c r="E424" s="117" t="str">
        <f>IF(A424&amp;B424="","",VLOOKUP(A424&amp;B424,INSUMOS!C:G,3,0))</f>
        <v/>
      </c>
      <c r="F424" s="118"/>
      <c r="G424" s="113" t="str">
        <f>IF(A424&amp;B424="","",VLOOKUP(A424&amp;B424,INSUMOS!C:G,4,0))</f>
        <v/>
      </c>
      <c r="H424" s="119" t="str">
        <f t="shared" si="81"/>
        <v/>
      </c>
      <c r="I424" s="119" t="str">
        <f t="shared" si="82"/>
        <v/>
      </c>
      <c r="J424" s="115" t="str">
        <f t="shared" si="83"/>
        <v/>
      </c>
      <c r="K424" s="102" t="str">
        <f>IF(A424&amp;B424="","",VLOOKUP(A424&amp;B424,INSUMOS!C:G,5,0))</f>
        <v/>
      </c>
    </row>
    <row r="425" spans="1:11" ht="15" x14ac:dyDescent="0.25">
      <c r="A425" s="109"/>
      <c r="B425" s="116"/>
      <c r="C425" s="518" t="str">
        <f>IF(A425&amp;B425="","",VLOOKUP(A425&amp;B425,INSUMOS!C:G,2,0))</f>
        <v/>
      </c>
      <c r="D425" s="519"/>
      <c r="E425" s="117" t="str">
        <f>IF(A425&amp;B425="","",VLOOKUP(A425&amp;B425,INSUMOS!C:G,3,0))</f>
        <v/>
      </c>
      <c r="F425" s="118"/>
      <c r="G425" s="113" t="str">
        <f>IF(A425&amp;B425="","",VLOOKUP(A425&amp;B425,INSUMOS!C:G,4,0))</f>
        <v/>
      </c>
      <c r="H425" s="119" t="str">
        <f t="shared" si="81"/>
        <v/>
      </c>
      <c r="I425" s="119" t="str">
        <f t="shared" si="82"/>
        <v/>
      </c>
      <c r="J425" s="115" t="str">
        <f t="shared" si="83"/>
        <v/>
      </c>
      <c r="K425" s="102" t="str">
        <f>IF(A425&amp;B425="","",VLOOKUP(A425&amp;B425,INSUMOS!C:G,5,0))</f>
        <v/>
      </c>
    </row>
    <row r="426" spans="1:11" ht="15" x14ac:dyDescent="0.25">
      <c r="A426" s="109"/>
      <c r="B426" s="116"/>
      <c r="C426" s="518" t="str">
        <f>IF(A426&amp;B426="","",VLOOKUP(A426&amp;B426,INSUMOS!C:G,2,0))</f>
        <v/>
      </c>
      <c r="D426" s="519"/>
      <c r="E426" s="117" t="str">
        <f>IF(A426&amp;B426="","",VLOOKUP(A426&amp;B426,INSUMOS!C:G,3,0))</f>
        <v/>
      </c>
      <c r="F426" s="118"/>
      <c r="G426" s="113" t="str">
        <f>IF(A426&amp;B426="","",VLOOKUP(A426&amp;B426,INSUMOS!C:G,4,0))</f>
        <v/>
      </c>
      <c r="H426" s="119" t="str">
        <f t="shared" si="81"/>
        <v/>
      </c>
      <c r="I426" s="119" t="str">
        <f t="shared" si="82"/>
        <v/>
      </c>
      <c r="J426" s="115" t="str">
        <f t="shared" si="83"/>
        <v/>
      </c>
      <c r="K426" s="102" t="str">
        <f>IF(A426&amp;B426="","",VLOOKUP(A426&amp;B426,INSUMOS!C:G,5,0))</f>
        <v/>
      </c>
    </row>
    <row r="427" spans="1:11" ht="15" x14ac:dyDescent="0.25">
      <c r="A427" s="109"/>
      <c r="B427" s="116"/>
      <c r="C427" s="518" t="str">
        <f>IF(A427&amp;B427="","",VLOOKUP(A427&amp;B427,INSUMOS!C:G,2,0))</f>
        <v/>
      </c>
      <c r="D427" s="519"/>
      <c r="E427" s="117" t="str">
        <f>IF(A427&amp;B427="","",VLOOKUP(A427&amp;B427,INSUMOS!C:G,3,0))</f>
        <v/>
      </c>
      <c r="F427" s="118"/>
      <c r="G427" s="113" t="str">
        <f>IF(A427&amp;B427="","",VLOOKUP(A427&amp;B427,INSUMOS!C:G,4,0))</f>
        <v/>
      </c>
      <c r="H427" s="119" t="str">
        <f t="shared" si="81"/>
        <v/>
      </c>
      <c r="I427" s="119" t="str">
        <f t="shared" si="82"/>
        <v/>
      </c>
      <c r="J427" s="115" t="str">
        <f t="shared" si="83"/>
        <v/>
      </c>
      <c r="K427" s="102" t="str">
        <f>IF(A427&amp;B427="","",VLOOKUP(A427&amp;B427,INSUMOS!C:G,5,0))</f>
        <v/>
      </c>
    </row>
    <row r="428" spans="1:11" ht="15" x14ac:dyDescent="0.25">
      <c r="A428" s="109"/>
      <c r="B428" s="116"/>
      <c r="C428" s="518" t="str">
        <f>IF(A428&amp;B428="","",VLOOKUP(A428&amp;B428,INSUMOS!C:G,2,0))</f>
        <v/>
      </c>
      <c r="D428" s="519"/>
      <c r="E428" s="117" t="str">
        <f>IF(A428&amp;B428="","",VLOOKUP(A428&amp;B428,INSUMOS!C:G,3,0))</f>
        <v/>
      </c>
      <c r="F428" s="118"/>
      <c r="G428" s="113" t="str">
        <f>IF(A428&amp;B428="","",VLOOKUP(A428&amp;B428,INSUMOS!C:G,4,0))</f>
        <v/>
      </c>
      <c r="H428" s="119" t="str">
        <f t="shared" si="81"/>
        <v/>
      </c>
      <c r="I428" s="119" t="str">
        <f t="shared" si="82"/>
        <v/>
      </c>
      <c r="J428" s="115" t="str">
        <f t="shared" si="83"/>
        <v/>
      </c>
      <c r="K428" s="102" t="str">
        <f>IF(A428&amp;B428="","",VLOOKUP(A428&amp;B428,INSUMOS!C:G,5,0))</f>
        <v/>
      </c>
    </row>
    <row r="429" spans="1:11" ht="15" x14ac:dyDescent="0.25">
      <c r="A429" s="109"/>
      <c r="B429" s="116"/>
      <c r="C429" s="518" t="str">
        <f>IF(A429&amp;B429="","",VLOOKUP(A429&amp;B429,INSUMOS!C:G,2,0))</f>
        <v/>
      </c>
      <c r="D429" s="519"/>
      <c r="E429" s="117" t="str">
        <f>IF(A429&amp;B429="","",VLOOKUP(A429&amp;B429,INSUMOS!C:G,3,0))</f>
        <v/>
      </c>
      <c r="F429" s="118"/>
      <c r="G429" s="113" t="str">
        <f>IF(A429&amp;B429="","",VLOOKUP(A429&amp;B429,INSUMOS!C:G,4,0))</f>
        <v/>
      </c>
      <c r="H429" s="119" t="str">
        <f t="shared" si="81"/>
        <v/>
      </c>
      <c r="I429" s="119" t="str">
        <f t="shared" si="82"/>
        <v/>
      </c>
      <c r="J429" s="115" t="str">
        <f t="shared" si="83"/>
        <v/>
      </c>
      <c r="K429" s="102" t="str">
        <f>IF(A429&amp;B429="","",VLOOKUP(A429&amp;B429,INSUMOS!C:G,5,0))</f>
        <v/>
      </c>
    </row>
    <row r="430" spans="1:11" ht="15" x14ac:dyDescent="0.25">
      <c r="A430" s="120"/>
      <c r="B430" s="121"/>
      <c r="C430" s="518" t="str">
        <f>IF(A430&amp;B430="","",VLOOKUP(A430&amp;B430,INSUMOS!C:G,2,0))</f>
        <v/>
      </c>
      <c r="D430" s="519"/>
      <c r="E430" s="117" t="str">
        <f>IF(A430&amp;B430="","",VLOOKUP(A430&amp;B430,INSUMOS!C:G,3,0))</f>
        <v/>
      </c>
      <c r="F430" s="118"/>
      <c r="G430" s="122" t="str">
        <f>IF(A430&amp;B430="","",VLOOKUP(A430&amp;B430,INSUMOS!C:G,4,0))</f>
        <v/>
      </c>
      <c r="H430" s="119" t="str">
        <f t="shared" si="81"/>
        <v/>
      </c>
      <c r="I430" s="119" t="str">
        <f t="shared" si="82"/>
        <v/>
      </c>
      <c r="J430" s="115" t="str">
        <f t="shared" si="83"/>
        <v/>
      </c>
      <c r="K430" s="102" t="str">
        <f>IF(A430&amp;B430="","",VLOOKUP(A430&amp;B430,INSUMOS!C:G,5,0))</f>
        <v/>
      </c>
    </row>
    <row r="431" spans="1:11" ht="15" x14ac:dyDescent="0.25">
      <c r="A431" s="120"/>
      <c r="B431" s="121"/>
      <c r="C431" s="518" t="str">
        <f>IF(A431&amp;B431="","",VLOOKUP(A431&amp;B431,INSUMOS!C:G,2,0))</f>
        <v/>
      </c>
      <c r="D431" s="519"/>
      <c r="E431" s="117" t="str">
        <f>IF(A431&amp;B431="","",VLOOKUP(A431&amp;B431,INSUMOS!C:G,3,0))</f>
        <v/>
      </c>
      <c r="F431" s="118"/>
      <c r="G431" s="122" t="str">
        <f>IF(A431&amp;B431="","",VLOOKUP(A431&amp;B431,INSUMOS!C:G,4,0))</f>
        <v/>
      </c>
      <c r="H431" s="119" t="str">
        <f t="shared" si="81"/>
        <v/>
      </c>
      <c r="I431" s="119" t="str">
        <f t="shared" si="82"/>
        <v/>
      </c>
      <c r="J431" s="115" t="str">
        <f t="shared" si="83"/>
        <v/>
      </c>
      <c r="K431" s="102" t="str">
        <f>IF(A431&amp;B431="","",VLOOKUP(A431&amp;B431,INSUMOS!C:G,5,0))</f>
        <v/>
      </c>
    </row>
    <row r="432" spans="1:11" ht="15" x14ac:dyDescent="0.25">
      <c r="A432" s="120"/>
      <c r="B432" s="121"/>
      <c r="C432" s="518" t="str">
        <f>IF(A432&amp;B432="","",VLOOKUP(A432&amp;B432,INSUMOS!C:G,2,0))</f>
        <v/>
      </c>
      <c r="D432" s="519"/>
      <c r="E432" s="117" t="str">
        <f>IF(A432&amp;B432="","",VLOOKUP(A432&amp;B432,INSUMOS!C:G,3,0))</f>
        <v/>
      </c>
      <c r="F432" s="118"/>
      <c r="G432" s="122" t="str">
        <f>IF(A432&amp;B432="","",VLOOKUP(A432&amp;B432,INSUMOS!C:G,4,0))</f>
        <v/>
      </c>
      <c r="H432" s="119" t="str">
        <f t="shared" si="81"/>
        <v/>
      </c>
      <c r="I432" s="119" t="str">
        <f t="shared" si="82"/>
        <v/>
      </c>
      <c r="J432" s="115" t="str">
        <f t="shared" si="83"/>
        <v/>
      </c>
      <c r="K432" s="102" t="str">
        <f>IF(A432&amp;B432="","",VLOOKUP(A432&amp;B432,INSUMOS!C:G,5,0))</f>
        <v/>
      </c>
    </row>
    <row r="433" spans="1:17" ht="15" x14ac:dyDescent="0.25">
      <c r="A433" s="123" t="s">
        <v>4399</v>
      </c>
      <c r="B433" s="520"/>
      <c r="C433" s="520"/>
      <c r="D433" s="520"/>
      <c r="E433" s="520"/>
      <c r="F433" s="521"/>
      <c r="G433" s="124" t="s">
        <v>50</v>
      </c>
      <c r="H433" s="125">
        <f>SUM(H420:H432)</f>
        <v>0</v>
      </c>
      <c r="I433" s="125">
        <f>SUM(I420:I432)</f>
        <v>70751.210000000006</v>
      </c>
      <c r="J433" s="126">
        <f>SUM(J420:J432)</f>
        <v>0</v>
      </c>
    </row>
    <row r="434" spans="1:17" ht="15" x14ac:dyDescent="0.25">
      <c r="A434" s="127" t="s">
        <v>4400</v>
      </c>
      <c r="B434" s="128"/>
      <c r="C434" s="128"/>
      <c r="D434" s="127" t="s">
        <v>51</v>
      </c>
      <c r="E434" s="128"/>
      <c r="F434" s="129"/>
      <c r="G434" s="130" t="s">
        <v>55</v>
      </c>
      <c r="H434" s="131" t="s">
        <v>52</v>
      </c>
      <c r="I434" s="132"/>
      <c r="J434" s="125">
        <f>SUM(H433:J433)</f>
        <v>70751.210000000006</v>
      </c>
    </row>
    <row r="435" spans="1:17" ht="15" x14ac:dyDescent="0.25">
      <c r="A435" s="313" t="str">
        <f>$I$3</f>
        <v>Carlos Wieck</v>
      </c>
      <c r="B435" s="133"/>
      <c r="C435" s="133"/>
      <c r="D435" s="134"/>
      <c r="E435" s="133"/>
      <c r="F435" s="135"/>
      <c r="G435" s="522">
        <f>$J$5</f>
        <v>43040</v>
      </c>
      <c r="H435" s="136" t="s">
        <v>53</v>
      </c>
      <c r="I435" s="137"/>
      <c r="J435" s="125">
        <f>TRUNC(I435*J434,2)</f>
        <v>0</v>
      </c>
    </row>
    <row r="436" spans="1:17" ht="15" x14ac:dyDescent="0.25">
      <c r="A436" s="138"/>
      <c r="B436" s="139"/>
      <c r="C436" s="139"/>
      <c r="D436" s="138"/>
      <c r="E436" s="139"/>
      <c r="F436" s="140"/>
      <c r="G436" s="523"/>
      <c r="H436" s="141" t="s">
        <v>54</v>
      </c>
      <c r="I436" s="142"/>
      <c r="J436" s="143">
        <f>J435+J434</f>
        <v>70751.210000000006</v>
      </c>
      <c r="L436" s="102" t="str">
        <f>A417</f>
        <v>COMPOSIÇÃO</v>
      </c>
      <c r="M436" s="144" t="str">
        <f>B417</f>
        <v>FF-007</v>
      </c>
      <c r="N436" s="102" t="str">
        <f>L436&amp;M436</f>
        <v>COMPOSIÇÃOFF-007</v>
      </c>
      <c r="O436" s="103" t="str">
        <f>D416</f>
        <v>Fornecimento e Instalação de Sistema com 12 módulos 265W com sistema off-grid, inclusive homologação junto à concessionária.</v>
      </c>
      <c r="P436" s="145" t="str">
        <f>J417</f>
        <v>cj</v>
      </c>
      <c r="Q436" s="145">
        <f>J436</f>
        <v>70751.210000000006</v>
      </c>
    </row>
    <row r="437" spans="1:17" ht="15" customHeight="1" x14ac:dyDescent="0.25">
      <c r="A437" s="524" t="s">
        <v>40</v>
      </c>
      <c r="B437" s="525"/>
      <c r="C437" s="104" t="s">
        <v>41</v>
      </c>
      <c r="D437" s="526" t="str">
        <f>IF(B438="","",VLOOKUP(B438,SERVIÇOS!B:E,3,0))</f>
        <v>CX 01 - Painel de policarbonato alveolar transparente de 40 mm com acabamento em perfil de alumínio dim.3,00x2,56m. Fornecimento e instalação</v>
      </c>
      <c r="E437" s="526"/>
      <c r="F437" s="526"/>
      <c r="G437" s="526"/>
      <c r="H437" s="526"/>
      <c r="I437" s="527"/>
      <c r="J437" s="105" t="s">
        <v>42</v>
      </c>
    </row>
    <row r="438" spans="1:17" ht="15" x14ac:dyDescent="0.25">
      <c r="A438" s="230" t="s">
        <v>4715</v>
      </c>
      <c r="B438" s="230" t="s">
        <v>4888</v>
      </c>
      <c r="C438" s="106"/>
      <c r="D438" s="528"/>
      <c r="E438" s="528"/>
      <c r="F438" s="528"/>
      <c r="G438" s="528"/>
      <c r="H438" s="528"/>
      <c r="I438" s="529"/>
      <c r="J438" s="107" t="str">
        <f>IF(B438="","",VLOOKUP(B438,SERVIÇOS!B:E,4,0))</f>
        <v>un</v>
      </c>
    </row>
    <row r="439" spans="1:17" ht="15" x14ac:dyDescent="0.25">
      <c r="A439" s="530" t="s">
        <v>4397</v>
      </c>
      <c r="B439" s="531" t="s">
        <v>11</v>
      </c>
      <c r="C439" s="533" t="s">
        <v>43</v>
      </c>
      <c r="D439" s="534"/>
      <c r="E439" s="530" t="s">
        <v>13</v>
      </c>
      <c r="F439" s="530" t="s">
        <v>44</v>
      </c>
      <c r="G439" s="538" t="s">
        <v>45</v>
      </c>
      <c r="H439" s="108" t="s">
        <v>46</v>
      </c>
      <c r="I439" s="108"/>
      <c r="J439" s="108"/>
    </row>
    <row r="440" spans="1:17" ht="15" x14ac:dyDescent="0.25">
      <c r="A440" s="530"/>
      <c r="B440" s="532"/>
      <c r="C440" s="535"/>
      <c r="D440" s="536"/>
      <c r="E440" s="537"/>
      <c r="F440" s="537"/>
      <c r="G440" s="539"/>
      <c r="H440" s="108" t="s">
        <v>47</v>
      </c>
      <c r="I440" s="108" t="s">
        <v>48</v>
      </c>
      <c r="J440" s="108" t="s">
        <v>49</v>
      </c>
    </row>
    <row r="441" spans="1:17" ht="15" x14ac:dyDescent="0.25">
      <c r="A441" s="109" t="s">
        <v>4717</v>
      </c>
      <c r="B441" s="116" t="s">
        <v>4859</v>
      </c>
      <c r="C441" s="540" t="str">
        <f>IF(A441&amp;B441="","",VLOOKUP(A441&amp;B441,INSUMOS!C:G,2,0))</f>
        <v>Policarbonato 40mm - Fechamento de Caixilhos, sistema Arkowall ou equivalente técnico</v>
      </c>
      <c r="D441" s="541"/>
      <c r="E441" s="111" t="str">
        <f>IF(A441&amp;B441="","",VLOOKUP(A441&amp;B441,INSUMOS!C:G,3,0))</f>
        <v>m²</v>
      </c>
      <c r="F441" s="112">
        <v>1</v>
      </c>
      <c r="G441" s="113">
        <f>IF(A441&amp;B441="","",VLOOKUP(A441&amp;B441,INSUMOS!C:G,4,0))</f>
        <v>251.73052999999999</v>
      </c>
      <c r="H441" s="114" t="str">
        <f>IF(K441="MO",TRUNC(F441*G441,2),"")</f>
        <v/>
      </c>
      <c r="I441" s="114">
        <f>IF(K441="MT",TRUNC(F441*G441,2),"")</f>
        <v>251.73</v>
      </c>
      <c r="J441" s="115" t="str">
        <f>IF(K441="EQ",TRUNC(F441*G441,2),"")</f>
        <v/>
      </c>
      <c r="K441" s="102" t="str">
        <f>IF(A441&amp;B441="","",VLOOKUP(A441&amp;B441,INSUMOS!C:G,5,0))</f>
        <v>MT</v>
      </c>
    </row>
    <row r="442" spans="1:17" ht="15" x14ac:dyDescent="0.25">
      <c r="A442" s="109" t="s">
        <v>4717</v>
      </c>
      <c r="B442" s="116" t="s">
        <v>4859</v>
      </c>
      <c r="C442" s="518" t="str">
        <f>IF(A442&amp;B442="","",VLOOKUP(A442&amp;B442,INSUMOS!C:G,2,0))</f>
        <v>Policarbonato 40mm - Fechamento de Caixilhos, sistema Arkowall ou equivalente técnico</v>
      </c>
      <c r="D442" s="519"/>
      <c r="E442" s="117" t="str">
        <f>IF(A442&amp;B442="","",VLOOKUP(A442&amp;B442,INSUMOS!C:G,3,0))</f>
        <v>m²</v>
      </c>
      <c r="F442" s="118">
        <f>3*2.56</f>
        <v>7.68</v>
      </c>
      <c r="G442" s="113">
        <f>IF(A442&amp;B442="","",VLOOKUP(A442&amp;B442,INSUMOS!C:G,4,0))</f>
        <v>251.73052999999999</v>
      </c>
      <c r="H442" s="119" t="str">
        <f t="shared" ref="H442:H453" si="84">IF(K442="MO",TRUNC(F442*G442,2),"")</f>
        <v/>
      </c>
      <c r="I442" s="119">
        <f t="shared" ref="I442:I453" si="85">IF(K442="MT",TRUNC(F442*G442,2),"")</f>
        <v>1933.29</v>
      </c>
      <c r="J442" s="115" t="str">
        <f t="shared" ref="J442:J453" si="86">IF(K442="EQ",TRUNC(F442*G442,2),"")</f>
        <v/>
      </c>
      <c r="K442" s="102" t="str">
        <f>IF(A442&amp;B442="","",VLOOKUP(A442&amp;B442,INSUMOS!C:G,5,0))</f>
        <v>MT</v>
      </c>
    </row>
    <row r="443" spans="1:17" ht="15" x14ac:dyDescent="0.25">
      <c r="A443" s="109" t="s">
        <v>4717</v>
      </c>
      <c r="B443" s="116" t="s">
        <v>4979</v>
      </c>
      <c r="C443" s="518" t="str">
        <f>IF(A443&amp;B443="","",VLOOKUP(A443&amp;B443,INSUMOS!C:G,2,0))</f>
        <v>Acessórios e instalações do sistema de policarbonato</v>
      </c>
      <c r="D443" s="519"/>
      <c r="E443" s="117" t="str">
        <f>IF(A443&amp;B443="","",VLOOKUP(A443&amp;B443,INSUMOS!C:G,3,0))</f>
        <v>m²</v>
      </c>
      <c r="F443" s="118">
        <f>F442</f>
        <v>7.68</v>
      </c>
      <c r="G443" s="113">
        <f>IF(A443&amp;B443="","",VLOOKUP(A443&amp;B443,INSUMOS!C:G,4,0))</f>
        <v>313.75124</v>
      </c>
      <c r="H443" s="119" t="str">
        <f t="shared" si="84"/>
        <v/>
      </c>
      <c r="I443" s="119">
        <f t="shared" si="85"/>
        <v>2409.6</v>
      </c>
      <c r="J443" s="115" t="str">
        <f t="shared" si="86"/>
        <v/>
      </c>
      <c r="K443" s="102" t="str">
        <f>IF(A443&amp;B443="","",VLOOKUP(A443&amp;B443,INSUMOS!C:G,5,0))</f>
        <v>MT</v>
      </c>
    </row>
    <row r="444" spans="1:17" ht="15" x14ac:dyDescent="0.25">
      <c r="A444" s="109"/>
      <c r="B444" s="116"/>
      <c r="C444" s="518" t="str">
        <f>IF(A444&amp;B444="","",VLOOKUP(A444&amp;B444,INSUMOS!C:G,2,0))</f>
        <v/>
      </c>
      <c r="D444" s="519"/>
      <c r="E444" s="117" t="str">
        <f>IF(A444&amp;B444="","",VLOOKUP(A444&amp;B444,INSUMOS!C:G,3,0))</f>
        <v/>
      </c>
      <c r="F444" s="118"/>
      <c r="G444" s="113" t="str">
        <f>IF(A444&amp;B444="","",VLOOKUP(A444&amp;B444,INSUMOS!C:G,4,0))</f>
        <v/>
      </c>
      <c r="H444" s="119" t="str">
        <f t="shared" si="84"/>
        <v/>
      </c>
      <c r="I444" s="119" t="str">
        <f t="shared" si="85"/>
        <v/>
      </c>
      <c r="J444" s="115" t="str">
        <f t="shared" si="86"/>
        <v/>
      </c>
      <c r="K444" s="102" t="str">
        <f>IF(A444&amp;B444="","",VLOOKUP(A444&amp;B444,INSUMOS!C:G,5,0))</f>
        <v/>
      </c>
    </row>
    <row r="445" spans="1:17" ht="15" x14ac:dyDescent="0.25">
      <c r="A445" s="109"/>
      <c r="B445" s="116"/>
      <c r="C445" s="518" t="str">
        <f>IF(A445&amp;B445="","",VLOOKUP(A445&amp;B445,INSUMOS!C:G,2,0))</f>
        <v/>
      </c>
      <c r="D445" s="519"/>
      <c r="E445" s="117" t="str">
        <f>IF(A445&amp;B445="","",VLOOKUP(A445&amp;B445,INSUMOS!C:G,3,0))</f>
        <v/>
      </c>
      <c r="F445" s="118"/>
      <c r="G445" s="113" t="str">
        <f>IF(A445&amp;B445="","",VLOOKUP(A445&amp;B445,INSUMOS!C:G,4,0))</f>
        <v/>
      </c>
      <c r="H445" s="119" t="str">
        <f t="shared" si="84"/>
        <v/>
      </c>
      <c r="I445" s="119" t="str">
        <f t="shared" si="85"/>
        <v/>
      </c>
      <c r="J445" s="115" t="str">
        <f t="shared" si="86"/>
        <v/>
      </c>
      <c r="K445" s="102" t="str">
        <f>IF(A445&amp;B445="","",VLOOKUP(A445&amp;B445,INSUMOS!C:G,5,0))</f>
        <v/>
      </c>
    </row>
    <row r="446" spans="1:17" ht="15" x14ac:dyDescent="0.25">
      <c r="A446" s="109"/>
      <c r="B446" s="116"/>
      <c r="C446" s="518" t="str">
        <f>IF(A446&amp;B446="","",VLOOKUP(A446&amp;B446,INSUMOS!C:G,2,0))</f>
        <v/>
      </c>
      <c r="D446" s="519"/>
      <c r="E446" s="117" t="str">
        <f>IF(A446&amp;B446="","",VLOOKUP(A446&amp;B446,INSUMOS!C:G,3,0))</f>
        <v/>
      </c>
      <c r="F446" s="118"/>
      <c r="G446" s="113" t="str">
        <f>IF(A446&amp;B446="","",VLOOKUP(A446&amp;B446,INSUMOS!C:G,4,0))</f>
        <v/>
      </c>
      <c r="H446" s="119" t="str">
        <f t="shared" si="84"/>
        <v/>
      </c>
      <c r="I446" s="119" t="str">
        <f t="shared" si="85"/>
        <v/>
      </c>
      <c r="J446" s="115" t="str">
        <f t="shared" si="86"/>
        <v/>
      </c>
      <c r="K446" s="102" t="str">
        <f>IF(A446&amp;B446="","",VLOOKUP(A446&amp;B446,INSUMOS!C:G,5,0))</f>
        <v/>
      </c>
    </row>
    <row r="447" spans="1:17" ht="15" x14ac:dyDescent="0.25">
      <c r="A447" s="109"/>
      <c r="B447" s="116"/>
      <c r="C447" s="518" t="str">
        <f>IF(A447&amp;B447="","",VLOOKUP(A447&amp;B447,INSUMOS!C:G,2,0))</f>
        <v/>
      </c>
      <c r="D447" s="519"/>
      <c r="E447" s="117" t="str">
        <f>IF(A447&amp;B447="","",VLOOKUP(A447&amp;B447,INSUMOS!C:G,3,0))</f>
        <v/>
      </c>
      <c r="F447" s="118"/>
      <c r="G447" s="113" t="str">
        <f>IF(A447&amp;B447="","",VLOOKUP(A447&amp;B447,INSUMOS!C:G,4,0))</f>
        <v/>
      </c>
      <c r="H447" s="119" t="str">
        <f t="shared" si="84"/>
        <v/>
      </c>
      <c r="I447" s="119" t="str">
        <f t="shared" si="85"/>
        <v/>
      </c>
      <c r="J447" s="115" t="str">
        <f t="shared" si="86"/>
        <v/>
      </c>
      <c r="K447" s="102" t="str">
        <f>IF(A447&amp;B447="","",VLOOKUP(A447&amp;B447,INSUMOS!C:G,5,0))</f>
        <v/>
      </c>
    </row>
    <row r="448" spans="1:17" ht="15" x14ac:dyDescent="0.25">
      <c r="A448" s="109"/>
      <c r="B448" s="116"/>
      <c r="C448" s="518" t="str">
        <f>IF(A448&amp;B448="","",VLOOKUP(A448&amp;B448,INSUMOS!C:G,2,0))</f>
        <v/>
      </c>
      <c r="D448" s="519"/>
      <c r="E448" s="117" t="str">
        <f>IF(A448&amp;B448="","",VLOOKUP(A448&amp;B448,INSUMOS!C:G,3,0))</f>
        <v/>
      </c>
      <c r="F448" s="118"/>
      <c r="G448" s="113" t="str">
        <f>IF(A448&amp;B448="","",VLOOKUP(A448&amp;B448,INSUMOS!C:G,4,0))</f>
        <v/>
      </c>
      <c r="H448" s="119" t="str">
        <f t="shared" si="84"/>
        <v/>
      </c>
      <c r="I448" s="119" t="str">
        <f t="shared" si="85"/>
        <v/>
      </c>
      <c r="J448" s="115" t="str">
        <f t="shared" si="86"/>
        <v/>
      </c>
      <c r="K448" s="102" t="str">
        <f>IF(A448&amp;B448="","",VLOOKUP(A448&amp;B448,INSUMOS!C:G,5,0))</f>
        <v/>
      </c>
    </row>
    <row r="449" spans="1:17" ht="15" x14ac:dyDescent="0.25">
      <c r="A449" s="109"/>
      <c r="B449" s="116"/>
      <c r="C449" s="518" t="str">
        <f>IF(A449&amp;B449="","",VLOOKUP(A449&amp;B449,INSUMOS!C:G,2,0))</f>
        <v/>
      </c>
      <c r="D449" s="519"/>
      <c r="E449" s="117" t="str">
        <f>IF(A449&amp;B449="","",VLOOKUP(A449&amp;B449,INSUMOS!C:G,3,0))</f>
        <v/>
      </c>
      <c r="F449" s="118"/>
      <c r="G449" s="113" t="str">
        <f>IF(A449&amp;B449="","",VLOOKUP(A449&amp;B449,INSUMOS!C:G,4,0))</f>
        <v/>
      </c>
      <c r="H449" s="119" t="str">
        <f t="shared" si="84"/>
        <v/>
      </c>
      <c r="I449" s="119" t="str">
        <f t="shared" si="85"/>
        <v/>
      </c>
      <c r="J449" s="115" t="str">
        <f t="shared" si="86"/>
        <v/>
      </c>
      <c r="K449" s="102" t="str">
        <f>IF(A449&amp;B449="","",VLOOKUP(A449&amp;B449,INSUMOS!C:G,5,0))</f>
        <v/>
      </c>
    </row>
    <row r="450" spans="1:17" ht="15" x14ac:dyDescent="0.25">
      <c r="A450" s="109"/>
      <c r="B450" s="116"/>
      <c r="C450" s="518" t="str">
        <f>IF(A450&amp;B450="","",VLOOKUP(A450&amp;B450,INSUMOS!C:G,2,0))</f>
        <v/>
      </c>
      <c r="D450" s="519"/>
      <c r="E450" s="117" t="str">
        <f>IF(A450&amp;B450="","",VLOOKUP(A450&amp;B450,INSUMOS!C:G,3,0))</f>
        <v/>
      </c>
      <c r="F450" s="118"/>
      <c r="G450" s="113" t="str">
        <f>IF(A450&amp;B450="","",VLOOKUP(A450&amp;B450,INSUMOS!C:G,4,0))</f>
        <v/>
      </c>
      <c r="H450" s="119" t="str">
        <f t="shared" si="84"/>
        <v/>
      </c>
      <c r="I450" s="119" t="str">
        <f t="shared" si="85"/>
        <v/>
      </c>
      <c r="J450" s="115" t="str">
        <f t="shared" si="86"/>
        <v/>
      </c>
      <c r="K450" s="102" t="str">
        <f>IF(A450&amp;B450="","",VLOOKUP(A450&amp;B450,INSUMOS!C:G,5,0))</f>
        <v/>
      </c>
    </row>
    <row r="451" spans="1:17" ht="15" x14ac:dyDescent="0.25">
      <c r="A451" s="120"/>
      <c r="B451" s="121"/>
      <c r="C451" s="518" t="str">
        <f>IF(A451&amp;B451="","",VLOOKUP(A451&amp;B451,INSUMOS!C:G,2,0))</f>
        <v/>
      </c>
      <c r="D451" s="519"/>
      <c r="E451" s="117" t="str">
        <f>IF(A451&amp;B451="","",VLOOKUP(A451&amp;B451,INSUMOS!C:G,3,0))</f>
        <v/>
      </c>
      <c r="F451" s="118"/>
      <c r="G451" s="122" t="str">
        <f>IF(A451&amp;B451="","",VLOOKUP(A451&amp;B451,INSUMOS!C:G,4,0))</f>
        <v/>
      </c>
      <c r="H451" s="119" t="str">
        <f t="shared" si="84"/>
        <v/>
      </c>
      <c r="I451" s="119" t="str">
        <f t="shared" si="85"/>
        <v/>
      </c>
      <c r="J451" s="115" t="str">
        <f t="shared" si="86"/>
        <v/>
      </c>
      <c r="K451" s="102" t="str">
        <f>IF(A451&amp;B451="","",VLOOKUP(A451&amp;B451,INSUMOS!C:G,5,0))</f>
        <v/>
      </c>
    </row>
    <row r="452" spans="1:17" ht="15" x14ac:dyDescent="0.25">
      <c r="A452" s="120"/>
      <c r="B452" s="121"/>
      <c r="C452" s="518" t="str">
        <f>IF(A452&amp;B452="","",VLOOKUP(A452&amp;B452,INSUMOS!C:G,2,0))</f>
        <v/>
      </c>
      <c r="D452" s="519"/>
      <c r="E452" s="117" t="str">
        <f>IF(A452&amp;B452="","",VLOOKUP(A452&amp;B452,INSUMOS!C:G,3,0))</f>
        <v/>
      </c>
      <c r="F452" s="118"/>
      <c r="G452" s="122" t="str">
        <f>IF(A452&amp;B452="","",VLOOKUP(A452&amp;B452,INSUMOS!C:G,4,0))</f>
        <v/>
      </c>
      <c r="H452" s="119" t="str">
        <f t="shared" si="84"/>
        <v/>
      </c>
      <c r="I452" s="119" t="str">
        <f t="shared" si="85"/>
        <v/>
      </c>
      <c r="J452" s="115" t="str">
        <f t="shared" si="86"/>
        <v/>
      </c>
      <c r="K452" s="102" t="str">
        <f>IF(A452&amp;B452="","",VLOOKUP(A452&amp;B452,INSUMOS!C:G,5,0))</f>
        <v/>
      </c>
    </row>
    <row r="453" spans="1:17" ht="15" x14ac:dyDescent="0.25">
      <c r="A453" s="120"/>
      <c r="B453" s="121"/>
      <c r="C453" s="518" t="str">
        <f>IF(A453&amp;B453="","",VLOOKUP(A453&amp;B453,INSUMOS!C:G,2,0))</f>
        <v/>
      </c>
      <c r="D453" s="519"/>
      <c r="E453" s="117" t="str">
        <f>IF(A453&amp;B453="","",VLOOKUP(A453&amp;B453,INSUMOS!C:G,3,0))</f>
        <v/>
      </c>
      <c r="F453" s="118"/>
      <c r="G453" s="122" t="str">
        <f>IF(A453&amp;B453="","",VLOOKUP(A453&amp;B453,INSUMOS!C:G,4,0))</f>
        <v/>
      </c>
      <c r="H453" s="119" t="str">
        <f t="shared" si="84"/>
        <v/>
      </c>
      <c r="I453" s="119" t="str">
        <f t="shared" si="85"/>
        <v/>
      </c>
      <c r="J453" s="115" t="str">
        <f t="shared" si="86"/>
        <v/>
      </c>
      <c r="K453" s="102" t="str">
        <f>IF(A453&amp;B453="","",VLOOKUP(A453&amp;B453,INSUMOS!C:G,5,0))</f>
        <v/>
      </c>
    </row>
    <row r="454" spans="1:17" ht="15" x14ac:dyDescent="0.25">
      <c r="A454" s="123" t="s">
        <v>4399</v>
      </c>
      <c r="B454" s="520"/>
      <c r="C454" s="520"/>
      <c r="D454" s="520"/>
      <c r="E454" s="520"/>
      <c r="F454" s="521"/>
      <c r="G454" s="124" t="s">
        <v>50</v>
      </c>
      <c r="H454" s="125">
        <f>SUM(H441:H453)</f>
        <v>0</v>
      </c>
      <c r="I454" s="125">
        <f>SUM(I441:I453)</f>
        <v>4594.62</v>
      </c>
      <c r="J454" s="126">
        <f>SUM(J441:J453)</f>
        <v>0</v>
      </c>
    </row>
    <row r="455" spans="1:17" ht="15" x14ac:dyDescent="0.25">
      <c r="A455" s="127" t="s">
        <v>4400</v>
      </c>
      <c r="B455" s="128"/>
      <c r="C455" s="128"/>
      <c r="D455" s="127" t="s">
        <v>51</v>
      </c>
      <c r="E455" s="128"/>
      <c r="F455" s="129"/>
      <c r="G455" s="130" t="s">
        <v>55</v>
      </c>
      <c r="H455" s="131" t="s">
        <v>52</v>
      </c>
      <c r="I455" s="132"/>
      <c r="J455" s="125">
        <f>SUM(H454:J454)</f>
        <v>4594.62</v>
      </c>
    </row>
    <row r="456" spans="1:17" ht="15" x14ac:dyDescent="0.25">
      <c r="A456" s="313" t="str">
        <f>$I$3</f>
        <v>Carlos Wieck</v>
      </c>
      <c r="B456" s="133"/>
      <c r="C456" s="133"/>
      <c r="D456" s="134"/>
      <c r="E456" s="133"/>
      <c r="F456" s="135"/>
      <c r="G456" s="522">
        <f>$J$5</f>
        <v>43040</v>
      </c>
      <c r="H456" s="136" t="s">
        <v>53</v>
      </c>
      <c r="I456" s="137"/>
      <c r="J456" s="125">
        <f>TRUNC(I456*J455,2)</f>
        <v>0</v>
      </c>
    </row>
    <row r="457" spans="1:17" ht="15" x14ac:dyDescent="0.25">
      <c r="A457" s="138"/>
      <c r="B457" s="139"/>
      <c r="C457" s="139"/>
      <c r="D457" s="138"/>
      <c r="E457" s="139"/>
      <c r="F457" s="140"/>
      <c r="G457" s="523"/>
      <c r="H457" s="141" t="s">
        <v>54</v>
      </c>
      <c r="I457" s="142"/>
      <c r="J457" s="143">
        <f>J456+J455</f>
        <v>4594.62</v>
      </c>
      <c r="L457" s="102" t="str">
        <f>A438</f>
        <v>COMPOSIÇÃO</v>
      </c>
      <c r="M457" s="144" t="str">
        <f>B438</f>
        <v>FF-008</v>
      </c>
      <c r="N457" s="102" t="str">
        <f>L457&amp;M457</f>
        <v>COMPOSIÇÃOFF-008</v>
      </c>
      <c r="O457" s="103" t="str">
        <f>D437</f>
        <v>CX 01 - Painel de policarbonato alveolar transparente de 40 mm com acabamento em perfil de alumínio dim.3,00x2,56m. Fornecimento e instalação</v>
      </c>
      <c r="P457" s="145" t="str">
        <f>J438</f>
        <v>un</v>
      </c>
      <c r="Q457" s="145">
        <f>J457</f>
        <v>4594.62</v>
      </c>
    </row>
    <row r="458" spans="1:17" ht="15" customHeight="1" x14ac:dyDescent="0.25">
      <c r="A458" s="524" t="s">
        <v>40</v>
      </c>
      <c r="B458" s="525"/>
      <c r="C458" s="104" t="s">
        <v>41</v>
      </c>
      <c r="D458" s="526" t="str">
        <f>IF(B459="","",VLOOKUP(B459,SERVIÇOS!B:E,3,0))</f>
        <v>CX 02-A - Painéis de policarbonato alveolar transparente de 40mm e porta central de madeira, abertura sentido horário, com bandeira basculante dim.3,00x2,56m. Fornecimento e instalação</v>
      </c>
      <c r="E458" s="526"/>
      <c r="F458" s="526"/>
      <c r="G458" s="526"/>
      <c r="H458" s="526"/>
      <c r="I458" s="527"/>
      <c r="J458" s="105" t="s">
        <v>42</v>
      </c>
    </row>
    <row r="459" spans="1:17" ht="15" x14ac:dyDescent="0.25">
      <c r="A459" s="230" t="s">
        <v>4715</v>
      </c>
      <c r="B459" s="230" t="s">
        <v>4889</v>
      </c>
      <c r="C459" s="106"/>
      <c r="D459" s="528"/>
      <c r="E459" s="528"/>
      <c r="F459" s="528"/>
      <c r="G459" s="528"/>
      <c r="H459" s="528"/>
      <c r="I459" s="529"/>
      <c r="J459" s="107" t="str">
        <f>IF(B459="","",VLOOKUP(B459,SERVIÇOS!B:E,4,0))</f>
        <v>un</v>
      </c>
    </row>
    <row r="460" spans="1:17" ht="15" x14ac:dyDescent="0.25">
      <c r="A460" s="530" t="s">
        <v>4397</v>
      </c>
      <c r="B460" s="531" t="s">
        <v>11</v>
      </c>
      <c r="C460" s="533" t="s">
        <v>43</v>
      </c>
      <c r="D460" s="534"/>
      <c r="E460" s="530" t="s">
        <v>13</v>
      </c>
      <c r="F460" s="530" t="s">
        <v>44</v>
      </c>
      <c r="G460" s="538" t="s">
        <v>45</v>
      </c>
      <c r="H460" s="108" t="s">
        <v>46</v>
      </c>
      <c r="I460" s="108"/>
      <c r="J460" s="108"/>
    </row>
    <row r="461" spans="1:17" ht="15" x14ac:dyDescent="0.25">
      <c r="A461" s="530"/>
      <c r="B461" s="532"/>
      <c r="C461" s="535"/>
      <c r="D461" s="536"/>
      <c r="E461" s="537"/>
      <c r="F461" s="537"/>
      <c r="G461" s="539"/>
      <c r="H461" s="108" t="s">
        <v>47</v>
      </c>
      <c r="I461" s="108" t="s">
        <v>48</v>
      </c>
      <c r="J461" s="108" t="s">
        <v>49</v>
      </c>
    </row>
    <row r="462" spans="1:17" ht="30" customHeight="1" x14ac:dyDescent="0.25">
      <c r="A462" s="109" t="s">
        <v>4717</v>
      </c>
      <c r="B462" s="116" t="s">
        <v>4860</v>
      </c>
      <c r="C462" s="540" t="str">
        <f>IF(A462&amp;B462="","",VLOOKUP(A462&amp;B462,INSUMOS!C:G,2,0))</f>
        <v>CX 02-A - Painéis de policarbonato alveolar transparente de 40mm e porta central de madeira, abertura sentido horário, com bandeira basculante dim.3,00x2,56m. Fornecimento e instalação</v>
      </c>
      <c r="D462" s="541"/>
      <c r="E462" s="111" t="str">
        <f>IF(A462&amp;B462="","",VLOOKUP(A462&amp;B462,INSUMOS!C:G,3,0))</f>
        <v>un</v>
      </c>
      <c r="F462" s="112">
        <v>1</v>
      </c>
      <c r="G462" s="113">
        <f>IF(A462&amp;B462="","",VLOOKUP(A462&amp;B462,INSUMOS!C:G,4,0))</f>
        <v>2453.5031600000002</v>
      </c>
      <c r="H462" s="114" t="str">
        <f>IF(K462="MO",TRUNC(F462*G462,2),"")</f>
        <v/>
      </c>
      <c r="I462" s="114">
        <f>IF(K462="MT",TRUNC(F462*G462,2),"")</f>
        <v>2453.5</v>
      </c>
      <c r="J462" s="115" t="str">
        <f>IF(K462="EQ",TRUNC(F462*G462,2),"")</f>
        <v/>
      </c>
      <c r="K462" s="102" t="str">
        <f>IF(A462&amp;B462="","",VLOOKUP(A462&amp;B462,INSUMOS!C:G,5,0))</f>
        <v>MT</v>
      </c>
    </row>
    <row r="463" spans="1:17" ht="15" x14ac:dyDescent="0.25">
      <c r="A463" s="109" t="s">
        <v>4717</v>
      </c>
      <c r="B463" s="116" t="s">
        <v>4859</v>
      </c>
      <c r="C463" s="518" t="str">
        <f>IF(A463&amp;B463="","",VLOOKUP(A463&amp;B463,INSUMOS!C:G,2,0))</f>
        <v>Policarbonato 40mm - Fechamento de Caixilhos, sistema Arkowall ou equivalente técnico</v>
      </c>
      <c r="D463" s="519"/>
      <c r="E463" s="117" t="str">
        <f>IF(A463&amp;B463="","",VLOOKUP(A463&amp;B463,INSUMOS!C:G,3,0))</f>
        <v>m²</v>
      </c>
      <c r="F463" s="118">
        <f>3*2.56</f>
        <v>7.68</v>
      </c>
      <c r="G463" s="113">
        <f>IF(A463&amp;B463="","",VLOOKUP(A463&amp;B463,INSUMOS!C:G,4,0))</f>
        <v>251.73052999999999</v>
      </c>
      <c r="H463" s="119" t="str">
        <f t="shared" ref="H463:H474" si="87">IF(K463="MO",TRUNC(F463*G463,2),"")</f>
        <v/>
      </c>
      <c r="I463" s="119">
        <f t="shared" ref="I463:I474" si="88">IF(K463="MT",TRUNC(F463*G463,2),"")</f>
        <v>1933.29</v>
      </c>
      <c r="J463" s="115" t="str">
        <f t="shared" ref="J463:J474" si="89">IF(K463="EQ",TRUNC(F463*G463,2),"")</f>
        <v/>
      </c>
      <c r="K463" s="102" t="str">
        <f>IF(A463&amp;B463="","",VLOOKUP(A463&amp;B463,INSUMOS!C:G,5,0))</f>
        <v>MT</v>
      </c>
    </row>
    <row r="464" spans="1:17" ht="15" x14ac:dyDescent="0.25">
      <c r="A464" s="109" t="s">
        <v>4717</v>
      </c>
      <c r="B464" s="116" t="s">
        <v>4979</v>
      </c>
      <c r="C464" s="518" t="str">
        <f>IF(A464&amp;B464="","",VLOOKUP(A464&amp;B464,INSUMOS!C:G,2,0))</f>
        <v>Acessórios e instalações do sistema de policarbonato</v>
      </c>
      <c r="D464" s="519"/>
      <c r="E464" s="117" t="str">
        <f>IF(A464&amp;B464="","",VLOOKUP(A464&amp;B464,INSUMOS!C:G,3,0))</f>
        <v>m²</v>
      </c>
      <c r="F464" s="118">
        <f>F463</f>
        <v>7.68</v>
      </c>
      <c r="G464" s="113">
        <f>IF(A464&amp;B464="","",VLOOKUP(A464&amp;B464,INSUMOS!C:G,4,0))</f>
        <v>313.75124</v>
      </c>
      <c r="H464" s="119" t="str">
        <f t="shared" si="87"/>
        <v/>
      </c>
      <c r="I464" s="119">
        <f t="shared" si="88"/>
        <v>2409.6</v>
      </c>
      <c r="J464" s="115" t="str">
        <f t="shared" si="89"/>
        <v/>
      </c>
      <c r="K464" s="102" t="str">
        <f>IF(A464&amp;B464="","",VLOOKUP(A464&amp;B464,INSUMOS!C:G,5,0))</f>
        <v>MT</v>
      </c>
    </row>
    <row r="465" spans="1:17" ht="15" x14ac:dyDescent="0.25">
      <c r="A465" s="109"/>
      <c r="B465" s="116"/>
      <c r="C465" s="518" t="str">
        <f>IF(A465&amp;B465="","",VLOOKUP(A465&amp;B465,INSUMOS!C:G,2,0))</f>
        <v/>
      </c>
      <c r="D465" s="519"/>
      <c r="E465" s="117" t="str">
        <f>IF(A465&amp;B465="","",VLOOKUP(A465&amp;B465,INSUMOS!C:G,3,0))</f>
        <v/>
      </c>
      <c r="F465" s="118"/>
      <c r="G465" s="113" t="str">
        <f>IF(A465&amp;B465="","",VLOOKUP(A465&amp;B465,INSUMOS!C:G,4,0))</f>
        <v/>
      </c>
      <c r="H465" s="119" t="str">
        <f t="shared" si="87"/>
        <v/>
      </c>
      <c r="I465" s="119" t="str">
        <f t="shared" si="88"/>
        <v/>
      </c>
      <c r="J465" s="115" t="str">
        <f t="shared" si="89"/>
        <v/>
      </c>
      <c r="K465" s="102" t="str">
        <f>IF(A465&amp;B465="","",VLOOKUP(A465&amp;B465,INSUMOS!C:G,5,0))</f>
        <v/>
      </c>
    </row>
    <row r="466" spans="1:17" ht="15" x14ac:dyDescent="0.25">
      <c r="A466" s="109"/>
      <c r="B466" s="116"/>
      <c r="C466" s="518" t="str">
        <f>IF(A466&amp;B466="","",VLOOKUP(A466&amp;B466,INSUMOS!C:G,2,0))</f>
        <v/>
      </c>
      <c r="D466" s="519"/>
      <c r="E466" s="117" t="str">
        <f>IF(A466&amp;B466="","",VLOOKUP(A466&amp;B466,INSUMOS!C:G,3,0))</f>
        <v/>
      </c>
      <c r="F466" s="118"/>
      <c r="G466" s="113" t="str">
        <f>IF(A466&amp;B466="","",VLOOKUP(A466&amp;B466,INSUMOS!C:G,4,0))</f>
        <v/>
      </c>
      <c r="H466" s="119" t="str">
        <f t="shared" si="87"/>
        <v/>
      </c>
      <c r="I466" s="119" t="str">
        <f t="shared" si="88"/>
        <v/>
      </c>
      <c r="J466" s="115" t="str">
        <f t="shared" si="89"/>
        <v/>
      </c>
      <c r="K466" s="102" t="str">
        <f>IF(A466&amp;B466="","",VLOOKUP(A466&amp;B466,INSUMOS!C:G,5,0))</f>
        <v/>
      </c>
    </row>
    <row r="467" spans="1:17" ht="15" x14ac:dyDescent="0.25">
      <c r="A467" s="109"/>
      <c r="B467" s="116"/>
      <c r="C467" s="518" t="str">
        <f>IF(A467&amp;B467="","",VLOOKUP(A467&amp;B467,INSUMOS!C:G,2,0))</f>
        <v/>
      </c>
      <c r="D467" s="519"/>
      <c r="E467" s="117" t="str">
        <f>IF(A467&amp;B467="","",VLOOKUP(A467&amp;B467,INSUMOS!C:G,3,0))</f>
        <v/>
      </c>
      <c r="F467" s="118"/>
      <c r="G467" s="113" t="str">
        <f>IF(A467&amp;B467="","",VLOOKUP(A467&amp;B467,INSUMOS!C:G,4,0))</f>
        <v/>
      </c>
      <c r="H467" s="119" t="str">
        <f t="shared" si="87"/>
        <v/>
      </c>
      <c r="I467" s="119" t="str">
        <f t="shared" si="88"/>
        <v/>
      </c>
      <c r="J467" s="115" t="str">
        <f t="shared" si="89"/>
        <v/>
      </c>
      <c r="K467" s="102" t="str">
        <f>IF(A467&amp;B467="","",VLOOKUP(A467&amp;B467,INSUMOS!C:G,5,0))</f>
        <v/>
      </c>
    </row>
    <row r="468" spans="1:17" ht="15" x14ac:dyDescent="0.25">
      <c r="A468" s="109"/>
      <c r="B468" s="116"/>
      <c r="C468" s="518" t="str">
        <f>IF(A468&amp;B468="","",VLOOKUP(A468&amp;B468,INSUMOS!C:G,2,0))</f>
        <v/>
      </c>
      <c r="D468" s="519"/>
      <c r="E468" s="117" t="str">
        <f>IF(A468&amp;B468="","",VLOOKUP(A468&amp;B468,INSUMOS!C:G,3,0))</f>
        <v/>
      </c>
      <c r="F468" s="118"/>
      <c r="G468" s="113" t="str">
        <f>IF(A468&amp;B468="","",VLOOKUP(A468&amp;B468,INSUMOS!C:G,4,0))</f>
        <v/>
      </c>
      <c r="H468" s="119" t="str">
        <f t="shared" si="87"/>
        <v/>
      </c>
      <c r="I468" s="119" t="str">
        <f t="shared" si="88"/>
        <v/>
      </c>
      <c r="J468" s="115" t="str">
        <f t="shared" si="89"/>
        <v/>
      </c>
      <c r="K468" s="102" t="str">
        <f>IF(A468&amp;B468="","",VLOOKUP(A468&amp;B468,INSUMOS!C:G,5,0))</f>
        <v/>
      </c>
    </row>
    <row r="469" spans="1:17" ht="15" x14ac:dyDescent="0.25">
      <c r="A469" s="109"/>
      <c r="B469" s="116"/>
      <c r="C469" s="518" t="str">
        <f>IF(A469&amp;B469="","",VLOOKUP(A469&amp;B469,INSUMOS!C:G,2,0))</f>
        <v/>
      </c>
      <c r="D469" s="519"/>
      <c r="E469" s="117" t="str">
        <f>IF(A469&amp;B469="","",VLOOKUP(A469&amp;B469,INSUMOS!C:G,3,0))</f>
        <v/>
      </c>
      <c r="F469" s="118"/>
      <c r="G469" s="113" t="str">
        <f>IF(A469&amp;B469="","",VLOOKUP(A469&amp;B469,INSUMOS!C:G,4,0))</f>
        <v/>
      </c>
      <c r="H469" s="119" t="str">
        <f t="shared" si="87"/>
        <v/>
      </c>
      <c r="I469" s="119" t="str">
        <f t="shared" si="88"/>
        <v/>
      </c>
      <c r="J469" s="115" t="str">
        <f t="shared" si="89"/>
        <v/>
      </c>
      <c r="K469" s="102" t="str">
        <f>IF(A469&amp;B469="","",VLOOKUP(A469&amp;B469,INSUMOS!C:G,5,0))</f>
        <v/>
      </c>
    </row>
    <row r="470" spans="1:17" ht="15" x14ac:dyDescent="0.25">
      <c r="A470" s="109"/>
      <c r="B470" s="116"/>
      <c r="C470" s="518" t="str">
        <f>IF(A470&amp;B470="","",VLOOKUP(A470&amp;B470,INSUMOS!C:G,2,0))</f>
        <v/>
      </c>
      <c r="D470" s="519"/>
      <c r="E470" s="117" t="str">
        <f>IF(A470&amp;B470="","",VLOOKUP(A470&amp;B470,INSUMOS!C:G,3,0))</f>
        <v/>
      </c>
      <c r="F470" s="118"/>
      <c r="G470" s="113" t="str">
        <f>IF(A470&amp;B470="","",VLOOKUP(A470&amp;B470,INSUMOS!C:G,4,0))</f>
        <v/>
      </c>
      <c r="H470" s="119" t="str">
        <f t="shared" si="87"/>
        <v/>
      </c>
      <c r="I470" s="119" t="str">
        <f t="shared" si="88"/>
        <v/>
      </c>
      <c r="J470" s="115" t="str">
        <f t="shared" si="89"/>
        <v/>
      </c>
      <c r="K470" s="102" t="str">
        <f>IF(A470&amp;B470="","",VLOOKUP(A470&amp;B470,INSUMOS!C:G,5,0))</f>
        <v/>
      </c>
    </row>
    <row r="471" spans="1:17" ht="15" x14ac:dyDescent="0.25">
      <c r="A471" s="109"/>
      <c r="B471" s="116"/>
      <c r="C471" s="518" t="str">
        <f>IF(A471&amp;B471="","",VLOOKUP(A471&amp;B471,INSUMOS!C:G,2,0))</f>
        <v/>
      </c>
      <c r="D471" s="519"/>
      <c r="E471" s="117" t="str">
        <f>IF(A471&amp;B471="","",VLOOKUP(A471&amp;B471,INSUMOS!C:G,3,0))</f>
        <v/>
      </c>
      <c r="F471" s="118"/>
      <c r="G471" s="113" t="str">
        <f>IF(A471&amp;B471="","",VLOOKUP(A471&amp;B471,INSUMOS!C:G,4,0))</f>
        <v/>
      </c>
      <c r="H471" s="119" t="str">
        <f t="shared" si="87"/>
        <v/>
      </c>
      <c r="I471" s="119" t="str">
        <f t="shared" si="88"/>
        <v/>
      </c>
      <c r="J471" s="115" t="str">
        <f t="shared" si="89"/>
        <v/>
      </c>
      <c r="K471" s="102" t="str">
        <f>IF(A471&amp;B471="","",VLOOKUP(A471&amp;B471,INSUMOS!C:G,5,0))</f>
        <v/>
      </c>
    </row>
    <row r="472" spans="1:17" ht="15" x14ac:dyDescent="0.25">
      <c r="A472" s="120"/>
      <c r="B472" s="121"/>
      <c r="C472" s="518" t="str">
        <f>IF(A472&amp;B472="","",VLOOKUP(A472&amp;B472,INSUMOS!C:G,2,0))</f>
        <v/>
      </c>
      <c r="D472" s="519"/>
      <c r="E472" s="117" t="str">
        <f>IF(A472&amp;B472="","",VLOOKUP(A472&amp;B472,INSUMOS!C:G,3,0))</f>
        <v/>
      </c>
      <c r="F472" s="118"/>
      <c r="G472" s="122" t="str">
        <f>IF(A472&amp;B472="","",VLOOKUP(A472&amp;B472,INSUMOS!C:G,4,0))</f>
        <v/>
      </c>
      <c r="H472" s="119" t="str">
        <f t="shared" si="87"/>
        <v/>
      </c>
      <c r="I472" s="119" t="str">
        <f t="shared" si="88"/>
        <v/>
      </c>
      <c r="J472" s="115" t="str">
        <f t="shared" si="89"/>
        <v/>
      </c>
      <c r="K472" s="102" t="str">
        <f>IF(A472&amp;B472="","",VLOOKUP(A472&amp;B472,INSUMOS!C:G,5,0))</f>
        <v/>
      </c>
    </row>
    <row r="473" spans="1:17" ht="15" x14ac:dyDescent="0.25">
      <c r="A473" s="120"/>
      <c r="B473" s="121"/>
      <c r="C473" s="518" t="str">
        <f>IF(A473&amp;B473="","",VLOOKUP(A473&amp;B473,INSUMOS!C:G,2,0))</f>
        <v/>
      </c>
      <c r="D473" s="519"/>
      <c r="E473" s="117" t="str">
        <f>IF(A473&amp;B473="","",VLOOKUP(A473&amp;B473,INSUMOS!C:G,3,0))</f>
        <v/>
      </c>
      <c r="F473" s="118"/>
      <c r="G473" s="122" t="str">
        <f>IF(A473&amp;B473="","",VLOOKUP(A473&amp;B473,INSUMOS!C:G,4,0))</f>
        <v/>
      </c>
      <c r="H473" s="119" t="str">
        <f t="shared" si="87"/>
        <v/>
      </c>
      <c r="I473" s="119" t="str">
        <f t="shared" si="88"/>
        <v/>
      </c>
      <c r="J473" s="115" t="str">
        <f t="shared" si="89"/>
        <v/>
      </c>
      <c r="K473" s="102" t="str">
        <f>IF(A473&amp;B473="","",VLOOKUP(A473&amp;B473,INSUMOS!C:G,5,0))</f>
        <v/>
      </c>
    </row>
    <row r="474" spans="1:17" ht="15" x14ac:dyDescent="0.25">
      <c r="A474" s="120"/>
      <c r="B474" s="121"/>
      <c r="C474" s="518" t="str">
        <f>IF(A474&amp;B474="","",VLOOKUP(A474&amp;B474,INSUMOS!C:G,2,0))</f>
        <v/>
      </c>
      <c r="D474" s="519"/>
      <c r="E474" s="117" t="str">
        <f>IF(A474&amp;B474="","",VLOOKUP(A474&amp;B474,INSUMOS!C:G,3,0))</f>
        <v/>
      </c>
      <c r="F474" s="118"/>
      <c r="G474" s="122" t="str">
        <f>IF(A474&amp;B474="","",VLOOKUP(A474&amp;B474,INSUMOS!C:G,4,0))</f>
        <v/>
      </c>
      <c r="H474" s="119" t="str">
        <f t="shared" si="87"/>
        <v/>
      </c>
      <c r="I474" s="119" t="str">
        <f t="shared" si="88"/>
        <v/>
      </c>
      <c r="J474" s="115" t="str">
        <f t="shared" si="89"/>
        <v/>
      </c>
      <c r="K474" s="102" t="str">
        <f>IF(A474&amp;B474="","",VLOOKUP(A474&amp;B474,INSUMOS!C:G,5,0))</f>
        <v/>
      </c>
    </row>
    <row r="475" spans="1:17" ht="15" x14ac:dyDescent="0.25">
      <c r="A475" s="123" t="s">
        <v>4399</v>
      </c>
      <c r="B475" s="520"/>
      <c r="C475" s="520"/>
      <c r="D475" s="520"/>
      <c r="E475" s="520"/>
      <c r="F475" s="521"/>
      <c r="G475" s="124" t="s">
        <v>50</v>
      </c>
      <c r="H475" s="125">
        <f>SUM(H462:H474)</f>
        <v>0</v>
      </c>
      <c r="I475" s="125">
        <f>SUM(I462:I474)</f>
        <v>6796.3899999999994</v>
      </c>
      <c r="J475" s="126">
        <f>SUM(J462:J474)</f>
        <v>0</v>
      </c>
    </row>
    <row r="476" spans="1:17" ht="15" x14ac:dyDescent="0.25">
      <c r="A476" s="127" t="s">
        <v>4400</v>
      </c>
      <c r="B476" s="128"/>
      <c r="C476" s="128"/>
      <c r="D476" s="127" t="s">
        <v>51</v>
      </c>
      <c r="E476" s="128"/>
      <c r="F476" s="129"/>
      <c r="G476" s="130" t="s">
        <v>55</v>
      </c>
      <c r="H476" s="131" t="s">
        <v>52</v>
      </c>
      <c r="I476" s="132"/>
      <c r="J476" s="125">
        <f>SUM(H475:J475)</f>
        <v>6796.3899999999994</v>
      </c>
    </row>
    <row r="477" spans="1:17" ht="15" x14ac:dyDescent="0.25">
      <c r="A477" s="313" t="str">
        <f>$I$3</f>
        <v>Carlos Wieck</v>
      </c>
      <c r="B477" s="133"/>
      <c r="C477" s="133"/>
      <c r="D477" s="134"/>
      <c r="E477" s="133"/>
      <c r="F477" s="135"/>
      <c r="G477" s="522">
        <f>$J$5</f>
        <v>43040</v>
      </c>
      <c r="H477" s="136" t="s">
        <v>53</v>
      </c>
      <c r="I477" s="137"/>
      <c r="J477" s="125">
        <f>TRUNC(I477*J476,2)</f>
        <v>0</v>
      </c>
    </row>
    <row r="478" spans="1:17" ht="15" x14ac:dyDescent="0.25">
      <c r="A478" s="138"/>
      <c r="B478" s="139"/>
      <c r="C478" s="139"/>
      <c r="D478" s="138"/>
      <c r="E478" s="139"/>
      <c r="F478" s="140"/>
      <c r="G478" s="523"/>
      <c r="H478" s="141" t="s">
        <v>54</v>
      </c>
      <c r="I478" s="142"/>
      <c r="J478" s="143">
        <f>J477+J476</f>
        <v>6796.3899999999994</v>
      </c>
      <c r="L478" s="102" t="str">
        <f>A459</f>
        <v>COMPOSIÇÃO</v>
      </c>
      <c r="M478" s="144" t="str">
        <f>B459</f>
        <v>FF-009</v>
      </c>
      <c r="N478" s="102" t="str">
        <f>L478&amp;M478</f>
        <v>COMPOSIÇÃOFF-009</v>
      </c>
      <c r="O478" s="103" t="str">
        <f>D458</f>
        <v>CX 02-A - Painéis de policarbonato alveolar transparente de 40mm e porta central de madeira, abertura sentido horário, com bandeira basculante dim.3,00x2,56m. Fornecimento e instalação</v>
      </c>
      <c r="P478" s="145" t="str">
        <f>J459</f>
        <v>un</v>
      </c>
      <c r="Q478" s="145">
        <f>J478</f>
        <v>6796.3899999999994</v>
      </c>
    </row>
    <row r="479" spans="1:17" ht="15" customHeight="1" x14ac:dyDescent="0.25">
      <c r="A479" s="524" t="s">
        <v>40</v>
      </c>
      <c r="B479" s="525"/>
      <c r="C479" s="104" t="s">
        <v>41</v>
      </c>
      <c r="D479" s="526" t="str">
        <f>IF(B480="","",VLOOKUP(B480,SERVIÇOS!B:E,3,0))</f>
        <v>CX 02-B - Painéis de policarbonato alveolar transparente de 40mm e porta de madeira à direita, abertura sentido horário, com bandeira basculante dim.3,00x2,56m. Fornecimento e instalação</v>
      </c>
      <c r="E479" s="526"/>
      <c r="F479" s="526"/>
      <c r="G479" s="526"/>
      <c r="H479" s="526"/>
      <c r="I479" s="527"/>
      <c r="J479" s="105" t="s">
        <v>42</v>
      </c>
    </row>
    <row r="480" spans="1:17" ht="15" x14ac:dyDescent="0.25">
      <c r="A480" s="230" t="s">
        <v>4715</v>
      </c>
      <c r="B480" s="230" t="s">
        <v>4890</v>
      </c>
      <c r="C480" s="106"/>
      <c r="D480" s="528"/>
      <c r="E480" s="528"/>
      <c r="F480" s="528"/>
      <c r="G480" s="528"/>
      <c r="H480" s="528"/>
      <c r="I480" s="529"/>
      <c r="J480" s="107" t="str">
        <f>IF(B480="","",VLOOKUP(B480,SERVIÇOS!B:E,4,0))</f>
        <v>un</v>
      </c>
    </row>
    <row r="481" spans="1:11" ht="15" x14ac:dyDescent="0.25">
      <c r="A481" s="530" t="s">
        <v>4397</v>
      </c>
      <c r="B481" s="531" t="s">
        <v>11</v>
      </c>
      <c r="C481" s="533" t="s">
        <v>43</v>
      </c>
      <c r="D481" s="534"/>
      <c r="E481" s="530" t="s">
        <v>13</v>
      </c>
      <c r="F481" s="530" t="s">
        <v>44</v>
      </c>
      <c r="G481" s="538" t="s">
        <v>45</v>
      </c>
      <c r="H481" s="108" t="s">
        <v>46</v>
      </c>
      <c r="I481" s="108"/>
      <c r="J481" s="108"/>
    </row>
    <row r="482" spans="1:11" ht="15" x14ac:dyDescent="0.25">
      <c r="A482" s="530"/>
      <c r="B482" s="532"/>
      <c r="C482" s="535"/>
      <c r="D482" s="536"/>
      <c r="E482" s="537"/>
      <c r="F482" s="537"/>
      <c r="G482" s="539"/>
      <c r="H482" s="108" t="s">
        <v>47</v>
      </c>
      <c r="I482" s="108" t="s">
        <v>48</v>
      </c>
      <c r="J482" s="108" t="s">
        <v>49</v>
      </c>
    </row>
    <row r="483" spans="1:11" ht="30" customHeight="1" x14ac:dyDescent="0.25">
      <c r="A483" s="109" t="s">
        <v>4717</v>
      </c>
      <c r="B483" s="116" t="s">
        <v>4861</v>
      </c>
      <c r="C483" s="540" t="str">
        <f>IF(A483&amp;B483="","",VLOOKUP(A483&amp;B483,INSUMOS!C:G,2,0))</f>
        <v>CX 02-B - Painéis de policarbonato alveolar transparente de 40mm e porta de madeira à direita, abertura sentido horário, com bandeira basculante dim.3,00x2,56m. Fornecimento e instalação</v>
      </c>
      <c r="D483" s="541"/>
      <c r="E483" s="111" t="str">
        <f>IF(A483&amp;B483="","",VLOOKUP(A483&amp;B483,INSUMOS!C:G,3,0))</f>
        <v>un</v>
      </c>
      <c r="F483" s="112">
        <v>1</v>
      </c>
      <c r="G483" s="113">
        <f>IF(A483&amp;B483="","",VLOOKUP(A483&amp;B483,INSUMOS!C:G,4,0))</f>
        <v>2453.5031600000002</v>
      </c>
      <c r="H483" s="114" t="str">
        <f>IF(K483="MO",TRUNC(F483*G483,2),"")</f>
        <v/>
      </c>
      <c r="I483" s="114">
        <f>IF(K483="MT",TRUNC(F483*G483,2),"")</f>
        <v>2453.5</v>
      </c>
      <c r="J483" s="115" t="str">
        <f>IF(K483="EQ",TRUNC(F483*G483,2),"")</f>
        <v/>
      </c>
      <c r="K483" s="102" t="str">
        <f>IF(A483&amp;B483="","",VLOOKUP(A483&amp;B483,INSUMOS!C:G,5,0))</f>
        <v>MT</v>
      </c>
    </row>
    <row r="484" spans="1:11" ht="15" x14ac:dyDescent="0.25">
      <c r="A484" s="109" t="s">
        <v>4717</v>
      </c>
      <c r="B484" s="116" t="s">
        <v>4859</v>
      </c>
      <c r="C484" s="518" t="str">
        <f>IF(A484&amp;B484="","",VLOOKUP(A484&amp;B484,INSUMOS!C:G,2,0))</f>
        <v>Policarbonato 40mm - Fechamento de Caixilhos, sistema Arkowall ou equivalente técnico</v>
      </c>
      <c r="D484" s="519"/>
      <c r="E484" s="117" t="str">
        <f>IF(A484&amp;B484="","",VLOOKUP(A484&amp;B484,INSUMOS!C:G,3,0))</f>
        <v>m²</v>
      </c>
      <c r="F484" s="118">
        <f>3*2.56</f>
        <v>7.68</v>
      </c>
      <c r="G484" s="113">
        <f>IF(A484&amp;B484="","",VLOOKUP(A484&amp;B484,INSUMOS!C:G,4,0))</f>
        <v>251.73052999999999</v>
      </c>
      <c r="H484" s="119" t="str">
        <f t="shared" ref="H484:H495" si="90">IF(K484="MO",TRUNC(F484*G484,2),"")</f>
        <v/>
      </c>
      <c r="I484" s="119">
        <f t="shared" ref="I484:I495" si="91">IF(K484="MT",TRUNC(F484*G484,2),"")</f>
        <v>1933.29</v>
      </c>
      <c r="J484" s="115" t="str">
        <f t="shared" ref="J484:J495" si="92">IF(K484="EQ",TRUNC(F484*G484,2),"")</f>
        <v/>
      </c>
      <c r="K484" s="102" t="str">
        <f>IF(A484&amp;B484="","",VLOOKUP(A484&amp;B484,INSUMOS!C:G,5,0))</f>
        <v>MT</v>
      </c>
    </row>
    <row r="485" spans="1:11" ht="15" x14ac:dyDescent="0.25">
      <c r="A485" s="109" t="s">
        <v>4717</v>
      </c>
      <c r="B485" s="116" t="s">
        <v>4979</v>
      </c>
      <c r="C485" s="518" t="str">
        <f>IF(A485&amp;B485="","",VLOOKUP(A485&amp;B485,INSUMOS!C:G,2,0))</f>
        <v>Acessórios e instalações do sistema de policarbonato</v>
      </c>
      <c r="D485" s="519"/>
      <c r="E485" s="117" t="str">
        <f>IF(A485&amp;B485="","",VLOOKUP(A485&amp;B485,INSUMOS!C:G,3,0))</f>
        <v>m²</v>
      </c>
      <c r="F485" s="118">
        <f>F484</f>
        <v>7.68</v>
      </c>
      <c r="G485" s="113">
        <f>IF(A485&amp;B485="","",VLOOKUP(A485&amp;B485,INSUMOS!C:G,4,0))</f>
        <v>313.75124</v>
      </c>
      <c r="H485" s="119" t="str">
        <f t="shared" si="90"/>
        <v/>
      </c>
      <c r="I485" s="119">
        <f t="shared" si="91"/>
        <v>2409.6</v>
      </c>
      <c r="J485" s="115" t="str">
        <f t="shared" si="92"/>
        <v/>
      </c>
      <c r="K485" s="102" t="str">
        <f>IF(A485&amp;B485="","",VLOOKUP(A485&amp;B485,INSUMOS!C:G,5,0))</f>
        <v>MT</v>
      </c>
    </row>
    <row r="486" spans="1:11" ht="15" x14ac:dyDescent="0.25">
      <c r="A486" s="109"/>
      <c r="B486" s="116"/>
      <c r="C486" s="518" t="str">
        <f>IF(A486&amp;B486="","",VLOOKUP(A486&amp;B486,INSUMOS!C:G,2,0))</f>
        <v/>
      </c>
      <c r="D486" s="519"/>
      <c r="E486" s="117" t="str">
        <f>IF(A486&amp;B486="","",VLOOKUP(A486&amp;B486,INSUMOS!C:G,3,0))</f>
        <v/>
      </c>
      <c r="F486" s="118"/>
      <c r="G486" s="113" t="str">
        <f>IF(A486&amp;B486="","",VLOOKUP(A486&amp;B486,INSUMOS!C:G,4,0))</f>
        <v/>
      </c>
      <c r="H486" s="119" t="str">
        <f t="shared" si="90"/>
        <v/>
      </c>
      <c r="I486" s="119" t="str">
        <f t="shared" si="91"/>
        <v/>
      </c>
      <c r="J486" s="115" t="str">
        <f t="shared" si="92"/>
        <v/>
      </c>
      <c r="K486" s="102" t="str">
        <f>IF(A486&amp;B486="","",VLOOKUP(A486&amp;B486,INSUMOS!C:G,5,0))</f>
        <v/>
      </c>
    </row>
    <row r="487" spans="1:11" ht="15" x14ac:dyDescent="0.25">
      <c r="A487" s="109"/>
      <c r="B487" s="116"/>
      <c r="C487" s="518" t="str">
        <f>IF(A487&amp;B487="","",VLOOKUP(A487&amp;B487,INSUMOS!C:G,2,0))</f>
        <v/>
      </c>
      <c r="D487" s="519"/>
      <c r="E487" s="117" t="str">
        <f>IF(A487&amp;B487="","",VLOOKUP(A487&amp;B487,INSUMOS!C:G,3,0))</f>
        <v/>
      </c>
      <c r="F487" s="118"/>
      <c r="G487" s="113" t="str">
        <f>IF(A487&amp;B487="","",VLOOKUP(A487&amp;B487,INSUMOS!C:G,4,0))</f>
        <v/>
      </c>
      <c r="H487" s="119" t="str">
        <f t="shared" si="90"/>
        <v/>
      </c>
      <c r="I487" s="119" t="str">
        <f t="shared" si="91"/>
        <v/>
      </c>
      <c r="J487" s="115" t="str">
        <f t="shared" si="92"/>
        <v/>
      </c>
      <c r="K487" s="102" t="str">
        <f>IF(A487&amp;B487="","",VLOOKUP(A487&amp;B487,INSUMOS!C:G,5,0))</f>
        <v/>
      </c>
    </row>
    <row r="488" spans="1:11" ht="15" x14ac:dyDescent="0.25">
      <c r="A488" s="109"/>
      <c r="B488" s="116"/>
      <c r="C488" s="518" t="str">
        <f>IF(A488&amp;B488="","",VLOOKUP(A488&amp;B488,INSUMOS!C:G,2,0))</f>
        <v/>
      </c>
      <c r="D488" s="519"/>
      <c r="E488" s="117" t="str">
        <f>IF(A488&amp;B488="","",VLOOKUP(A488&amp;B488,INSUMOS!C:G,3,0))</f>
        <v/>
      </c>
      <c r="F488" s="118"/>
      <c r="G488" s="113" t="str">
        <f>IF(A488&amp;B488="","",VLOOKUP(A488&amp;B488,INSUMOS!C:G,4,0))</f>
        <v/>
      </c>
      <c r="H488" s="119" t="str">
        <f t="shared" si="90"/>
        <v/>
      </c>
      <c r="I488" s="119" t="str">
        <f t="shared" si="91"/>
        <v/>
      </c>
      <c r="J488" s="115" t="str">
        <f t="shared" si="92"/>
        <v/>
      </c>
      <c r="K488" s="102" t="str">
        <f>IF(A488&amp;B488="","",VLOOKUP(A488&amp;B488,INSUMOS!C:G,5,0))</f>
        <v/>
      </c>
    </row>
    <row r="489" spans="1:11" ht="15" x14ac:dyDescent="0.25">
      <c r="A489" s="109"/>
      <c r="B489" s="116"/>
      <c r="C489" s="518" t="str">
        <f>IF(A489&amp;B489="","",VLOOKUP(A489&amp;B489,INSUMOS!C:G,2,0))</f>
        <v/>
      </c>
      <c r="D489" s="519"/>
      <c r="E489" s="117" t="str">
        <f>IF(A489&amp;B489="","",VLOOKUP(A489&amp;B489,INSUMOS!C:G,3,0))</f>
        <v/>
      </c>
      <c r="F489" s="118"/>
      <c r="G489" s="113" t="str">
        <f>IF(A489&amp;B489="","",VLOOKUP(A489&amp;B489,INSUMOS!C:G,4,0))</f>
        <v/>
      </c>
      <c r="H489" s="119" t="str">
        <f t="shared" si="90"/>
        <v/>
      </c>
      <c r="I489" s="119" t="str">
        <f t="shared" si="91"/>
        <v/>
      </c>
      <c r="J489" s="115" t="str">
        <f t="shared" si="92"/>
        <v/>
      </c>
      <c r="K489" s="102" t="str">
        <f>IF(A489&amp;B489="","",VLOOKUP(A489&amp;B489,INSUMOS!C:G,5,0))</f>
        <v/>
      </c>
    </row>
    <row r="490" spans="1:11" ht="15" x14ac:dyDescent="0.25">
      <c r="A490" s="109"/>
      <c r="B490" s="116"/>
      <c r="C490" s="518" t="str">
        <f>IF(A490&amp;B490="","",VLOOKUP(A490&amp;B490,INSUMOS!C:G,2,0))</f>
        <v/>
      </c>
      <c r="D490" s="519"/>
      <c r="E490" s="117" t="str">
        <f>IF(A490&amp;B490="","",VLOOKUP(A490&amp;B490,INSUMOS!C:G,3,0))</f>
        <v/>
      </c>
      <c r="F490" s="118"/>
      <c r="G490" s="113" t="str">
        <f>IF(A490&amp;B490="","",VLOOKUP(A490&amp;B490,INSUMOS!C:G,4,0))</f>
        <v/>
      </c>
      <c r="H490" s="119" t="str">
        <f t="shared" si="90"/>
        <v/>
      </c>
      <c r="I490" s="119" t="str">
        <f t="shared" si="91"/>
        <v/>
      </c>
      <c r="J490" s="115" t="str">
        <f t="shared" si="92"/>
        <v/>
      </c>
      <c r="K490" s="102" t="str">
        <f>IF(A490&amp;B490="","",VLOOKUP(A490&amp;B490,INSUMOS!C:G,5,0))</f>
        <v/>
      </c>
    </row>
    <row r="491" spans="1:11" ht="15" x14ac:dyDescent="0.25">
      <c r="A491" s="109"/>
      <c r="B491" s="116"/>
      <c r="C491" s="518" t="str">
        <f>IF(A491&amp;B491="","",VLOOKUP(A491&amp;B491,INSUMOS!C:G,2,0))</f>
        <v/>
      </c>
      <c r="D491" s="519"/>
      <c r="E491" s="117" t="str">
        <f>IF(A491&amp;B491="","",VLOOKUP(A491&amp;B491,INSUMOS!C:G,3,0))</f>
        <v/>
      </c>
      <c r="F491" s="118"/>
      <c r="G491" s="113" t="str">
        <f>IF(A491&amp;B491="","",VLOOKUP(A491&amp;B491,INSUMOS!C:G,4,0))</f>
        <v/>
      </c>
      <c r="H491" s="119" t="str">
        <f t="shared" si="90"/>
        <v/>
      </c>
      <c r="I491" s="119" t="str">
        <f t="shared" si="91"/>
        <v/>
      </c>
      <c r="J491" s="115" t="str">
        <f t="shared" si="92"/>
        <v/>
      </c>
      <c r="K491" s="102" t="str">
        <f>IF(A491&amp;B491="","",VLOOKUP(A491&amp;B491,INSUMOS!C:G,5,0))</f>
        <v/>
      </c>
    </row>
    <row r="492" spans="1:11" ht="15" x14ac:dyDescent="0.25">
      <c r="A492" s="109"/>
      <c r="B492" s="116"/>
      <c r="C492" s="518" t="str">
        <f>IF(A492&amp;B492="","",VLOOKUP(A492&amp;B492,INSUMOS!C:G,2,0))</f>
        <v/>
      </c>
      <c r="D492" s="519"/>
      <c r="E492" s="117" t="str">
        <f>IF(A492&amp;B492="","",VLOOKUP(A492&amp;B492,INSUMOS!C:G,3,0))</f>
        <v/>
      </c>
      <c r="F492" s="118"/>
      <c r="G492" s="113" t="str">
        <f>IF(A492&amp;B492="","",VLOOKUP(A492&amp;B492,INSUMOS!C:G,4,0))</f>
        <v/>
      </c>
      <c r="H492" s="119" t="str">
        <f t="shared" si="90"/>
        <v/>
      </c>
      <c r="I492" s="119" t="str">
        <f t="shared" si="91"/>
        <v/>
      </c>
      <c r="J492" s="115" t="str">
        <f t="shared" si="92"/>
        <v/>
      </c>
      <c r="K492" s="102" t="str">
        <f>IF(A492&amp;B492="","",VLOOKUP(A492&amp;B492,INSUMOS!C:G,5,0))</f>
        <v/>
      </c>
    </row>
    <row r="493" spans="1:11" ht="15" x14ac:dyDescent="0.25">
      <c r="A493" s="120"/>
      <c r="B493" s="121"/>
      <c r="C493" s="518" t="str">
        <f>IF(A493&amp;B493="","",VLOOKUP(A493&amp;B493,INSUMOS!C:G,2,0))</f>
        <v/>
      </c>
      <c r="D493" s="519"/>
      <c r="E493" s="117" t="str">
        <f>IF(A493&amp;B493="","",VLOOKUP(A493&amp;B493,INSUMOS!C:G,3,0))</f>
        <v/>
      </c>
      <c r="F493" s="118"/>
      <c r="G493" s="122" t="str">
        <f>IF(A493&amp;B493="","",VLOOKUP(A493&amp;B493,INSUMOS!C:G,4,0))</f>
        <v/>
      </c>
      <c r="H493" s="119" t="str">
        <f t="shared" si="90"/>
        <v/>
      </c>
      <c r="I493" s="119" t="str">
        <f t="shared" si="91"/>
        <v/>
      </c>
      <c r="J493" s="115" t="str">
        <f t="shared" si="92"/>
        <v/>
      </c>
      <c r="K493" s="102" t="str">
        <f>IF(A493&amp;B493="","",VLOOKUP(A493&amp;B493,INSUMOS!C:G,5,0))</f>
        <v/>
      </c>
    </row>
    <row r="494" spans="1:11" ht="15" x14ac:dyDescent="0.25">
      <c r="A494" s="120"/>
      <c r="B494" s="121"/>
      <c r="C494" s="518" t="str">
        <f>IF(A494&amp;B494="","",VLOOKUP(A494&amp;B494,INSUMOS!C:G,2,0))</f>
        <v/>
      </c>
      <c r="D494" s="519"/>
      <c r="E494" s="117" t="str">
        <f>IF(A494&amp;B494="","",VLOOKUP(A494&amp;B494,INSUMOS!C:G,3,0))</f>
        <v/>
      </c>
      <c r="F494" s="118"/>
      <c r="G494" s="122" t="str">
        <f>IF(A494&amp;B494="","",VLOOKUP(A494&amp;B494,INSUMOS!C:G,4,0))</f>
        <v/>
      </c>
      <c r="H494" s="119" t="str">
        <f t="shared" si="90"/>
        <v/>
      </c>
      <c r="I494" s="119" t="str">
        <f t="shared" si="91"/>
        <v/>
      </c>
      <c r="J494" s="115" t="str">
        <f t="shared" si="92"/>
        <v/>
      </c>
      <c r="K494" s="102" t="str">
        <f>IF(A494&amp;B494="","",VLOOKUP(A494&amp;B494,INSUMOS!C:G,5,0))</f>
        <v/>
      </c>
    </row>
    <row r="495" spans="1:11" ht="15" x14ac:dyDescent="0.25">
      <c r="A495" s="120"/>
      <c r="B495" s="121"/>
      <c r="C495" s="518" t="str">
        <f>IF(A495&amp;B495="","",VLOOKUP(A495&amp;B495,INSUMOS!C:G,2,0))</f>
        <v/>
      </c>
      <c r="D495" s="519"/>
      <c r="E495" s="117" t="str">
        <f>IF(A495&amp;B495="","",VLOOKUP(A495&amp;B495,INSUMOS!C:G,3,0))</f>
        <v/>
      </c>
      <c r="F495" s="118"/>
      <c r="G495" s="122" t="str">
        <f>IF(A495&amp;B495="","",VLOOKUP(A495&amp;B495,INSUMOS!C:G,4,0))</f>
        <v/>
      </c>
      <c r="H495" s="119" t="str">
        <f t="shared" si="90"/>
        <v/>
      </c>
      <c r="I495" s="119" t="str">
        <f t="shared" si="91"/>
        <v/>
      </c>
      <c r="J495" s="115" t="str">
        <f t="shared" si="92"/>
        <v/>
      </c>
      <c r="K495" s="102" t="str">
        <f>IF(A495&amp;B495="","",VLOOKUP(A495&amp;B495,INSUMOS!C:G,5,0))</f>
        <v/>
      </c>
    </row>
    <row r="496" spans="1:11" ht="15" x14ac:dyDescent="0.25">
      <c r="A496" s="123" t="s">
        <v>4399</v>
      </c>
      <c r="B496" s="520"/>
      <c r="C496" s="520"/>
      <c r="D496" s="520"/>
      <c r="E496" s="520"/>
      <c r="F496" s="521"/>
      <c r="G496" s="124" t="s">
        <v>50</v>
      </c>
      <c r="H496" s="125">
        <f>SUM(H483:H495)</f>
        <v>0</v>
      </c>
      <c r="I496" s="125">
        <f>SUM(I483:I495)</f>
        <v>6796.3899999999994</v>
      </c>
      <c r="J496" s="126">
        <f>SUM(J483:J495)</f>
        <v>0</v>
      </c>
    </row>
    <row r="497" spans="1:17" ht="15" x14ac:dyDescent="0.25">
      <c r="A497" s="127" t="s">
        <v>4400</v>
      </c>
      <c r="B497" s="128"/>
      <c r="C497" s="128"/>
      <c r="D497" s="127" t="s">
        <v>51</v>
      </c>
      <c r="E497" s="128"/>
      <c r="F497" s="129"/>
      <c r="G497" s="130" t="s">
        <v>55</v>
      </c>
      <c r="H497" s="131" t="s">
        <v>52</v>
      </c>
      <c r="I497" s="132"/>
      <c r="J497" s="125">
        <f>SUM(H496:J496)</f>
        <v>6796.3899999999994</v>
      </c>
    </row>
    <row r="498" spans="1:17" ht="15" x14ac:dyDescent="0.25">
      <c r="A498" s="313" t="str">
        <f>$I$3</f>
        <v>Carlos Wieck</v>
      </c>
      <c r="B498" s="133"/>
      <c r="C498" s="133"/>
      <c r="D498" s="134"/>
      <c r="E498" s="133"/>
      <c r="F498" s="135"/>
      <c r="G498" s="522">
        <f>$J$5</f>
        <v>43040</v>
      </c>
      <c r="H498" s="136" t="s">
        <v>53</v>
      </c>
      <c r="I498" s="137"/>
      <c r="J498" s="125">
        <f>TRUNC(I498*J497,2)</f>
        <v>0</v>
      </c>
    </row>
    <row r="499" spans="1:17" ht="15" x14ac:dyDescent="0.25">
      <c r="A499" s="138"/>
      <c r="B499" s="139"/>
      <c r="C499" s="139"/>
      <c r="D499" s="138"/>
      <c r="E499" s="139"/>
      <c r="F499" s="140"/>
      <c r="G499" s="523"/>
      <c r="H499" s="141" t="s">
        <v>54</v>
      </c>
      <c r="I499" s="142"/>
      <c r="J499" s="143">
        <f>J498+J497</f>
        <v>6796.3899999999994</v>
      </c>
      <c r="L499" s="102" t="str">
        <f>A480</f>
        <v>COMPOSIÇÃO</v>
      </c>
      <c r="M499" s="144" t="str">
        <f>B480</f>
        <v>FF-010</v>
      </c>
      <c r="N499" s="102" t="str">
        <f>L499&amp;M499</f>
        <v>COMPOSIÇÃOFF-010</v>
      </c>
      <c r="O499" s="103" t="str">
        <f>D479</f>
        <v>CX 02-B - Painéis de policarbonato alveolar transparente de 40mm e porta de madeira à direita, abertura sentido horário, com bandeira basculante dim.3,00x2,56m. Fornecimento e instalação</v>
      </c>
      <c r="P499" s="145" t="str">
        <f>J480</f>
        <v>un</v>
      </c>
      <c r="Q499" s="145">
        <f>J499</f>
        <v>6796.3899999999994</v>
      </c>
    </row>
    <row r="500" spans="1:17" ht="15" customHeight="1" x14ac:dyDescent="0.25">
      <c r="A500" s="524" t="s">
        <v>40</v>
      </c>
      <c r="B500" s="525"/>
      <c r="C500" s="104" t="s">
        <v>41</v>
      </c>
      <c r="D500" s="526" t="str">
        <f>IF(B501="","",VLOOKUP(B501,SERVIÇOS!B:E,3,0))</f>
        <v>CX 02-C - Painéis de policarbonato alveolar transparente de 40mm e porta de madeira à esquerda, abertura sentido anti-horário, com bandeira basculante dim.3,00x2,56m. Fornecimento e instalação</v>
      </c>
      <c r="E500" s="526"/>
      <c r="F500" s="526"/>
      <c r="G500" s="526"/>
      <c r="H500" s="526"/>
      <c r="I500" s="527"/>
      <c r="J500" s="105" t="s">
        <v>42</v>
      </c>
    </row>
    <row r="501" spans="1:17" ht="15" x14ac:dyDescent="0.25">
      <c r="A501" s="230" t="s">
        <v>4715</v>
      </c>
      <c r="B501" s="230" t="s">
        <v>4891</v>
      </c>
      <c r="C501" s="106"/>
      <c r="D501" s="528"/>
      <c r="E501" s="528"/>
      <c r="F501" s="528"/>
      <c r="G501" s="528"/>
      <c r="H501" s="528"/>
      <c r="I501" s="529"/>
      <c r="J501" s="107" t="str">
        <f>IF(B501="","",VLOOKUP(B501,SERVIÇOS!B:E,4,0))</f>
        <v>un</v>
      </c>
    </row>
    <row r="502" spans="1:17" ht="15" x14ac:dyDescent="0.25">
      <c r="A502" s="530" t="s">
        <v>4397</v>
      </c>
      <c r="B502" s="531" t="s">
        <v>11</v>
      </c>
      <c r="C502" s="533" t="s">
        <v>43</v>
      </c>
      <c r="D502" s="534"/>
      <c r="E502" s="530" t="s">
        <v>13</v>
      </c>
      <c r="F502" s="530" t="s">
        <v>44</v>
      </c>
      <c r="G502" s="538" t="s">
        <v>45</v>
      </c>
      <c r="H502" s="108" t="s">
        <v>46</v>
      </c>
      <c r="I502" s="108"/>
      <c r="J502" s="108"/>
    </row>
    <row r="503" spans="1:17" ht="15" x14ac:dyDescent="0.25">
      <c r="A503" s="530"/>
      <c r="B503" s="532"/>
      <c r="C503" s="535"/>
      <c r="D503" s="536"/>
      <c r="E503" s="537"/>
      <c r="F503" s="537"/>
      <c r="G503" s="539"/>
      <c r="H503" s="108" t="s">
        <v>47</v>
      </c>
      <c r="I503" s="108" t="s">
        <v>48</v>
      </c>
      <c r="J503" s="108" t="s">
        <v>49</v>
      </c>
    </row>
    <row r="504" spans="1:17" ht="30" customHeight="1" x14ac:dyDescent="0.25">
      <c r="A504" s="109" t="s">
        <v>4717</v>
      </c>
      <c r="B504" s="116" t="s">
        <v>4862</v>
      </c>
      <c r="C504" s="540" t="str">
        <f>IF(A504&amp;B504="","",VLOOKUP(A504&amp;B504,INSUMOS!C:G,2,0))</f>
        <v>CX 02-C - Painéis de policarbonato alveolar transparente de 40mm e porta de madeira à esquerda, abertura sentido anti-horário, com bandeira basculante dim.3,00x2,56m. Fornecimento e instalação</v>
      </c>
      <c r="D504" s="541"/>
      <c r="E504" s="111" t="str">
        <f>IF(A504&amp;B504="","",VLOOKUP(A504&amp;B504,INSUMOS!C:G,3,0))</f>
        <v>un</v>
      </c>
      <c r="F504" s="112">
        <v>1</v>
      </c>
      <c r="G504" s="113">
        <f>IF(A504&amp;B504="","",VLOOKUP(A504&amp;B504,INSUMOS!C:G,4,0))</f>
        <v>2453.5031600000002</v>
      </c>
      <c r="H504" s="114" t="str">
        <f>IF(K504="MO",TRUNC(F504*G504,2),"")</f>
        <v/>
      </c>
      <c r="I504" s="114">
        <f>IF(K504="MT",TRUNC(F504*G504,2),"")</f>
        <v>2453.5</v>
      </c>
      <c r="J504" s="115" t="str">
        <f>IF(K504="EQ",TRUNC(F504*G504,2),"")</f>
        <v/>
      </c>
      <c r="K504" s="102" t="str">
        <f>IF(A504&amp;B504="","",VLOOKUP(A504&amp;B504,INSUMOS!C:G,5,0))</f>
        <v>MT</v>
      </c>
    </row>
    <row r="505" spans="1:17" ht="15" x14ac:dyDescent="0.25">
      <c r="A505" s="109" t="s">
        <v>4717</v>
      </c>
      <c r="B505" s="116" t="s">
        <v>4859</v>
      </c>
      <c r="C505" s="518" t="str">
        <f>IF(A505&amp;B505="","",VLOOKUP(A505&amp;B505,INSUMOS!C:G,2,0))</f>
        <v>Policarbonato 40mm - Fechamento de Caixilhos, sistema Arkowall ou equivalente técnico</v>
      </c>
      <c r="D505" s="519"/>
      <c r="E505" s="117" t="str">
        <f>IF(A505&amp;B505="","",VLOOKUP(A505&amp;B505,INSUMOS!C:G,3,0))</f>
        <v>m²</v>
      </c>
      <c r="F505" s="118">
        <f>3*2.56</f>
        <v>7.68</v>
      </c>
      <c r="G505" s="113">
        <f>IF(A505&amp;B505="","",VLOOKUP(A505&amp;B505,INSUMOS!C:G,4,0))</f>
        <v>251.73052999999999</v>
      </c>
      <c r="H505" s="119" t="str">
        <f t="shared" ref="H505:H516" si="93">IF(K505="MO",TRUNC(F505*G505,2),"")</f>
        <v/>
      </c>
      <c r="I505" s="119">
        <f t="shared" ref="I505:I516" si="94">IF(K505="MT",TRUNC(F505*G505,2),"")</f>
        <v>1933.29</v>
      </c>
      <c r="J505" s="115" t="str">
        <f t="shared" ref="J505:J516" si="95">IF(K505="EQ",TRUNC(F505*G505,2),"")</f>
        <v/>
      </c>
      <c r="K505" s="102" t="str">
        <f>IF(A505&amp;B505="","",VLOOKUP(A505&amp;B505,INSUMOS!C:G,5,0))</f>
        <v>MT</v>
      </c>
    </row>
    <row r="506" spans="1:17" ht="15" x14ac:dyDescent="0.25">
      <c r="A506" s="109" t="s">
        <v>4717</v>
      </c>
      <c r="B506" s="116" t="s">
        <v>4979</v>
      </c>
      <c r="C506" s="518" t="str">
        <f>IF(A506&amp;B506="","",VLOOKUP(A506&amp;B506,INSUMOS!C:G,2,0))</f>
        <v>Acessórios e instalações do sistema de policarbonato</v>
      </c>
      <c r="D506" s="519"/>
      <c r="E506" s="117" t="str">
        <f>IF(A506&amp;B506="","",VLOOKUP(A506&amp;B506,INSUMOS!C:G,3,0))</f>
        <v>m²</v>
      </c>
      <c r="F506" s="118">
        <f>F505</f>
        <v>7.68</v>
      </c>
      <c r="G506" s="113">
        <f>IF(A506&amp;B506="","",VLOOKUP(A506&amp;B506,INSUMOS!C:G,4,0))</f>
        <v>313.75124</v>
      </c>
      <c r="H506" s="119" t="str">
        <f t="shared" si="93"/>
        <v/>
      </c>
      <c r="I506" s="119">
        <f t="shared" si="94"/>
        <v>2409.6</v>
      </c>
      <c r="J506" s="115" t="str">
        <f t="shared" si="95"/>
        <v/>
      </c>
      <c r="K506" s="102" t="str">
        <f>IF(A506&amp;B506="","",VLOOKUP(A506&amp;B506,INSUMOS!C:G,5,0))</f>
        <v>MT</v>
      </c>
    </row>
    <row r="507" spans="1:17" ht="15" x14ac:dyDescent="0.25">
      <c r="A507" s="109"/>
      <c r="B507" s="116"/>
      <c r="C507" s="518" t="str">
        <f>IF(A507&amp;B507="","",VLOOKUP(A507&amp;B507,INSUMOS!C:G,2,0))</f>
        <v/>
      </c>
      <c r="D507" s="519"/>
      <c r="E507" s="117" t="str">
        <f>IF(A507&amp;B507="","",VLOOKUP(A507&amp;B507,INSUMOS!C:G,3,0))</f>
        <v/>
      </c>
      <c r="F507" s="118"/>
      <c r="G507" s="113" t="str">
        <f>IF(A507&amp;B507="","",VLOOKUP(A507&amp;B507,INSUMOS!C:G,4,0))</f>
        <v/>
      </c>
      <c r="H507" s="119" t="str">
        <f t="shared" si="93"/>
        <v/>
      </c>
      <c r="I507" s="119" t="str">
        <f t="shared" si="94"/>
        <v/>
      </c>
      <c r="J507" s="115" t="str">
        <f t="shared" si="95"/>
        <v/>
      </c>
      <c r="K507" s="102" t="str">
        <f>IF(A507&amp;B507="","",VLOOKUP(A507&amp;B507,INSUMOS!C:G,5,0))</f>
        <v/>
      </c>
    </row>
    <row r="508" spans="1:17" ht="15" x14ac:dyDescent="0.25">
      <c r="A508" s="109"/>
      <c r="B508" s="116"/>
      <c r="C508" s="518" t="str">
        <f>IF(A508&amp;B508="","",VLOOKUP(A508&amp;B508,INSUMOS!C:G,2,0))</f>
        <v/>
      </c>
      <c r="D508" s="519"/>
      <c r="E508" s="117" t="str">
        <f>IF(A508&amp;B508="","",VLOOKUP(A508&amp;B508,INSUMOS!C:G,3,0))</f>
        <v/>
      </c>
      <c r="F508" s="118"/>
      <c r="G508" s="113" t="str">
        <f>IF(A508&amp;B508="","",VLOOKUP(A508&amp;B508,INSUMOS!C:G,4,0))</f>
        <v/>
      </c>
      <c r="H508" s="119" t="str">
        <f t="shared" si="93"/>
        <v/>
      </c>
      <c r="I508" s="119" t="str">
        <f t="shared" si="94"/>
        <v/>
      </c>
      <c r="J508" s="115" t="str">
        <f t="shared" si="95"/>
        <v/>
      </c>
      <c r="K508" s="102" t="str">
        <f>IF(A508&amp;B508="","",VLOOKUP(A508&amp;B508,INSUMOS!C:G,5,0))</f>
        <v/>
      </c>
    </row>
    <row r="509" spans="1:17" ht="15" x14ac:dyDescent="0.25">
      <c r="A509" s="109"/>
      <c r="B509" s="116"/>
      <c r="C509" s="518" t="str">
        <f>IF(A509&amp;B509="","",VLOOKUP(A509&amp;B509,INSUMOS!C:G,2,0))</f>
        <v/>
      </c>
      <c r="D509" s="519"/>
      <c r="E509" s="117" t="str">
        <f>IF(A509&amp;B509="","",VLOOKUP(A509&amp;B509,INSUMOS!C:G,3,0))</f>
        <v/>
      </c>
      <c r="F509" s="118"/>
      <c r="G509" s="113" t="str">
        <f>IF(A509&amp;B509="","",VLOOKUP(A509&amp;B509,INSUMOS!C:G,4,0))</f>
        <v/>
      </c>
      <c r="H509" s="119" t="str">
        <f t="shared" si="93"/>
        <v/>
      </c>
      <c r="I509" s="119" t="str">
        <f t="shared" si="94"/>
        <v/>
      </c>
      <c r="J509" s="115" t="str">
        <f t="shared" si="95"/>
        <v/>
      </c>
      <c r="K509" s="102" t="str">
        <f>IF(A509&amp;B509="","",VLOOKUP(A509&amp;B509,INSUMOS!C:G,5,0))</f>
        <v/>
      </c>
    </row>
    <row r="510" spans="1:17" ht="15" x14ac:dyDescent="0.25">
      <c r="A510" s="109"/>
      <c r="B510" s="116"/>
      <c r="C510" s="518" t="str">
        <f>IF(A510&amp;B510="","",VLOOKUP(A510&amp;B510,INSUMOS!C:G,2,0))</f>
        <v/>
      </c>
      <c r="D510" s="519"/>
      <c r="E510" s="117" t="str">
        <f>IF(A510&amp;B510="","",VLOOKUP(A510&amp;B510,INSUMOS!C:G,3,0))</f>
        <v/>
      </c>
      <c r="F510" s="118"/>
      <c r="G510" s="113" t="str">
        <f>IF(A510&amp;B510="","",VLOOKUP(A510&amp;B510,INSUMOS!C:G,4,0))</f>
        <v/>
      </c>
      <c r="H510" s="119" t="str">
        <f t="shared" si="93"/>
        <v/>
      </c>
      <c r="I510" s="119" t="str">
        <f t="shared" si="94"/>
        <v/>
      </c>
      <c r="J510" s="115" t="str">
        <f t="shared" si="95"/>
        <v/>
      </c>
      <c r="K510" s="102" t="str">
        <f>IF(A510&amp;B510="","",VLOOKUP(A510&amp;B510,INSUMOS!C:G,5,0))</f>
        <v/>
      </c>
    </row>
    <row r="511" spans="1:17" ht="15" x14ac:dyDescent="0.25">
      <c r="A511" s="109"/>
      <c r="B511" s="116"/>
      <c r="C511" s="518" t="str">
        <f>IF(A511&amp;B511="","",VLOOKUP(A511&amp;B511,INSUMOS!C:G,2,0))</f>
        <v/>
      </c>
      <c r="D511" s="519"/>
      <c r="E511" s="117" t="str">
        <f>IF(A511&amp;B511="","",VLOOKUP(A511&amp;B511,INSUMOS!C:G,3,0))</f>
        <v/>
      </c>
      <c r="F511" s="118"/>
      <c r="G511" s="113" t="str">
        <f>IF(A511&amp;B511="","",VLOOKUP(A511&amp;B511,INSUMOS!C:G,4,0))</f>
        <v/>
      </c>
      <c r="H511" s="119" t="str">
        <f t="shared" si="93"/>
        <v/>
      </c>
      <c r="I511" s="119" t="str">
        <f t="shared" si="94"/>
        <v/>
      </c>
      <c r="J511" s="115" t="str">
        <f t="shared" si="95"/>
        <v/>
      </c>
      <c r="K511" s="102" t="str">
        <f>IF(A511&amp;B511="","",VLOOKUP(A511&amp;B511,INSUMOS!C:G,5,0))</f>
        <v/>
      </c>
    </row>
    <row r="512" spans="1:17" ht="15" x14ac:dyDescent="0.25">
      <c r="A512" s="109"/>
      <c r="B512" s="116"/>
      <c r="C512" s="518" t="str">
        <f>IF(A512&amp;B512="","",VLOOKUP(A512&amp;B512,INSUMOS!C:G,2,0))</f>
        <v/>
      </c>
      <c r="D512" s="519"/>
      <c r="E512" s="117" t="str">
        <f>IF(A512&amp;B512="","",VLOOKUP(A512&amp;B512,INSUMOS!C:G,3,0))</f>
        <v/>
      </c>
      <c r="F512" s="118"/>
      <c r="G512" s="113" t="str">
        <f>IF(A512&amp;B512="","",VLOOKUP(A512&amp;B512,INSUMOS!C:G,4,0))</f>
        <v/>
      </c>
      <c r="H512" s="119" t="str">
        <f t="shared" si="93"/>
        <v/>
      </c>
      <c r="I512" s="119" t="str">
        <f t="shared" si="94"/>
        <v/>
      </c>
      <c r="J512" s="115" t="str">
        <f t="shared" si="95"/>
        <v/>
      </c>
      <c r="K512" s="102" t="str">
        <f>IF(A512&amp;B512="","",VLOOKUP(A512&amp;B512,INSUMOS!C:G,5,0))</f>
        <v/>
      </c>
    </row>
    <row r="513" spans="1:17" ht="15" x14ac:dyDescent="0.25">
      <c r="A513" s="109"/>
      <c r="B513" s="116"/>
      <c r="C513" s="518" t="str">
        <f>IF(A513&amp;B513="","",VLOOKUP(A513&amp;B513,INSUMOS!C:G,2,0))</f>
        <v/>
      </c>
      <c r="D513" s="519"/>
      <c r="E513" s="117" t="str">
        <f>IF(A513&amp;B513="","",VLOOKUP(A513&amp;B513,INSUMOS!C:G,3,0))</f>
        <v/>
      </c>
      <c r="F513" s="118"/>
      <c r="G513" s="113" t="str">
        <f>IF(A513&amp;B513="","",VLOOKUP(A513&amp;B513,INSUMOS!C:G,4,0))</f>
        <v/>
      </c>
      <c r="H513" s="119" t="str">
        <f t="shared" si="93"/>
        <v/>
      </c>
      <c r="I513" s="119" t="str">
        <f t="shared" si="94"/>
        <v/>
      </c>
      <c r="J513" s="115" t="str">
        <f t="shared" si="95"/>
        <v/>
      </c>
      <c r="K513" s="102" t="str">
        <f>IF(A513&amp;B513="","",VLOOKUP(A513&amp;B513,INSUMOS!C:G,5,0))</f>
        <v/>
      </c>
    </row>
    <row r="514" spans="1:17" ht="15" x14ac:dyDescent="0.25">
      <c r="A514" s="120"/>
      <c r="B514" s="121"/>
      <c r="C514" s="518" t="str">
        <f>IF(A514&amp;B514="","",VLOOKUP(A514&amp;B514,INSUMOS!C:G,2,0))</f>
        <v/>
      </c>
      <c r="D514" s="519"/>
      <c r="E514" s="117" t="str">
        <f>IF(A514&amp;B514="","",VLOOKUP(A514&amp;B514,INSUMOS!C:G,3,0))</f>
        <v/>
      </c>
      <c r="F514" s="118"/>
      <c r="G514" s="122" t="str">
        <f>IF(A514&amp;B514="","",VLOOKUP(A514&amp;B514,INSUMOS!C:G,4,0))</f>
        <v/>
      </c>
      <c r="H514" s="119" t="str">
        <f t="shared" si="93"/>
        <v/>
      </c>
      <c r="I514" s="119" t="str">
        <f t="shared" si="94"/>
        <v/>
      </c>
      <c r="J514" s="115" t="str">
        <f t="shared" si="95"/>
        <v/>
      </c>
      <c r="K514" s="102" t="str">
        <f>IF(A514&amp;B514="","",VLOOKUP(A514&amp;B514,INSUMOS!C:G,5,0))</f>
        <v/>
      </c>
    </row>
    <row r="515" spans="1:17" ht="15" x14ac:dyDescent="0.25">
      <c r="A515" s="120"/>
      <c r="B515" s="121"/>
      <c r="C515" s="518" t="str">
        <f>IF(A515&amp;B515="","",VLOOKUP(A515&amp;B515,INSUMOS!C:G,2,0))</f>
        <v/>
      </c>
      <c r="D515" s="519"/>
      <c r="E515" s="117" t="str">
        <f>IF(A515&amp;B515="","",VLOOKUP(A515&amp;B515,INSUMOS!C:G,3,0))</f>
        <v/>
      </c>
      <c r="F515" s="118"/>
      <c r="G515" s="122" t="str">
        <f>IF(A515&amp;B515="","",VLOOKUP(A515&amp;B515,INSUMOS!C:G,4,0))</f>
        <v/>
      </c>
      <c r="H515" s="119" t="str">
        <f t="shared" si="93"/>
        <v/>
      </c>
      <c r="I515" s="119" t="str">
        <f t="shared" si="94"/>
        <v/>
      </c>
      <c r="J515" s="115" t="str">
        <f t="shared" si="95"/>
        <v/>
      </c>
      <c r="K515" s="102" t="str">
        <f>IF(A515&amp;B515="","",VLOOKUP(A515&amp;B515,INSUMOS!C:G,5,0))</f>
        <v/>
      </c>
    </row>
    <row r="516" spans="1:17" ht="15" x14ac:dyDescent="0.25">
      <c r="A516" s="120"/>
      <c r="B516" s="121"/>
      <c r="C516" s="518" t="str">
        <f>IF(A516&amp;B516="","",VLOOKUP(A516&amp;B516,INSUMOS!C:G,2,0))</f>
        <v/>
      </c>
      <c r="D516" s="519"/>
      <c r="E516" s="117" t="str">
        <f>IF(A516&amp;B516="","",VLOOKUP(A516&amp;B516,INSUMOS!C:G,3,0))</f>
        <v/>
      </c>
      <c r="F516" s="118"/>
      <c r="G516" s="122" t="str">
        <f>IF(A516&amp;B516="","",VLOOKUP(A516&amp;B516,INSUMOS!C:G,4,0))</f>
        <v/>
      </c>
      <c r="H516" s="119" t="str">
        <f t="shared" si="93"/>
        <v/>
      </c>
      <c r="I516" s="119" t="str">
        <f t="shared" si="94"/>
        <v/>
      </c>
      <c r="J516" s="115" t="str">
        <f t="shared" si="95"/>
        <v/>
      </c>
      <c r="K516" s="102" t="str">
        <f>IF(A516&amp;B516="","",VLOOKUP(A516&amp;B516,INSUMOS!C:G,5,0))</f>
        <v/>
      </c>
    </row>
    <row r="517" spans="1:17" ht="15" x14ac:dyDescent="0.25">
      <c r="A517" s="123" t="s">
        <v>4399</v>
      </c>
      <c r="B517" s="520"/>
      <c r="C517" s="520"/>
      <c r="D517" s="520"/>
      <c r="E517" s="520"/>
      <c r="F517" s="521"/>
      <c r="G517" s="124" t="s">
        <v>50</v>
      </c>
      <c r="H517" s="125">
        <f>SUM(H504:H516)</f>
        <v>0</v>
      </c>
      <c r="I517" s="125">
        <f>SUM(I504:I516)</f>
        <v>6796.3899999999994</v>
      </c>
      <c r="J517" s="126">
        <f>SUM(J504:J516)</f>
        <v>0</v>
      </c>
    </row>
    <row r="518" spans="1:17" ht="15" x14ac:dyDescent="0.25">
      <c r="A518" s="127" t="s">
        <v>4400</v>
      </c>
      <c r="B518" s="128"/>
      <c r="C518" s="128"/>
      <c r="D518" s="127" t="s">
        <v>51</v>
      </c>
      <c r="E518" s="128"/>
      <c r="F518" s="129"/>
      <c r="G518" s="130" t="s">
        <v>55</v>
      </c>
      <c r="H518" s="131" t="s">
        <v>52</v>
      </c>
      <c r="I518" s="132"/>
      <c r="J518" s="125">
        <f>SUM(H517:J517)</f>
        <v>6796.3899999999994</v>
      </c>
    </row>
    <row r="519" spans="1:17" ht="15" x14ac:dyDescent="0.25">
      <c r="A519" s="313" t="str">
        <f>$I$3</f>
        <v>Carlos Wieck</v>
      </c>
      <c r="B519" s="133"/>
      <c r="C519" s="133"/>
      <c r="D519" s="134"/>
      <c r="E519" s="133"/>
      <c r="F519" s="135"/>
      <c r="G519" s="522">
        <f>$J$5</f>
        <v>43040</v>
      </c>
      <c r="H519" s="136" t="s">
        <v>53</v>
      </c>
      <c r="I519" s="137"/>
      <c r="J519" s="125">
        <f>TRUNC(I519*J518,2)</f>
        <v>0</v>
      </c>
    </row>
    <row r="520" spans="1:17" ht="15" x14ac:dyDescent="0.25">
      <c r="A520" s="138"/>
      <c r="B520" s="139"/>
      <c r="C520" s="139"/>
      <c r="D520" s="138"/>
      <c r="E520" s="139"/>
      <c r="F520" s="140"/>
      <c r="G520" s="523"/>
      <c r="H520" s="141" t="s">
        <v>54</v>
      </c>
      <c r="I520" s="142"/>
      <c r="J520" s="143">
        <f>J519+J518</f>
        <v>6796.3899999999994</v>
      </c>
      <c r="L520" s="102" t="str">
        <f>A501</f>
        <v>COMPOSIÇÃO</v>
      </c>
      <c r="M520" s="144" t="str">
        <f>B501</f>
        <v>FF-011</v>
      </c>
      <c r="N520" s="102" t="str">
        <f>L520&amp;M520</f>
        <v>COMPOSIÇÃOFF-011</v>
      </c>
      <c r="O520" s="103" t="str">
        <f>D500</f>
        <v>CX 02-C - Painéis de policarbonato alveolar transparente de 40mm e porta de madeira à esquerda, abertura sentido anti-horário, com bandeira basculante dim.3,00x2,56m. Fornecimento e instalação</v>
      </c>
      <c r="P520" s="145" t="str">
        <f>J501</f>
        <v>un</v>
      </c>
      <c r="Q520" s="145">
        <f>J520</f>
        <v>6796.3899999999994</v>
      </c>
    </row>
    <row r="521" spans="1:17" ht="15" customHeight="1" x14ac:dyDescent="0.25">
      <c r="A521" s="524" t="s">
        <v>40</v>
      </c>
      <c r="B521" s="525"/>
      <c r="C521" s="104" t="s">
        <v>41</v>
      </c>
      <c r="D521" s="526" t="str">
        <f>IF(B522="","",VLOOKUP(B522,SERVIÇOS!B:E,3,0))</f>
        <v>CX 02-D - Painel (0,44x2,56m) de policarbonato alveolar de 40mm e porta de madeira à esquerda, abertura anti-horário, com bandeira basculante dim.1,44x2,56m. Fornecimento e instalação</v>
      </c>
      <c r="E521" s="526"/>
      <c r="F521" s="526"/>
      <c r="G521" s="526"/>
      <c r="H521" s="526"/>
      <c r="I521" s="527"/>
      <c r="J521" s="105" t="s">
        <v>42</v>
      </c>
    </row>
    <row r="522" spans="1:17" ht="15" x14ac:dyDescent="0.25">
      <c r="A522" s="230" t="s">
        <v>4715</v>
      </c>
      <c r="B522" s="230" t="s">
        <v>4892</v>
      </c>
      <c r="C522" s="106"/>
      <c r="D522" s="528"/>
      <c r="E522" s="528"/>
      <c r="F522" s="528"/>
      <c r="G522" s="528"/>
      <c r="H522" s="528"/>
      <c r="I522" s="529"/>
      <c r="J522" s="107" t="str">
        <f>IF(B522="","",VLOOKUP(B522,SERVIÇOS!B:E,4,0))</f>
        <v>un</v>
      </c>
    </row>
    <row r="523" spans="1:17" ht="15" x14ac:dyDescent="0.25">
      <c r="A523" s="530" t="s">
        <v>4397</v>
      </c>
      <c r="B523" s="531" t="s">
        <v>11</v>
      </c>
      <c r="C523" s="533" t="s">
        <v>43</v>
      </c>
      <c r="D523" s="534"/>
      <c r="E523" s="530" t="s">
        <v>13</v>
      </c>
      <c r="F523" s="530" t="s">
        <v>44</v>
      </c>
      <c r="G523" s="538" t="s">
        <v>45</v>
      </c>
      <c r="H523" s="108" t="s">
        <v>46</v>
      </c>
      <c r="I523" s="108"/>
      <c r="J523" s="108"/>
    </row>
    <row r="524" spans="1:17" ht="15" x14ac:dyDescent="0.25">
      <c r="A524" s="530"/>
      <c r="B524" s="532"/>
      <c r="C524" s="535"/>
      <c r="D524" s="536"/>
      <c r="E524" s="537"/>
      <c r="F524" s="537"/>
      <c r="G524" s="539"/>
      <c r="H524" s="108" t="s">
        <v>47</v>
      </c>
      <c r="I524" s="108" t="s">
        <v>48</v>
      </c>
      <c r="J524" s="108" t="s">
        <v>49</v>
      </c>
    </row>
    <row r="525" spans="1:17" ht="30" customHeight="1" x14ac:dyDescent="0.25">
      <c r="A525" s="109" t="s">
        <v>4717</v>
      </c>
      <c r="B525" s="116" t="s">
        <v>4863</v>
      </c>
      <c r="C525" s="540" t="str">
        <f>IF(A525&amp;B525="","",VLOOKUP(A525&amp;B525,INSUMOS!C:G,2,0))</f>
        <v>CX 02-D - Painel (0,44x2,56m) de policarbonato alveolar de 40mm e porta de madeira à esquerda, abertura anti-horário, com bandeira basculante dim.1,44x2,56m. Fornecimento e instalação</v>
      </c>
      <c r="D525" s="541"/>
      <c r="E525" s="111" t="str">
        <f>IF(A525&amp;B525="","",VLOOKUP(A525&amp;B525,INSUMOS!C:G,3,0))</f>
        <v>un</v>
      </c>
      <c r="F525" s="112">
        <v>1</v>
      </c>
      <c r="G525" s="113">
        <f>IF(A525&amp;B525="","",VLOOKUP(A525&amp;B525,INSUMOS!C:G,4,0))</f>
        <v>1177.6815168000001</v>
      </c>
      <c r="H525" s="114" t="str">
        <f>IF(K525="MO",TRUNC(F525*G525,2),"")</f>
        <v/>
      </c>
      <c r="I525" s="114">
        <f>IF(K525="MT",TRUNC(F525*G525,2),"")</f>
        <v>1177.68</v>
      </c>
      <c r="J525" s="115" t="str">
        <f>IF(K525="EQ",TRUNC(F525*G525,2),"")</f>
        <v/>
      </c>
      <c r="K525" s="102" t="str">
        <f>IF(A525&amp;B525="","",VLOOKUP(A525&amp;B525,INSUMOS!C:G,5,0))</f>
        <v>MT</v>
      </c>
    </row>
    <row r="526" spans="1:17" ht="15" x14ac:dyDescent="0.25">
      <c r="A526" s="109" t="s">
        <v>4717</v>
      </c>
      <c r="B526" s="116" t="s">
        <v>4859</v>
      </c>
      <c r="C526" s="518" t="str">
        <f>IF(A526&amp;B526="","",VLOOKUP(A526&amp;B526,INSUMOS!C:G,2,0))</f>
        <v>Policarbonato 40mm - Fechamento de Caixilhos, sistema Arkowall ou equivalente técnico</v>
      </c>
      <c r="D526" s="519"/>
      <c r="E526" s="117" t="str">
        <f>IF(A526&amp;B526="","",VLOOKUP(A526&amp;B526,INSUMOS!C:G,3,0))</f>
        <v>m²</v>
      </c>
      <c r="F526" s="118">
        <f>1.44*2.56</f>
        <v>3.6863999999999999</v>
      </c>
      <c r="G526" s="113">
        <f>IF(A526&amp;B526="","",VLOOKUP(A526&amp;B526,INSUMOS!C:G,4,0))</f>
        <v>251.73052999999999</v>
      </c>
      <c r="H526" s="119" t="str">
        <f t="shared" ref="H526:H537" si="96">IF(K526="MO",TRUNC(F526*G526,2),"")</f>
        <v/>
      </c>
      <c r="I526" s="119">
        <f t="shared" ref="I526:I537" si="97">IF(K526="MT",TRUNC(F526*G526,2),"")</f>
        <v>927.97</v>
      </c>
      <c r="J526" s="115" t="str">
        <f t="shared" ref="J526:J537" si="98">IF(K526="EQ",TRUNC(F526*G526,2),"")</f>
        <v/>
      </c>
      <c r="K526" s="102" t="str">
        <f>IF(A526&amp;B526="","",VLOOKUP(A526&amp;B526,INSUMOS!C:G,5,0))</f>
        <v>MT</v>
      </c>
    </row>
    <row r="527" spans="1:17" ht="15" x14ac:dyDescent="0.25">
      <c r="A527" s="109" t="s">
        <v>4717</v>
      </c>
      <c r="B527" s="116" t="s">
        <v>4979</v>
      </c>
      <c r="C527" s="518" t="str">
        <f>IF(A527&amp;B527="","",VLOOKUP(A527&amp;B527,INSUMOS!C:G,2,0))</f>
        <v>Acessórios e instalações do sistema de policarbonato</v>
      </c>
      <c r="D527" s="519"/>
      <c r="E527" s="117" t="str">
        <f>IF(A527&amp;B527="","",VLOOKUP(A527&amp;B527,INSUMOS!C:G,3,0))</f>
        <v>m²</v>
      </c>
      <c r="F527" s="118">
        <f>F526</f>
        <v>3.6863999999999999</v>
      </c>
      <c r="G527" s="113">
        <f>IF(A527&amp;B527="","",VLOOKUP(A527&amp;B527,INSUMOS!C:G,4,0))</f>
        <v>313.75124</v>
      </c>
      <c r="H527" s="119" t="str">
        <f t="shared" si="96"/>
        <v/>
      </c>
      <c r="I527" s="119">
        <f t="shared" si="97"/>
        <v>1156.6099999999999</v>
      </c>
      <c r="J527" s="115" t="str">
        <f t="shared" si="98"/>
        <v/>
      </c>
      <c r="K527" s="102" t="str">
        <f>IF(A527&amp;B527="","",VLOOKUP(A527&amp;B527,INSUMOS!C:G,5,0))</f>
        <v>MT</v>
      </c>
    </row>
    <row r="528" spans="1:17" ht="15" x14ac:dyDescent="0.25">
      <c r="A528" s="109"/>
      <c r="B528" s="116"/>
      <c r="C528" s="518" t="str">
        <f>IF(A528&amp;B528="","",VLOOKUP(A528&amp;B528,INSUMOS!C:G,2,0))</f>
        <v/>
      </c>
      <c r="D528" s="519"/>
      <c r="E528" s="117" t="str">
        <f>IF(A528&amp;B528="","",VLOOKUP(A528&amp;B528,INSUMOS!C:G,3,0))</f>
        <v/>
      </c>
      <c r="F528" s="118"/>
      <c r="G528" s="113" t="str">
        <f>IF(A528&amp;B528="","",VLOOKUP(A528&amp;B528,INSUMOS!C:G,4,0))</f>
        <v/>
      </c>
      <c r="H528" s="119" t="str">
        <f t="shared" si="96"/>
        <v/>
      </c>
      <c r="I528" s="119" t="str">
        <f t="shared" si="97"/>
        <v/>
      </c>
      <c r="J528" s="115" t="str">
        <f t="shared" si="98"/>
        <v/>
      </c>
      <c r="K528" s="102" t="str">
        <f>IF(A528&amp;B528="","",VLOOKUP(A528&amp;B528,INSUMOS!C:G,5,0))</f>
        <v/>
      </c>
    </row>
    <row r="529" spans="1:17" ht="15" x14ac:dyDescent="0.25">
      <c r="A529" s="109"/>
      <c r="B529" s="116"/>
      <c r="C529" s="518" t="str">
        <f>IF(A529&amp;B529="","",VLOOKUP(A529&amp;B529,INSUMOS!C:G,2,0))</f>
        <v/>
      </c>
      <c r="D529" s="519"/>
      <c r="E529" s="117" t="str">
        <f>IF(A529&amp;B529="","",VLOOKUP(A529&amp;B529,INSUMOS!C:G,3,0))</f>
        <v/>
      </c>
      <c r="F529" s="118"/>
      <c r="G529" s="113" t="str">
        <f>IF(A529&amp;B529="","",VLOOKUP(A529&amp;B529,INSUMOS!C:G,4,0))</f>
        <v/>
      </c>
      <c r="H529" s="119" t="str">
        <f t="shared" si="96"/>
        <v/>
      </c>
      <c r="I529" s="119" t="str">
        <f t="shared" si="97"/>
        <v/>
      </c>
      <c r="J529" s="115" t="str">
        <f t="shared" si="98"/>
        <v/>
      </c>
      <c r="K529" s="102" t="str">
        <f>IF(A529&amp;B529="","",VLOOKUP(A529&amp;B529,INSUMOS!C:G,5,0))</f>
        <v/>
      </c>
    </row>
    <row r="530" spans="1:17" ht="15" x14ac:dyDescent="0.25">
      <c r="A530" s="109"/>
      <c r="B530" s="116"/>
      <c r="C530" s="518" t="str">
        <f>IF(A530&amp;B530="","",VLOOKUP(A530&amp;B530,INSUMOS!C:G,2,0))</f>
        <v/>
      </c>
      <c r="D530" s="519"/>
      <c r="E530" s="117" t="str">
        <f>IF(A530&amp;B530="","",VLOOKUP(A530&amp;B530,INSUMOS!C:G,3,0))</f>
        <v/>
      </c>
      <c r="F530" s="118"/>
      <c r="G530" s="113" t="str">
        <f>IF(A530&amp;B530="","",VLOOKUP(A530&amp;B530,INSUMOS!C:G,4,0))</f>
        <v/>
      </c>
      <c r="H530" s="119" t="str">
        <f t="shared" si="96"/>
        <v/>
      </c>
      <c r="I530" s="119" t="str">
        <f t="shared" si="97"/>
        <v/>
      </c>
      <c r="J530" s="115" t="str">
        <f t="shared" si="98"/>
        <v/>
      </c>
      <c r="K530" s="102" t="str">
        <f>IF(A530&amp;B530="","",VLOOKUP(A530&amp;B530,INSUMOS!C:G,5,0))</f>
        <v/>
      </c>
    </row>
    <row r="531" spans="1:17" ht="15" x14ac:dyDescent="0.25">
      <c r="A531" s="109"/>
      <c r="B531" s="116"/>
      <c r="C531" s="518" t="str">
        <f>IF(A531&amp;B531="","",VLOOKUP(A531&amp;B531,INSUMOS!C:G,2,0))</f>
        <v/>
      </c>
      <c r="D531" s="519"/>
      <c r="E531" s="117" t="str">
        <f>IF(A531&amp;B531="","",VLOOKUP(A531&amp;B531,INSUMOS!C:G,3,0))</f>
        <v/>
      </c>
      <c r="F531" s="118"/>
      <c r="G531" s="113" t="str">
        <f>IF(A531&amp;B531="","",VLOOKUP(A531&amp;B531,INSUMOS!C:G,4,0))</f>
        <v/>
      </c>
      <c r="H531" s="119" t="str">
        <f t="shared" si="96"/>
        <v/>
      </c>
      <c r="I531" s="119" t="str">
        <f t="shared" si="97"/>
        <v/>
      </c>
      <c r="J531" s="115" t="str">
        <f t="shared" si="98"/>
        <v/>
      </c>
      <c r="K531" s="102" t="str">
        <f>IF(A531&amp;B531="","",VLOOKUP(A531&amp;B531,INSUMOS!C:G,5,0))</f>
        <v/>
      </c>
    </row>
    <row r="532" spans="1:17" ht="15" x14ac:dyDescent="0.25">
      <c r="A532" s="109"/>
      <c r="B532" s="116"/>
      <c r="C532" s="518" t="str">
        <f>IF(A532&amp;B532="","",VLOOKUP(A532&amp;B532,INSUMOS!C:G,2,0))</f>
        <v/>
      </c>
      <c r="D532" s="519"/>
      <c r="E532" s="117" t="str">
        <f>IF(A532&amp;B532="","",VLOOKUP(A532&amp;B532,INSUMOS!C:G,3,0))</f>
        <v/>
      </c>
      <c r="F532" s="118"/>
      <c r="G532" s="113" t="str">
        <f>IF(A532&amp;B532="","",VLOOKUP(A532&amp;B532,INSUMOS!C:G,4,0))</f>
        <v/>
      </c>
      <c r="H532" s="119" t="str">
        <f t="shared" si="96"/>
        <v/>
      </c>
      <c r="I532" s="119" t="str">
        <f t="shared" si="97"/>
        <v/>
      </c>
      <c r="J532" s="115" t="str">
        <f t="shared" si="98"/>
        <v/>
      </c>
      <c r="K532" s="102" t="str">
        <f>IF(A532&amp;B532="","",VLOOKUP(A532&amp;B532,INSUMOS!C:G,5,0))</f>
        <v/>
      </c>
    </row>
    <row r="533" spans="1:17" ht="15" x14ac:dyDescent="0.25">
      <c r="A533" s="109"/>
      <c r="B533" s="116"/>
      <c r="C533" s="518" t="str">
        <f>IF(A533&amp;B533="","",VLOOKUP(A533&amp;B533,INSUMOS!C:G,2,0))</f>
        <v/>
      </c>
      <c r="D533" s="519"/>
      <c r="E533" s="117" t="str">
        <f>IF(A533&amp;B533="","",VLOOKUP(A533&amp;B533,INSUMOS!C:G,3,0))</f>
        <v/>
      </c>
      <c r="F533" s="118"/>
      <c r="G533" s="113" t="str">
        <f>IF(A533&amp;B533="","",VLOOKUP(A533&amp;B533,INSUMOS!C:G,4,0))</f>
        <v/>
      </c>
      <c r="H533" s="119" t="str">
        <f t="shared" si="96"/>
        <v/>
      </c>
      <c r="I533" s="119" t="str">
        <f t="shared" si="97"/>
        <v/>
      </c>
      <c r="J533" s="115" t="str">
        <f t="shared" si="98"/>
        <v/>
      </c>
      <c r="K533" s="102" t="str">
        <f>IF(A533&amp;B533="","",VLOOKUP(A533&amp;B533,INSUMOS!C:G,5,0))</f>
        <v/>
      </c>
    </row>
    <row r="534" spans="1:17" ht="15" x14ac:dyDescent="0.25">
      <c r="A534" s="109"/>
      <c r="B534" s="116"/>
      <c r="C534" s="518" t="str">
        <f>IF(A534&amp;B534="","",VLOOKUP(A534&amp;B534,INSUMOS!C:G,2,0))</f>
        <v/>
      </c>
      <c r="D534" s="519"/>
      <c r="E534" s="117" t="str">
        <f>IF(A534&amp;B534="","",VLOOKUP(A534&amp;B534,INSUMOS!C:G,3,0))</f>
        <v/>
      </c>
      <c r="F534" s="118"/>
      <c r="G534" s="113" t="str">
        <f>IF(A534&amp;B534="","",VLOOKUP(A534&amp;B534,INSUMOS!C:G,4,0))</f>
        <v/>
      </c>
      <c r="H534" s="119" t="str">
        <f t="shared" si="96"/>
        <v/>
      </c>
      <c r="I534" s="119" t="str">
        <f t="shared" si="97"/>
        <v/>
      </c>
      <c r="J534" s="115" t="str">
        <f t="shared" si="98"/>
        <v/>
      </c>
      <c r="K534" s="102" t="str">
        <f>IF(A534&amp;B534="","",VLOOKUP(A534&amp;B534,INSUMOS!C:G,5,0))</f>
        <v/>
      </c>
    </row>
    <row r="535" spans="1:17" ht="15" x14ac:dyDescent="0.25">
      <c r="A535" s="120"/>
      <c r="B535" s="121"/>
      <c r="C535" s="518" t="str">
        <f>IF(A535&amp;B535="","",VLOOKUP(A535&amp;B535,INSUMOS!C:G,2,0))</f>
        <v/>
      </c>
      <c r="D535" s="519"/>
      <c r="E535" s="117" t="str">
        <f>IF(A535&amp;B535="","",VLOOKUP(A535&amp;B535,INSUMOS!C:G,3,0))</f>
        <v/>
      </c>
      <c r="F535" s="118"/>
      <c r="G535" s="122" t="str">
        <f>IF(A535&amp;B535="","",VLOOKUP(A535&amp;B535,INSUMOS!C:G,4,0))</f>
        <v/>
      </c>
      <c r="H535" s="119" t="str">
        <f t="shared" si="96"/>
        <v/>
      </c>
      <c r="I535" s="119" t="str">
        <f t="shared" si="97"/>
        <v/>
      </c>
      <c r="J535" s="115" t="str">
        <f t="shared" si="98"/>
        <v/>
      </c>
      <c r="K535" s="102" t="str">
        <f>IF(A535&amp;B535="","",VLOOKUP(A535&amp;B535,INSUMOS!C:G,5,0))</f>
        <v/>
      </c>
    </row>
    <row r="536" spans="1:17" ht="15" x14ac:dyDescent="0.25">
      <c r="A536" s="120"/>
      <c r="B536" s="121"/>
      <c r="C536" s="518" t="str">
        <f>IF(A536&amp;B536="","",VLOOKUP(A536&amp;B536,INSUMOS!C:G,2,0))</f>
        <v/>
      </c>
      <c r="D536" s="519"/>
      <c r="E536" s="117" t="str">
        <f>IF(A536&amp;B536="","",VLOOKUP(A536&amp;B536,INSUMOS!C:G,3,0))</f>
        <v/>
      </c>
      <c r="F536" s="118"/>
      <c r="G536" s="122" t="str">
        <f>IF(A536&amp;B536="","",VLOOKUP(A536&amp;B536,INSUMOS!C:G,4,0))</f>
        <v/>
      </c>
      <c r="H536" s="119" t="str">
        <f t="shared" si="96"/>
        <v/>
      </c>
      <c r="I536" s="119" t="str">
        <f t="shared" si="97"/>
        <v/>
      </c>
      <c r="J536" s="115" t="str">
        <f t="shared" si="98"/>
        <v/>
      </c>
      <c r="K536" s="102" t="str">
        <f>IF(A536&amp;B536="","",VLOOKUP(A536&amp;B536,INSUMOS!C:G,5,0))</f>
        <v/>
      </c>
    </row>
    <row r="537" spans="1:17" ht="15" x14ac:dyDescent="0.25">
      <c r="A537" s="120"/>
      <c r="B537" s="121"/>
      <c r="C537" s="518" t="str">
        <f>IF(A537&amp;B537="","",VLOOKUP(A537&amp;B537,INSUMOS!C:G,2,0))</f>
        <v/>
      </c>
      <c r="D537" s="519"/>
      <c r="E537" s="117" t="str">
        <f>IF(A537&amp;B537="","",VLOOKUP(A537&amp;B537,INSUMOS!C:G,3,0))</f>
        <v/>
      </c>
      <c r="F537" s="118"/>
      <c r="G537" s="122" t="str">
        <f>IF(A537&amp;B537="","",VLOOKUP(A537&amp;B537,INSUMOS!C:G,4,0))</f>
        <v/>
      </c>
      <c r="H537" s="119" t="str">
        <f t="shared" si="96"/>
        <v/>
      </c>
      <c r="I537" s="119" t="str">
        <f t="shared" si="97"/>
        <v/>
      </c>
      <c r="J537" s="115" t="str">
        <f t="shared" si="98"/>
        <v/>
      </c>
      <c r="K537" s="102" t="str">
        <f>IF(A537&amp;B537="","",VLOOKUP(A537&amp;B537,INSUMOS!C:G,5,0))</f>
        <v/>
      </c>
    </row>
    <row r="538" spans="1:17" ht="15" x14ac:dyDescent="0.25">
      <c r="A538" s="123" t="s">
        <v>4399</v>
      </c>
      <c r="B538" s="520"/>
      <c r="C538" s="520"/>
      <c r="D538" s="520"/>
      <c r="E538" s="520"/>
      <c r="F538" s="521"/>
      <c r="G538" s="124" t="s">
        <v>50</v>
      </c>
      <c r="H538" s="125">
        <f>SUM(H525:H537)</f>
        <v>0</v>
      </c>
      <c r="I538" s="125">
        <f>SUM(I525:I537)</f>
        <v>3262.26</v>
      </c>
      <c r="J538" s="126">
        <f>SUM(J525:J537)</f>
        <v>0</v>
      </c>
    </row>
    <row r="539" spans="1:17" ht="15" x14ac:dyDescent="0.25">
      <c r="A539" s="127" t="s">
        <v>4400</v>
      </c>
      <c r="B539" s="128"/>
      <c r="C539" s="128"/>
      <c r="D539" s="127" t="s">
        <v>51</v>
      </c>
      <c r="E539" s="128"/>
      <c r="F539" s="129"/>
      <c r="G539" s="130" t="s">
        <v>55</v>
      </c>
      <c r="H539" s="131" t="s">
        <v>52</v>
      </c>
      <c r="I539" s="132"/>
      <c r="J539" s="125">
        <f>SUM(H538:J538)</f>
        <v>3262.26</v>
      </c>
    </row>
    <row r="540" spans="1:17" ht="15" x14ac:dyDescent="0.25">
      <c r="A540" s="313" t="str">
        <f>$I$3</f>
        <v>Carlos Wieck</v>
      </c>
      <c r="B540" s="133"/>
      <c r="C540" s="133"/>
      <c r="D540" s="134"/>
      <c r="E540" s="133"/>
      <c r="F540" s="135"/>
      <c r="G540" s="522">
        <f>$J$5</f>
        <v>43040</v>
      </c>
      <c r="H540" s="136" t="s">
        <v>53</v>
      </c>
      <c r="I540" s="137"/>
      <c r="J540" s="125">
        <f>TRUNC(I540*J539,2)</f>
        <v>0</v>
      </c>
    </row>
    <row r="541" spans="1:17" ht="15" x14ac:dyDescent="0.25">
      <c r="A541" s="138"/>
      <c r="B541" s="139"/>
      <c r="C541" s="139"/>
      <c r="D541" s="138"/>
      <c r="E541" s="139"/>
      <c r="F541" s="140"/>
      <c r="G541" s="523"/>
      <c r="H541" s="141" t="s">
        <v>54</v>
      </c>
      <c r="I541" s="142"/>
      <c r="J541" s="143">
        <f>J540+J539</f>
        <v>3262.26</v>
      </c>
      <c r="L541" s="102" t="str">
        <f>A522</f>
        <v>COMPOSIÇÃO</v>
      </c>
      <c r="M541" s="144" t="str">
        <f>B522</f>
        <v>FF-012</v>
      </c>
      <c r="N541" s="102" t="str">
        <f>L541&amp;M541</f>
        <v>COMPOSIÇÃOFF-012</v>
      </c>
      <c r="O541" s="103" t="str">
        <f>D521</f>
        <v>CX 02-D - Painel (0,44x2,56m) de policarbonato alveolar de 40mm e porta de madeira à esquerda, abertura anti-horário, com bandeira basculante dim.1,44x2,56m. Fornecimento e instalação</v>
      </c>
      <c r="P541" s="145" t="str">
        <f>J522</f>
        <v>un</v>
      </c>
      <c r="Q541" s="145">
        <f>J541</f>
        <v>3262.26</v>
      </c>
    </row>
    <row r="542" spans="1:17" ht="15" customHeight="1" x14ac:dyDescent="0.25">
      <c r="A542" s="524" t="s">
        <v>40</v>
      </c>
      <c r="B542" s="525"/>
      <c r="C542" s="104" t="s">
        <v>41</v>
      </c>
      <c r="D542" s="526" t="str">
        <f>IF(B543="","",VLOOKUP(B543,SERVIÇOS!B:E,3,0))</f>
        <v>CX 03-A - Porta de madeira - estruturada com fechamento de chapa de compensado 6mm - tipo camarão em dois pares de folhas, suspensa por trilho superior e com guia inferior embutida no piso dim.3,00x2,56m. Fornecimento e instalação</v>
      </c>
      <c r="E542" s="526"/>
      <c r="F542" s="526"/>
      <c r="G542" s="526"/>
      <c r="H542" s="526"/>
      <c r="I542" s="527"/>
      <c r="J542" s="105" t="s">
        <v>42</v>
      </c>
    </row>
    <row r="543" spans="1:17" ht="15" x14ac:dyDescent="0.25">
      <c r="A543" s="230" t="s">
        <v>4715</v>
      </c>
      <c r="B543" s="230" t="s">
        <v>4893</v>
      </c>
      <c r="C543" s="106"/>
      <c r="D543" s="528"/>
      <c r="E543" s="528"/>
      <c r="F543" s="528"/>
      <c r="G543" s="528"/>
      <c r="H543" s="528"/>
      <c r="I543" s="529"/>
      <c r="J543" s="107" t="str">
        <f>IF(B543="","",VLOOKUP(B543,SERVIÇOS!B:E,4,0))</f>
        <v>un</v>
      </c>
    </row>
    <row r="544" spans="1:17" ht="15" x14ac:dyDescent="0.25">
      <c r="A544" s="530" t="s">
        <v>4397</v>
      </c>
      <c r="B544" s="531" t="s">
        <v>11</v>
      </c>
      <c r="C544" s="533" t="s">
        <v>43</v>
      </c>
      <c r="D544" s="534"/>
      <c r="E544" s="530" t="s">
        <v>13</v>
      </c>
      <c r="F544" s="530" t="s">
        <v>44</v>
      </c>
      <c r="G544" s="538" t="s">
        <v>45</v>
      </c>
      <c r="H544" s="108" t="s">
        <v>46</v>
      </c>
      <c r="I544" s="108"/>
      <c r="J544" s="108"/>
    </row>
    <row r="545" spans="1:11" ht="15" x14ac:dyDescent="0.25">
      <c r="A545" s="530"/>
      <c r="B545" s="532"/>
      <c r="C545" s="535"/>
      <c r="D545" s="536"/>
      <c r="E545" s="537"/>
      <c r="F545" s="537"/>
      <c r="G545" s="539"/>
      <c r="H545" s="108" t="s">
        <v>47</v>
      </c>
      <c r="I545" s="108" t="s">
        <v>48</v>
      </c>
      <c r="J545" s="108" t="s">
        <v>49</v>
      </c>
    </row>
    <row r="546" spans="1:11" ht="45" customHeight="1" x14ac:dyDescent="0.25">
      <c r="A546" s="109" t="s">
        <v>4717</v>
      </c>
      <c r="B546" s="116" t="s">
        <v>4864</v>
      </c>
      <c r="C546" s="540" t="str">
        <f>IF(A546&amp;B546="","",VLOOKUP(A546&amp;B546,INSUMOS!C:G,2,0))</f>
        <v>CX 03-A - Porta de madeira - estruturada com fechamento de chapa de compensado 6mm - tipo camarão em dois pares de folhas, suspensa por trilho superior e com guia inferior embutida no piso dim.3,00x2,56m. Fornecimento e instalação</v>
      </c>
      <c r="D546" s="541"/>
      <c r="E546" s="111" t="str">
        <f>IF(A546&amp;B546="","",VLOOKUP(A546&amp;B546,INSUMOS!C:G,3,0))</f>
        <v>un</v>
      </c>
      <c r="F546" s="112">
        <v>1</v>
      </c>
      <c r="G546" s="113">
        <f>IF(A546&amp;B546="","",VLOOKUP(A546&amp;B546,INSUMOS!C:G,4,0))</f>
        <v>9930.8485000000001</v>
      </c>
      <c r="H546" s="114" t="str">
        <f>IF(K546="MO",TRUNC(F546*G546,2),"")</f>
        <v/>
      </c>
      <c r="I546" s="114">
        <f>IF(K546="MT",TRUNC(F546*G546,2),"")</f>
        <v>9930.84</v>
      </c>
      <c r="J546" s="115" t="str">
        <f>IF(K546="EQ",TRUNC(F546*G546,2),"")</f>
        <v/>
      </c>
      <c r="K546" s="102" t="str">
        <f>IF(A546&amp;B546="","",VLOOKUP(A546&amp;B546,INSUMOS!C:G,5,0))</f>
        <v>MT</v>
      </c>
    </row>
    <row r="547" spans="1:11" ht="15" x14ac:dyDescent="0.25">
      <c r="A547" s="109" t="s">
        <v>4717</v>
      </c>
      <c r="B547" s="116" t="s">
        <v>4859</v>
      </c>
      <c r="C547" s="518" t="str">
        <f>IF(A547&amp;B547="","",VLOOKUP(A547&amp;B547,INSUMOS!C:G,2,0))</f>
        <v>Policarbonato 40mm - Fechamento de Caixilhos, sistema Arkowall ou equivalente técnico</v>
      </c>
      <c r="D547" s="519"/>
      <c r="E547" s="117" t="str">
        <f>IF(A547&amp;B547="","",VLOOKUP(A547&amp;B547,INSUMOS!C:G,3,0))</f>
        <v>m²</v>
      </c>
      <c r="F547" s="118">
        <f>3*2.56</f>
        <v>7.68</v>
      </c>
      <c r="G547" s="113">
        <f>IF(A547&amp;B547="","",VLOOKUP(A547&amp;B547,INSUMOS!C:G,4,0))</f>
        <v>251.73052999999999</v>
      </c>
      <c r="H547" s="119" t="str">
        <f t="shared" ref="H547:H558" si="99">IF(K547="MO",TRUNC(F547*G547,2),"")</f>
        <v/>
      </c>
      <c r="I547" s="119">
        <f t="shared" ref="I547:I558" si="100">IF(K547="MT",TRUNC(F547*G547,2),"")</f>
        <v>1933.29</v>
      </c>
      <c r="J547" s="115" t="str">
        <f t="shared" ref="J547:J558" si="101">IF(K547="EQ",TRUNC(F547*G547,2),"")</f>
        <v/>
      </c>
      <c r="K547" s="102" t="str">
        <f>IF(A547&amp;B547="","",VLOOKUP(A547&amp;B547,INSUMOS!C:G,5,0))</f>
        <v>MT</v>
      </c>
    </row>
    <row r="548" spans="1:11" ht="15" x14ac:dyDescent="0.25">
      <c r="A548" s="109" t="s">
        <v>4717</v>
      </c>
      <c r="B548" s="116" t="s">
        <v>4979</v>
      </c>
      <c r="C548" s="518" t="str">
        <f>IF(A548&amp;B548="","",VLOOKUP(A548&amp;B548,INSUMOS!C:G,2,0))</f>
        <v>Acessórios e instalações do sistema de policarbonato</v>
      </c>
      <c r="D548" s="519"/>
      <c r="E548" s="117" t="str">
        <f>IF(A548&amp;B548="","",VLOOKUP(A548&amp;B548,INSUMOS!C:G,3,0))</f>
        <v>m²</v>
      </c>
      <c r="F548" s="118">
        <f>F547</f>
        <v>7.68</v>
      </c>
      <c r="G548" s="113">
        <f>IF(A548&amp;B548="","",VLOOKUP(A548&amp;B548,INSUMOS!C:G,4,0))</f>
        <v>313.75124</v>
      </c>
      <c r="H548" s="119" t="str">
        <f t="shared" si="99"/>
        <v/>
      </c>
      <c r="I548" s="119">
        <f t="shared" si="100"/>
        <v>2409.6</v>
      </c>
      <c r="J548" s="115" t="str">
        <f t="shared" si="101"/>
        <v/>
      </c>
      <c r="K548" s="102" t="str">
        <f>IF(A548&amp;B548="","",VLOOKUP(A548&amp;B548,INSUMOS!C:G,5,0))</f>
        <v>MT</v>
      </c>
    </row>
    <row r="549" spans="1:11" ht="15" x14ac:dyDescent="0.25">
      <c r="A549" s="109"/>
      <c r="B549" s="116"/>
      <c r="C549" s="518" t="str">
        <f>IF(A549&amp;B549="","",VLOOKUP(A549&amp;B549,INSUMOS!C:G,2,0))</f>
        <v/>
      </c>
      <c r="D549" s="519"/>
      <c r="E549" s="117" t="str">
        <f>IF(A549&amp;B549="","",VLOOKUP(A549&amp;B549,INSUMOS!C:G,3,0))</f>
        <v/>
      </c>
      <c r="F549" s="118"/>
      <c r="G549" s="113" t="str">
        <f>IF(A549&amp;B549="","",VLOOKUP(A549&amp;B549,INSUMOS!C:G,4,0))</f>
        <v/>
      </c>
      <c r="H549" s="119" t="str">
        <f t="shared" si="99"/>
        <v/>
      </c>
      <c r="I549" s="119" t="str">
        <f t="shared" si="100"/>
        <v/>
      </c>
      <c r="J549" s="115" t="str">
        <f t="shared" si="101"/>
        <v/>
      </c>
      <c r="K549" s="102" t="str">
        <f>IF(A549&amp;B549="","",VLOOKUP(A549&amp;B549,INSUMOS!C:G,5,0))</f>
        <v/>
      </c>
    </row>
    <row r="550" spans="1:11" ht="15" x14ac:dyDescent="0.25">
      <c r="A550" s="109"/>
      <c r="B550" s="116"/>
      <c r="C550" s="518" t="str">
        <f>IF(A550&amp;B550="","",VLOOKUP(A550&amp;B550,INSUMOS!C:G,2,0))</f>
        <v/>
      </c>
      <c r="D550" s="519"/>
      <c r="E550" s="117" t="str">
        <f>IF(A550&amp;B550="","",VLOOKUP(A550&amp;B550,INSUMOS!C:G,3,0))</f>
        <v/>
      </c>
      <c r="F550" s="118"/>
      <c r="G550" s="113" t="str">
        <f>IF(A550&amp;B550="","",VLOOKUP(A550&amp;B550,INSUMOS!C:G,4,0))</f>
        <v/>
      </c>
      <c r="H550" s="119" t="str">
        <f t="shared" si="99"/>
        <v/>
      </c>
      <c r="I550" s="119" t="str">
        <f t="shared" si="100"/>
        <v/>
      </c>
      <c r="J550" s="115" t="str">
        <f t="shared" si="101"/>
        <v/>
      </c>
      <c r="K550" s="102" t="str">
        <f>IF(A550&amp;B550="","",VLOOKUP(A550&amp;B550,INSUMOS!C:G,5,0))</f>
        <v/>
      </c>
    </row>
    <row r="551" spans="1:11" ht="15" x14ac:dyDescent="0.25">
      <c r="A551" s="109"/>
      <c r="B551" s="116"/>
      <c r="C551" s="518" t="str">
        <f>IF(A551&amp;B551="","",VLOOKUP(A551&amp;B551,INSUMOS!C:G,2,0))</f>
        <v/>
      </c>
      <c r="D551" s="519"/>
      <c r="E551" s="117" t="str">
        <f>IF(A551&amp;B551="","",VLOOKUP(A551&amp;B551,INSUMOS!C:G,3,0))</f>
        <v/>
      </c>
      <c r="F551" s="118"/>
      <c r="G551" s="113" t="str">
        <f>IF(A551&amp;B551="","",VLOOKUP(A551&amp;B551,INSUMOS!C:G,4,0))</f>
        <v/>
      </c>
      <c r="H551" s="119" t="str">
        <f t="shared" si="99"/>
        <v/>
      </c>
      <c r="I551" s="119" t="str">
        <f t="shared" si="100"/>
        <v/>
      </c>
      <c r="J551" s="115" t="str">
        <f t="shared" si="101"/>
        <v/>
      </c>
      <c r="K551" s="102" t="str">
        <f>IF(A551&amp;B551="","",VLOOKUP(A551&amp;B551,INSUMOS!C:G,5,0))</f>
        <v/>
      </c>
    </row>
    <row r="552" spans="1:11" ht="15" x14ac:dyDescent="0.25">
      <c r="A552" s="109"/>
      <c r="B552" s="116"/>
      <c r="C552" s="518" t="str">
        <f>IF(A552&amp;B552="","",VLOOKUP(A552&amp;B552,INSUMOS!C:G,2,0))</f>
        <v/>
      </c>
      <c r="D552" s="519"/>
      <c r="E552" s="117" t="str">
        <f>IF(A552&amp;B552="","",VLOOKUP(A552&amp;B552,INSUMOS!C:G,3,0))</f>
        <v/>
      </c>
      <c r="F552" s="118"/>
      <c r="G552" s="113" t="str">
        <f>IF(A552&amp;B552="","",VLOOKUP(A552&amp;B552,INSUMOS!C:G,4,0))</f>
        <v/>
      </c>
      <c r="H552" s="119" t="str">
        <f t="shared" si="99"/>
        <v/>
      </c>
      <c r="I552" s="119" t="str">
        <f t="shared" si="100"/>
        <v/>
      </c>
      <c r="J552" s="115" t="str">
        <f t="shared" si="101"/>
        <v/>
      </c>
      <c r="K552" s="102" t="str">
        <f>IF(A552&amp;B552="","",VLOOKUP(A552&amp;B552,INSUMOS!C:G,5,0))</f>
        <v/>
      </c>
    </row>
    <row r="553" spans="1:11" ht="15" x14ac:dyDescent="0.25">
      <c r="A553" s="109"/>
      <c r="B553" s="116"/>
      <c r="C553" s="518" t="str">
        <f>IF(A553&amp;B553="","",VLOOKUP(A553&amp;B553,INSUMOS!C:G,2,0))</f>
        <v/>
      </c>
      <c r="D553" s="519"/>
      <c r="E553" s="117" t="str">
        <f>IF(A553&amp;B553="","",VLOOKUP(A553&amp;B553,INSUMOS!C:G,3,0))</f>
        <v/>
      </c>
      <c r="F553" s="118"/>
      <c r="G553" s="113" t="str">
        <f>IF(A553&amp;B553="","",VLOOKUP(A553&amp;B553,INSUMOS!C:G,4,0))</f>
        <v/>
      </c>
      <c r="H553" s="119" t="str">
        <f t="shared" si="99"/>
        <v/>
      </c>
      <c r="I553" s="119" t="str">
        <f t="shared" si="100"/>
        <v/>
      </c>
      <c r="J553" s="115" t="str">
        <f t="shared" si="101"/>
        <v/>
      </c>
      <c r="K553" s="102" t="str">
        <f>IF(A553&amp;B553="","",VLOOKUP(A553&amp;B553,INSUMOS!C:G,5,0))</f>
        <v/>
      </c>
    </row>
    <row r="554" spans="1:11" ht="15" x14ac:dyDescent="0.25">
      <c r="A554" s="109"/>
      <c r="B554" s="116"/>
      <c r="C554" s="518" t="str">
        <f>IF(A554&amp;B554="","",VLOOKUP(A554&amp;B554,INSUMOS!C:G,2,0))</f>
        <v/>
      </c>
      <c r="D554" s="519"/>
      <c r="E554" s="117" t="str">
        <f>IF(A554&amp;B554="","",VLOOKUP(A554&amp;B554,INSUMOS!C:G,3,0))</f>
        <v/>
      </c>
      <c r="F554" s="118"/>
      <c r="G554" s="113" t="str">
        <f>IF(A554&amp;B554="","",VLOOKUP(A554&amp;B554,INSUMOS!C:G,4,0))</f>
        <v/>
      </c>
      <c r="H554" s="119" t="str">
        <f t="shared" si="99"/>
        <v/>
      </c>
      <c r="I554" s="119" t="str">
        <f t="shared" si="100"/>
        <v/>
      </c>
      <c r="J554" s="115" t="str">
        <f t="shared" si="101"/>
        <v/>
      </c>
      <c r="K554" s="102" t="str">
        <f>IF(A554&amp;B554="","",VLOOKUP(A554&amp;B554,INSUMOS!C:G,5,0))</f>
        <v/>
      </c>
    </row>
    <row r="555" spans="1:11" ht="15" x14ac:dyDescent="0.25">
      <c r="A555" s="109"/>
      <c r="B555" s="116"/>
      <c r="C555" s="518" t="str">
        <f>IF(A555&amp;B555="","",VLOOKUP(A555&amp;B555,INSUMOS!C:G,2,0))</f>
        <v/>
      </c>
      <c r="D555" s="519"/>
      <c r="E555" s="117" t="str">
        <f>IF(A555&amp;B555="","",VLOOKUP(A555&amp;B555,INSUMOS!C:G,3,0))</f>
        <v/>
      </c>
      <c r="F555" s="118"/>
      <c r="G555" s="113" t="str">
        <f>IF(A555&amp;B555="","",VLOOKUP(A555&amp;B555,INSUMOS!C:G,4,0))</f>
        <v/>
      </c>
      <c r="H555" s="119" t="str">
        <f t="shared" si="99"/>
        <v/>
      </c>
      <c r="I555" s="119" t="str">
        <f t="shared" si="100"/>
        <v/>
      </c>
      <c r="J555" s="115" t="str">
        <f t="shared" si="101"/>
        <v/>
      </c>
      <c r="K555" s="102" t="str">
        <f>IF(A555&amp;B555="","",VLOOKUP(A555&amp;B555,INSUMOS!C:G,5,0))</f>
        <v/>
      </c>
    </row>
    <row r="556" spans="1:11" ht="15" x14ac:dyDescent="0.25">
      <c r="A556" s="120"/>
      <c r="B556" s="121"/>
      <c r="C556" s="518" t="str">
        <f>IF(A556&amp;B556="","",VLOOKUP(A556&amp;B556,INSUMOS!C:G,2,0))</f>
        <v/>
      </c>
      <c r="D556" s="519"/>
      <c r="E556" s="117" t="str">
        <f>IF(A556&amp;B556="","",VLOOKUP(A556&amp;B556,INSUMOS!C:G,3,0))</f>
        <v/>
      </c>
      <c r="F556" s="118"/>
      <c r="G556" s="122" t="str">
        <f>IF(A556&amp;B556="","",VLOOKUP(A556&amp;B556,INSUMOS!C:G,4,0))</f>
        <v/>
      </c>
      <c r="H556" s="119" t="str">
        <f t="shared" si="99"/>
        <v/>
      </c>
      <c r="I556" s="119" t="str">
        <f t="shared" si="100"/>
        <v/>
      </c>
      <c r="J556" s="115" t="str">
        <f t="shared" si="101"/>
        <v/>
      </c>
      <c r="K556" s="102" t="str">
        <f>IF(A556&amp;B556="","",VLOOKUP(A556&amp;B556,INSUMOS!C:G,5,0))</f>
        <v/>
      </c>
    </row>
    <row r="557" spans="1:11" ht="15" x14ac:dyDescent="0.25">
      <c r="A557" s="120"/>
      <c r="B557" s="121"/>
      <c r="C557" s="518" t="str">
        <f>IF(A557&amp;B557="","",VLOOKUP(A557&amp;B557,INSUMOS!C:G,2,0))</f>
        <v/>
      </c>
      <c r="D557" s="519"/>
      <c r="E557" s="117" t="str">
        <f>IF(A557&amp;B557="","",VLOOKUP(A557&amp;B557,INSUMOS!C:G,3,0))</f>
        <v/>
      </c>
      <c r="F557" s="118"/>
      <c r="G557" s="122" t="str">
        <f>IF(A557&amp;B557="","",VLOOKUP(A557&amp;B557,INSUMOS!C:G,4,0))</f>
        <v/>
      </c>
      <c r="H557" s="119" t="str">
        <f t="shared" si="99"/>
        <v/>
      </c>
      <c r="I557" s="119" t="str">
        <f t="shared" si="100"/>
        <v/>
      </c>
      <c r="J557" s="115" t="str">
        <f t="shared" si="101"/>
        <v/>
      </c>
      <c r="K557" s="102" t="str">
        <f>IF(A557&amp;B557="","",VLOOKUP(A557&amp;B557,INSUMOS!C:G,5,0))</f>
        <v/>
      </c>
    </row>
    <row r="558" spans="1:11" ht="15" x14ac:dyDescent="0.25">
      <c r="A558" s="120"/>
      <c r="B558" s="121"/>
      <c r="C558" s="518" t="str">
        <f>IF(A558&amp;B558="","",VLOOKUP(A558&amp;B558,INSUMOS!C:G,2,0))</f>
        <v/>
      </c>
      <c r="D558" s="519"/>
      <c r="E558" s="117" t="str">
        <f>IF(A558&amp;B558="","",VLOOKUP(A558&amp;B558,INSUMOS!C:G,3,0))</f>
        <v/>
      </c>
      <c r="F558" s="118"/>
      <c r="G558" s="122" t="str">
        <f>IF(A558&amp;B558="","",VLOOKUP(A558&amp;B558,INSUMOS!C:G,4,0))</f>
        <v/>
      </c>
      <c r="H558" s="119" t="str">
        <f t="shared" si="99"/>
        <v/>
      </c>
      <c r="I558" s="119" t="str">
        <f t="shared" si="100"/>
        <v/>
      </c>
      <c r="J558" s="115" t="str">
        <f t="shared" si="101"/>
        <v/>
      </c>
      <c r="K558" s="102" t="str">
        <f>IF(A558&amp;B558="","",VLOOKUP(A558&amp;B558,INSUMOS!C:G,5,0))</f>
        <v/>
      </c>
    </row>
    <row r="559" spans="1:11" ht="15" x14ac:dyDescent="0.25">
      <c r="A559" s="123" t="s">
        <v>4399</v>
      </c>
      <c r="B559" s="520"/>
      <c r="C559" s="520"/>
      <c r="D559" s="520"/>
      <c r="E559" s="520"/>
      <c r="F559" s="521"/>
      <c r="G559" s="124" t="s">
        <v>50</v>
      </c>
      <c r="H559" s="125">
        <f>SUM(H546:H558)</f>
        <v>0</v>
      </c>
      <c r="I559" s="125">
        <f>SUM(I546:I558)</f>
        <v>14273.730000000001</v>
      </c>
      <c r="J559" s="126">
        <f>SUM(J546:J558)</f>
        <v>0</v>
      </c>
    </row>
    <row r="560" spans="1:11" ht="15" x14ac:dyDescent="0.25">
      <c r="A560" s="127" t="s">
        <v>4400</v>
      </c>
      <c r="B560" s="128"/>
      <c r="C560" s="128"/>
      <c r="D560" s="127" t="s">
        <v>51</v>
      </c>
      <c r="E560" s="128"/>
      <c r="F560" s="129"/>
      <c r="G560" s="130" t="s">
        <v>55</v>
      </c>
      <c r="H560" s="131" t="s">
        <v>52</v>
      </c>
      <c r="I560" s="132"/>
      <c r="J560" s="125">
        <f>SUM(H559:J559)</f>
        <v>14273.730000000001</v>
      </c>
    </row>
    <row r="561" spans="1:17" ht="15" x14ac:dyDescent="0.25">
      <c r="A561" s="313" t="str">
        <f>$I$3</f>
        <v>Carlos Wieck</v>
      </c>
      <c r="B561" s="133"/>
      <c r="C561" s="133"/>
      <c r="D561" s="134"/>
      <c r="E561" s="133"/>
      <c r="F561" s="135"/>
      <c r="G561" s="522">
        <f>$J$5</f>
        <v>43040</v>
      </c>
      <c r="H561" s="136" t="s">
        <v>53</v>
      </c>
      <c r="I561" s="137"/>
      <c r="J561" s="125">
        <f>TRUNC(I561*J560,2)</f>
        <v>0</v>
      </c>
    </row>
    <row r="562" spans="1:17" ht="15" x14ac:dyDescent="0.25">
      <c r="A562" s="138"/>
      <c r="B562" s="139"/>
      <c r="C562" s="139"/>
      <c r="D562" s="138"/>
      <c r="E562" s="139"/>
      <c r="F562" s="140"/>
      <c r="G562" s="523"/>
      <c r="H562" s="141" t="s">
        <v>54</v>
      </c>
      <c r="I562" s="142"/>
      <c r="J562" s="143">
        <f>J561+J560</f>
        <v>14273.730000000001</v>
      </c>
      <c r="L562" s="102" t="str">
        <f>A543</f>
        <v>COMPOSIÇÃO</v>
      </c>
      <c r="M562" s="144" t="str">
        <f>B543</f>
        <v>FF-013</v>
      </c>
      <c r="N562" s="102" t="str">
        <f>L562&amp;M562</f>
        <v>COMPOSIÇÃOFF-013</v>
      </c>
      <c r="O562" s="103" t="str">
        <f>D542</f>
        <v>CX 03-A - Porta de madeira - estruturada com fechamento de chapa de compensado 6mm - tipo camarão em dois pares de folhas, suspensa por trilho superior e com guia inferior embutida no piso dim.3,00x2,56m. Fornecimento e instalação</v>
      </c>
      <c r="P562" s="145" t="str">
        <f>J543</f>
        <v>un</v>
      </c>
      <c r="Q562" s="145">
        <f>J562</f>
        <v>14273.730000000001</v>
      </c>
    </row>
    <row r="563" spans="1:17" ht="15" customHeight="1" x14ac:dyDescent="0.25">
      <c r="A563" s="524" t="s">
        <v>40</v>
      </c>
      <c r="B563" s="525"/>
      <c r="C563" s="104" t="s">
        <v>41</v>
      </c>
      <c r="D563" s="526" t="str">
        <f>IF(B564="","",VLOOKUP(B564,SERVIÇOS!B:E,3,0))</f>
        <v>CX 03-B - Painel de policarbonato alveolar transparente de 40mm e porta de madeira - estruturada com fechamento de chapa de compensado 6mm - tipo camarão em um par de duas folhas, suspensa por trilho superior e com guia inferior embutida no piso dim.3,00x2,56m. Fornecimento e instalação</v>
      </c>
      <c r="E563" s="526"/>
      <c r="F563" s="526"/>
      <c r="G563" s="526"/>
      <c r="H563" s="526"/>
      <c r="I563" s="527"/>
      <c r="J563" s="105" t="s">
        <v>42</v>
      </c>
    </row>
    <row r="564" spans="1:17" ht="15" x14ac:dyDescent="0.25">
      <c r="A564" s="230" t="s">
        <v>4715</v>
      </c>
      <c r="B564" s="230" t="s">
        <v>4894</v>
      </c>
      <c r="C564" s="106"/>
      <c r="D564" s="528"/>
      <c r="E564" s="528"/>
      <c r="F564" s="528"/>
      <c r="G564" s="528"/>
      <c r="H564" s="528"/>
      <c r="I564" s="529"/>
      <c r="J564" s="107" t="str">
        <f>IF(B564="","",VLOOKUP(B564,SERVIÇOS!B:E,4,0))</f>
        <v>un</v>
      </c>
    </row>
    <row r="565" spans="1:17" ht="15" x14ac:dyDescent="0.25">
      <c r="A565" s="530" t="s">
        <v>4397</v>
      </c>
      <c r="B565" s="531" t="s">
        <v>11</v>
      </c>
      <c r="C565" s="533" t="s">
        <v>43</v>
      </c>
      <c r="D565" s="534"/>
      <c r="E565" s="530" t="s">
        <v>13</v>
      </c>
      <c r="F565" s="530" t="s">
        <v>44</v>
      </c>
      <c r="G565" s="538" t="s">
        <v>45</v>
      </c>
      <c r="H565" s="108" t="s">
        <v>46</v>
      </c>
      <c r="I565" s="108"/>
      <c r="J565" s="108"/>
    </row>
    <row r="566" spans="1:17" ht="15" x14ac:dyDescent="0.25">
      <c r="A566" s="530"/>
      <c r="B566" s="532"/>
      <c r="C566" s="535"/>
      <c r="D566" s="536"/>
      <c r="E566" s="537"/>
      <c r="F566" s="537"/>
      <c r="G566" s="539"/>
      <c r="H566" s="108" t="s">
        <v>47</v>
      </c>
      <c r="I566" s="108" t="s">
        <v>48</v>
      </c>
      <c r="J566" s="108" t="s">
        <v>49</v>
      </c>
    </row>
    <row r="567" spans="1:17" ht="45" customHeight="1" x14ac:dyDescent="0.25">
      <c r="A567" s="109" t="s">
        <v>4717</v>
      </c>
      <c r="B567" s="116" t="s">
        <v>4865</v>
      </c>
      <c r="C567" s="540" t="str">
        <f>IF(A567&amp;B567="","",VLOOKUP(A567&amp;B567,INSUMOS!C:G,2,0))</f>
        <v>CX 03-B - Painel de policarbonato alveolar transparente de 40mm e porta de madeira - estruturada com fechamento de chapa de compensado 6mm - tipo camarão em um par de duas folhas, suspensa por trilho superior e com guia inferior embutida no piso dim.3,00x2,56m. Fornecimento e instalação</v>
      </c>
      <c r="D567" s="541"/>
      <c r="E567" s="111" t="str">
        <f>IF(A567&amp;B567="","",VLOOKUP(A567&amp;B567,INSUMOS!C:G,3,0))</f>
        <v>un</v>
      </c>
      <c r="F567" s="112">
        <v>1</v>
      </c>
      <c r="G567" s="113">
        <f>IF(A567&amp;B567="","",VLOOKUP(A567&amp;B567,INSUMOS!C:G,4,0))</f>
        <v>5166.6360199999999</v>
      </c>
      <c r="H567" s="114" t="str">
        <f>IF(K567="MO",TRUNC(F567*G567,2),"")</f>
        <v/>
      </c>
      <c r="I567" s="114">
        <f>IF(K567="MT",TRUNC(F567*G567,2),"")</f>
        <v>5166.63</v>
      </c>
      <c r="J567" s="115" t="str">
        <f>IF(K567="EQ",TRUNC(F567*G567,2),"")</f>
        <v/>
      </c>
      <c r="K567" s="102" t="str">
        <f>IF(A567&amp;B567="","",VLOOKUP(A567&amp;B567,INSUMOS!C:G,5,0))</f>
        <v>MT</v>
      </c>
    </row>
    <row r="568" spans="1:17" ht="15" x14ac:dyDescent="0.25">
      <c r="A568" s="109" t="s">
        <v>4717</v>
      </c>
      <c r="B568" s="116" t="s">
        <v>4859</v>
      </c>
      <c r="C568" s="518" t="str">
        <f>IF(A568&amp;B568="","",VLOOKUP(A568&amp;B568,INSUMOS!C:G,2,0))</f>
        <v>Policarbonato 40mm - Fechamento de Caixilhos, sistema Arkowall ou equivalente técnico</v>
      </c>
      <c r="D568" s="519"/>
      <c r="E568" s="117" t="str">
        <f>IF(A568&amp;B568="","",VLOOKUP(A568&amp;B568,INSUMOS!C:G,3,0))</f>
        <v>m²</v>
      </c>
      <c r="F568" s="118">
        <f>3*2.56</f>
        <v>7.68</v>
      </c>
      <c r="G568" s="113">
        <f>IF(A568&amp;B568="","",VLOOKUP(A568&amp;B568,INSUMOS!C:G,4,0))</f>
        <v>251.73052999999999</v>
      </c>
      <c r="H568" s="119" t="str">
        <f t="shared" ref="H568:H579" si="102">IF(K568="MO",TRUNC(F568*G568,2),"")</f>
        <v/>
      </c>
      <c r="I568" s="119">
        <f t="shared" ref="I568:I579" si="103">IF(K568="MT",TRUNC(F568*G568,2),"")</f>
        <v>1933.29</v>
      </c>
      <c r="J568" s="115" t="str">
        <f t="shared" ref="J568:J579" si="104">IF(K568="EQ",TRUNC(F568*G568,2),"")</f>
        <v/>
      </c>
      <c r="K568" s="102" t="str">
        <f>IF(A568&amp;B568="","",VLOOKUP(A568&amp;B568,INSUMOS!C:G,5,0))</f>
        <v>MT</v>
      </c>
    </row>
    <row r="569" spans="1:17" ht="15" x14ac:dyDescent="0.25">
      <c r="A569" s="109" t="s">
        <v>4717</v>
      </c>
      <c r="B569" s="116" t="s">
        <v>4979</v>
      </c>
      <c r="C569" s="518" t="str">
        <f>IF(A569&amp;B569="","",VLOOKUP(A569&amp;B569,INSUMOS!C:G,2,0))</f>
        <v>Acessórios e instalações do sistema de policarbonato</v>
      </c>
      <c r="D569" s="519"/>
      <c r="E569" s="117" t="str">
        <f>IF(A569&amp;B569="","",VLOOKUP(A569&amp;B569,INSUMOS!C:G,3,0))</f>
        <v>m²</v>
      </c>
      <c r="F569" s="118">
        <f>F568</f>
        <v>7.68</v>
      </c>
      <c r="G569" s="113">
        <f>IF(A569&amp;B569="","",VLOOKUP(A569&amp;B569,INSUMOS!C:G,4,0))</f>
        <v>313.75124</v>
      </c>
      <c r="H569" s="119" t="str">
        <f t="shared" si="102"/>
        <v/>
      </c>
      <c r="I569" s="119">
        <f t="shared" si="103"/>
        <v>2409.6</v>
      </c>
      <c r="J569" s="115" t="str">
        <f t="shared" si="104"/>
        <v/>
      </c>
      <c r="K569" s="102" t="str">
        <f>IF(A569&amp;B569="","",VLOOKUP(A569&amp;B569,INSUMOS!C:G,5,0))</f>
        <v>MT</v>
      </c>
    </row>
    <row r="570" spans="1:17" ht="15" x14ac:dyDescent="0.25">
      <c r="A570" s="109"/>
      <c r="B570" s="116"/>
      <c r="C570" s="518" t="str">
        <f>IF(A570&amp;B570="","",VLOOKUP(A570&amp;B570,INSUMOS!C:G,2,0))</f>
        <v/>
      </c>
      <c r="D570" s="519"/>
      <c r="E570" s="117" t="str">
        <f>IF(A570&amp;B570="","",VLOOKUP(A570&amp;B570,INSUMOS!C:G,3,0))</f>
        <v/>
      </c>
      <c r="F570" s="118"/>
      <c r="G570" s="113" t="str">
        <f>IF(A570&amp;B570="","",VLOOKUP(A570&amp;B570,INSUMOS!C:G,4,0))</f>
        <v/>
      </c>
      <c r="H570" s="119" t="str">
        <f t="shared" si="102"/>
        <v/>
      </c>
      <c r="I570" s="119" t="str">
        <f t="shared" si="103"/>
        <v/>
      </c>
      <c r="J570" s="115" t="str">
        <f t="shared" si="104"/>
        <v/>
      </c>
      <c r="K570" s="102" t="str">
        <f>IF(A570&amp;B570="","",VLOOKUP(A570&amp;B570,INSUMOS!C:G,5,0))</f>
        <v/>
      </c>
    </row>
    <row r="571" spans="1:17" ht="15" x14ac:dyDescent="0.25">
      <c r="A571" s="109"/>
      <c r="B571" s="116"/>
      <c r="C571" s="518" t="str">
        <f>IF(A571&amp;B571="","",VLOOKUP(A571&amp;B571,INSUMOS!C:G,2,0))</f>
        <v/>
      </c>
      <c r="D571" s="519"/>
      <c r="E571" s="117" t="str">
        <f>IF(A571&amp;B571="","",VLOOKUP(A571&amp;B571,INSUMOS!C:G,3,0))</f>
        <v/>
      </c>
      <c r="F571" s="118"/>
      <c r="G571" s="113" t="str">
        <f>IF(A571&amp;B571="","",VLOOKUP(A571&amp;B571,INSUMOS!C:G,4,0))</f>
        <v/>
      </c>
      <c r="H571" s="119" t="str">
        <f t="shared" si="102"/>
        <v/>
      </c>
      <c r="I571" s="119" t="str">
        <f t="shared" si="103"/>
        <v/>
      </c>
      <c r="J571" s="115" t="str">
        <f t="shared" si="104"/>
        <v/>
      </c>
      <c r="K571" s="102" t="str">
        <f>IF(A571&amp;B571="","",VLOOKUP(A571&amp;B571,INSUMOS!C:G,5,0))</f>
        <v/>
      </c>
    </row>
    <row r="572" spans="1:17" ht="15" x14ac:dyDescent="0.25">
      <c r="A572" s="109"/>
      <c r="B572" s="116"/>
      <c r="C572" s="518" t="str">
        <f>IF(A572&amp;B572="","",VLOOKUP(A572&amp;B572,INSUMOS!C:G,2,0))</f>
        <v/>
      </c>
      <c r="D572" s="519"/>
      <c r="E572" s="117" t="str">
        <f>IF(A572&amp;B572="","",VLOOKUP(A572&amp;B572,INSUMOS!C:G,3,0))</f>
        <v/>
      </c>
      <c r="F572" s="118"/>
      <c r="G572" s="113" t="str">
        <f>IF(A572&amp;B572="","",VLOOKUP(A572&amp;B572,INSUMOS!C:G,4,0))</f>
        <v/>
      </c>
      <c r="H572" s="119" t="str">
        <f t="shared" si="102"/>
        <v/>
      </c>
      <c r="I572" s="119" t="str">
        <f t="shared" si="103"/>
        <v/>
      </c>
      <c r="J572" s="115" t="str">
        <f t="shared" si="104"/>
        <v/>
      </c>
      <c r="K572" s="102" t="str">
        <f>IF(A572&amp;B572="","",VLOOKUP(A572&amp;B572,INSUMOS!C:G,5,0))</f>
        <v/>
      </c>
    </row>
    <row r="573" spans="1:17" ht="15" x14ac:dyDescent="0.25">
      <c r="A573" s="109"/>
      <c r="B573" s="116"/>
      <c r="C573" s="518" t="str">
        <f>IF(A573&amp;B573="","",VLOOKUP(A573&amp;B573,INSUMOS!C:G,2,0))</f>
        <v/>
      </c>
      <c r="D573" s="519"/>
      <c r="E573" s="117" t="str">
        <f>IF(A573&amp;B573="","",VLOOKUP(A573&amp;B573,INSUMOS!C:G,3,0))</f>
        <v/>
      </c>
      <c r="F573" s="118"/>
      <c r="G573" s="113" t="str">
        <f>IF(A573&amp;B573="","",VLOOKUP(A573&amp;B573,INSUMOS!C:G,4,0))</f>
        <v/>
      </c>
      <c r="H573" s="119" t="str">
        <f t="shared" si="102"/>
        <v/>
      </c>
      <c r="I573" s="119" t="str">
        <f t="shared" si="103"/>
        <v/>
      </c>
      <c r="J573" s="115" t="str">
        <f t="shared" si="104"/>
        <v/>
      </c>
      <c r="K573" s="102" t="str">
        <f>IF(A573&amp;B573="","",VLOOKUP(A573&amp;B573,INSUMOS!C:G,5,0))</f>
        <v/>
      </c>
    </row>
    <row r="574" spans="1:17" ht="15" x14ac:dyDescent="0.25">
      <c r="A574" s="109"/>
      <c r="B574" s="116"/>
      <c r="C574" s="518" t="str">
        <f>IF(A574&amp;B574="","",VLOOKUP(A574&amp;B574,INSUMOS!C:G,2,0))</f>
        <v/>
      </c>
      <c r="D574" s="519"/>
      <c r="E574" s="117" t="str">
        <f>IF(A574&amp;B574="","",VLOOKUP(A574&amp;B574,INSUMOS!C:G,3,0))</f>
        <v/>
      </c>
      <c r="F574" s="118"/>
      <c r="G574" s="113" t="str">
        <f>IF(A574&amp;B574="","",VLOOKUP(A574&amp;B574,INSUMOS!C:G,4,0))</f>
        <v/>
      </c>
      <c r="H574" s="119" t="str">
        <f t="shared" si="102"/>
        <v/>
      </c>
      <c r="I574" s="119" t="str">
        <f t="shared" si="103"/>
        <v/>
      </c>
      <c r="J574" s="115" t="str">
        <f t="shared" si="104"/>
        <v/>
      </c>
      <c r="K574" s="102" t="str">
        <f>IF(A574&amp;B574="","",VLOOKUP(A574&amp;B574,INSUMOS!C:G,5,0))</f>
        <v/>
      </c>
    </row>
    <row r="575" spans="1:17" ht="15" x14ac:dyDescent="0.25">
      <c r="A575" s="109"/>
      <c r="B575" s="116"/>
      <c r="C575" s="518" t="str">
        <f>IF(A575&amp;B575="","",VLOOKUP(A575&amp;B575,INSUMOS!C:G,2,0))</f>
        <v/>
      </c>
      <c r="D575" s="519"/>
      <c r="E575" s="117" t="str">
        <f>IF(A575&amp;B575="","",VLOOKUP(A575&amp;B575,INSUMOS!C:G,3,0))</f>
        <v/>
      </c>
      <c r="F575" s="118"/>
      <c r="G575" s="113" t="str">
        <f>IF(A575&amp;B575="","",VLOOKUP(A575&amp;B575,INSUMOS!C:G,4,0))</f>
        <v/>
      </c>
      <c r="H575" s="119" t="str">
        <f t="shared" si="102"/>
        <v/>
      </c>
      <c r="I575" s="119" t="str">
        <f t="shared" si="103"/>
        <v/>
      </c>
      <c r="J575" s="115" t="str">
        <f t="shared" si="104"/>
        <v/>
      </c>
      <c r="K575" s="102" t="str">
        <f>IF(A575&amp;B575="","",VLOOKUP(A575&amp;B575,INSUMOS!C:G,5,0))</f>
        <v/>
      </c>
    </row>
    <row r="576" spans="1:17" ht="15" x14ac:dyDescent="0.25">
      <c r="A576" s="109"/>
      <c r="B576" s="116"/>
      <c r="C576" s="518" t="str">
        <f>IF(A576&amp;B576="","",VLOOKUP(A576&amp;B576,INSUMOS!C:G,2,0))</f>
        <v/>
      </c>
      <c r="D576" s="519"/>
      <c r="E576" s="117" t="str">
        <f>IF(A576&amp;B576="","",VLOOKUP(A576&amp;B576,INSUMOS!C:G,3,0))</f>
        <v/>
      </c>
      <c r="F576" s="118"/>
      <c r="G576" s="113" t="str">
        <f>IF(A576&amp;B576="","",VLOOKUP(A576&amp;B576,INSUMOS!C:G,4,0))</f>
        <v/>
      </c>
      <c r="H576" s="119" t="str">
        <f t="shared" si="102"/>
        <v/>
      </c>
      <c r="I576" s="119" t="str">
        <f t="shared" si="103"/>
        <v/>
      </c>
      <c r="J576" s="115" t="str">
        <f t="shared" si="104"/>
        <v/>
      </c>
      <c r="K576" s="102" t="str">
        <f>IF(A576&amp;B576="","",VLOOKUP(A576&amp;B576,INSUMOS!C:G,5,0))</f>
        <v/>
      </c>
    </row>
    <row r="577" spans="1:17" ht="15" x14ac:dyDescent="0.25">
      <c r="A577" s="120"/>
      <c r="B577" s="121"/>
      <c r="C577" s="518" t="str">
        <f>IF(A577&amp;B577="","",VLOOKUP(A577&amp;B577,INSUMOS!C:G,2,0))</f>
        <v/>
      </c>
      <c r="D577" s="519"/>
      <c r="E577" s="117" t="str">
        <f>IF(A577&amp;B577="","",VLOOKUP(A577&amp;B577,INSUMOS!C:G,3,0))</f>
        <v/>
      </c>
      <c r="F577" s="118"/>
      <c r="G577" s="122" t="str">
        <f>IF(A577&amp;B577="","",VLOOKUP(A577&amp;B577,INSUMOS!C:G,4,0))</f>
        <v/>
      </c>
      <c r="H577" s="119" t="str">
        <f t="shared" si="102"/>
        <v/>
      </c>
      <c r="I577" s="119" t="str">
        <f t="shared" si="103"/>
        <v/>
      </c>
      <c r="J577" s="115" t="str">
        <f t="shared" si="104"/>
        <v/>
      </c>
      <c r="K577" s="102" t="str">
        <f>IF(A577&amp;B577="","",VLOOKUP(A577&amp;B577,INSUMOS!C:G,5,0))</f>
        <v/>
      </c>
    </row>
    <row r="578" spans="1:17" ht="15" x14ac:dyDescent="0.25">
      <c r="A578" s="120"/>
      <c r="B578" s="121"/>
      <c r="C578" s="518" t="str">
        <f>IF(A578&amp;B578="","",VLOOKUP(A578&amp;B578,INSUMOS!C:G,2,0))</f>
        <v/>
      </c>
      <c r="D578" s="519"/>
      <c r="E578" s="117" t="str">
        <f>IF(A578&amp;B578="","",VLOOKUP(A578&amp;B578,INSUMOS!C:G,3,0))</f>
        <v/>
      </c>
      <c r="F578" s="118"/>
      <c r="G578" s="122" t="str">
        <f>IF(A578&amp;B578="","",VLOOKUP(A578&amp;B578,INSUMOS!C:G,4,0))</f>
        <v/>
      </c>
      <c r="H578" s="119" t="str">
        <f t="shared" si="102"/>
        <v/>
      </c>
      <c r="I578" s="119" t="str">
        <f t="shared" si="103"/>
        <v/>
      </c>
      <c r="J578" s="115" t="str">
        <f t="shared" si="104"/>
        <v/>
      </c>
      <c r="K578" s="102" t="str">
        <f>IF(A578&amp;B578="","",VLOOKUP(A578&amp;B578,INSUMOS!C:G,5,0))</f>
        <v/>
      </c>
    </row>
    <row r="579" spans="1:17" ht="15" x14ac:dyDescent="0.25">
      <c r="A579" s="120"/>
      <c r="B579" s="121"/>
      <c r="C579" s="518" t="str">
        <f>IF(A579&amp;B579="","",VLOOKUP(A579&amp;B579,INSUMOS!C:G,2,0))</f>
        <v/>
      </c>
      <c r="D579" s="519"/>
      <c r="E579" s="117" t="str">
        <f>IF(A579&amp;B579="","",VLOOKUP(A579&amp;B579,INSUMOS!C:G,3,0))</f>
        <v/>
      </c>
      <c r="F579" s="118"/>
      <c r="G579" s="122" t="str">
        <f>IF(A579&amp;B579="","",VLOOKUP(A579&amp;B579,INSUMOS!C:G,4,0))</f>
        <v/>
      </c>
      <c r="H579" s="119" t="str">
        <f t="shared" si="102"/>
        <v/>
      </c>
      <c r="I579" s="119" t="str">
        <f t="shared" si="103"/>
        <v/>
      </c>
      <c r="J579" s="115" t="str">
        <f t="shared" si="104"/>
        <v/>
      </c>
      <c r="K579" s="102" t="str">
        <f>IF(A579&amp;B579="","",VLOOKUP(A579&amp;B579,INSUMOS!C:G,5,0))</f>
        <v/>
      </c>
    </row>
    <row r="580" spans="1:17" ht="15" x14ac:dyDescent="0.25">
      <c r="A580" s="123" t="s">
        <v>4399</v>
      </c>
      <c r="B580" s="520"/>
      <c r="C580" s="520"/>
      <c r="D580" s="520"/>
      <c r="E580" s="520"/>
      <c r="F580" s="521"/>
      <c r="G580" s="124" t="s">
        <v>50</v>
      </c>
      <c r="H580" s="125">
        <f>SUM(H567:H579)</f>
        <v>0</v>
      </c>
      <c r="I580" s="125">
        <f>SUM(I567:I579)</f>
        <v>9509.52</v>
      </c>
      <c r="J580" s="126">
        <f>SUM(J567:J579)</f>
        <v>0</v>
      </c>
    </row>
    <row r="581" spans="1:17" ht="15" x14ac:dyDescent="0.25">
      <c r="A581" s="127" t="s">
        <v>4400</v>
      </c>
      <c r="B581" s="128"/>
      <c r="C581" s="128"/>
      <c r="D581" s="127" t="s">
        <v>51</v>
      </c>
      <c r="E581" s="128"/>
      <c r="F581" s="129"/>
      <c r="G581" s="130" t="s">
        <v>55</v>
      </c>
      <c r="H581" s="131" t="s">
        <v>52</v>
      </c>
      <c r="I581" s="132"/>
      <c r="J581" s="125">
        <f>SUM(H580:J580)</f>
        <v>9509.52</v>
      </c>
    </row>
    <row r="582" spans="1:17" ht="15" x14ac:dyDescent="0.25">
      <c r="A582" s="313" t="str">
        <f>$I$3</f>
        <v>Carlos Wieck</v>
      </c>
      <c r="B582" s="133"/>
      <c r="C582" s="133"/>
      <c r="D582" s="134"/>
      <c r="E582" s="133"/>
      <c r="F582" s="135"/>
      <c r="G582" s="522">
        <f>$J$5</f>
        <v>43040</v>
      </c>
      <c r="H582" s="136" t="s">
        <v>53</v>
      </c>
      <c r="I582" s="137"/>
      <c r="J582" s="125">
        <f>TRUNC(I582*J581,2)</f>
        <v>0</v>
      </c>
    </row>
    <row r="583" spans="1:17" ht="15" x14ac:dyDescent="0.25">
      <c r="A583" s="138"/>
      <c r="B583" s="139"/>
      <c r="C583" s="139"/>
      <c r="D583" s="138"/>
      <c r="E583" s="139"/>
      <c r="F583" s="140"/>
      <c r="G583" s="523"/>
      <c r="H583" s="141" t="s">
        <v>54</v>
      </c>
      <c r="I583" s="142"/>
      <c r="J583" s="143">
        <f>J582+J581</f>
        <v>9509.52</v>
      </c>
      <c r="L583" s="102" t="str">
        <f>A564</f>
        <v>COMPOSIÇÃO</v>
      </c>
      <c r="M583" s="144" t="str">
        <f>B564</f>
        <v>FF-014</v>
      </c>
      <c r="N583" s="102" t="str">
        <f>L583&amp;M583</f>
        <v>COMPOSIÇÃOFF-014</v>
      </c>
      <c r="O583" s="103" t="str">
        <f>D563</f>
        <v>CX 03-B - Painel de policarbonato alveolar transparente de 40mm e porta de madeira - estruturada com fechamento de chapa de compensado 6mm - tipo camarão em um par de duas folhas, suspensa por trilho superior e com guia inferior embutida no piso dim.3,00x2,56m. Fornecimento e instalação</v>
      </c>
      <c r="P583" s="145" t="str">
        <f>J564</f>
        <v>un</v>
      </c>
      <c r="Q583" s="145">
        <f>J583</f>
        <v>9509.52</v>
      </c>
    </row>
    <row r="584" spans="1:17" ht="15" customHeight="1" x14ac:dyDescent="0.25">
      <c r="A584" s="524" t="s">
        <v>40</v>
      </c>
      <c r="B584" s="525"/>
      <c r="C584" s="104" t="s">
        <v>41</v>
      </c>
      <c r="D584" s="526" t="str">
        <f>IF(B585="","",VLOOKUP(B585,SERVIÇOS!B:E,3,0))</f>
        <v>CX 04-A - Painéis com moldura de madeira, fechamento em policarbonato alveolar transparente de 40mm e esquadria maxim-ar com vidro temperado de 8mm dim.3,00x2,56m. Fornecimento e instalação</v>
      </c>
      <c r="E584" s="526"/>
      <c r="F584" s="526"/>
      <c r="G584" s="526"/>
      <c r="H584" s="526"/>
      <c r="I584" s="527"/>
      <c r="J584" s="105" t="s">
        <v>42</v>
      </c>
    </row>
    <row r="585" spans="1:17" ht="15" x14ac:dyDescent="0.25">
      <c r="A585" s="230" t="s">
        <v>4715</v>
      </c>
      <c r="B585" s="230" t="s">
        <v>4895</v>
      </c>
      <c r="C585" s="106"/>
      <c r="D585" s="528"/>
      <c r="E585" s="528"/>
      <c r="F585" s="528"/>
      <c r="G585" s="528"/>
      <c r="H585" s="528"/>
      <c r="I585" s="529"/>
      <c r="J585" s="107" t="str">
        <f>IF(B585="","",VLOOKUP(B585,SERVIÇOS!B:E,4,0))</f>
        <v>un</v>
      </c>
    </row>
    <row r="586" spans="1:17" ht="15" x14ac:dyDescent="0.25">
      <c r="A586" s="530" t="s">
        <v>4397</v>
      </c>
      <c r="B586" s="531" t="s">
        <v>11</v>
      </c>
      <c r="C586" s="533" t="s">
        <v>43</v>
      </c>
      <c r="D586" s="534"/>
      <c r="E586" s="530" t="s">
        <v>13</v>
      </c>
      <c r="F586" s="530" t="s">
        <v>44</v>
      </c>
      <c r="G586" s="538" t="s">
        <v>45</v>
      </c>
      <c r="H586" s="108" t="s">
        <v>46</v>
      </c>
      <c r="I586" s="108"/>
      <c r="J586" s="108"/>
    </row>
    <row r="587" spans="1:17" ht="15" x14ac:dyDescent="0.25">
      <c r="A587" s="530"/>
      <c r="B587" s="532"/>
      <c r="C587" s="535"/>
      <c r="D587" s="536"/>
      <c r="E587" s="537"/>
      <c r="F587" s="537"/>
      <c r="G587" s="539"/>
      <c r="H587" s="108" t="s">
        <v>47</v>
      </c>
      <c r="I587" s="108" t="s">
        <v>48</v>
      </c>
      <c r="J587" s="108" t="s">
        <v>49</v>
      </c>
    </row>
    <row r="588" spans="1:17" ht="30" customHeight="1" x14ac:dyDescent="0.25">
      <c r="A588" s="109" t="s">
        <v>4717</v>
      </c>
      <c r="B588" s="116" t="s">
        <v>4866</v>
      </c>
      <c r="C588" s="540" t="str">
        <f>IF(A588&amp;B588="","",VLOOKUP(A588&amp;B588,INSUMOS!C:G,2,0))</f>
        <v>CX 04-A - Painéis com moldura de madeira, fechamento em policarbonato alveolar transparente de 40mm e esquadria maxim-ar com vidro temperado de 8mm dim.3,00x2,56m. Fornecimento e instalação</v>
      </c>
      <c r="D588" s="541"/>
      <c r="E588" s="111" t="str">
        <f>IF(A588&amp;B588="","",VLOOKUP(A588&amp;B588,INSUMOS!C:G,3,0))</f>
        <v>un</v>
      </c>
      <c r="F588" s="112">
        <v>1</v>
      </c>
      <c r="G588" s="113">
        <f>IF(A588&amp;B588="","",VLOOKUP(A588&amp;B588,INSUMOS!C:G,4,0))</f>
        <v>4778.8930600000003</v>
      </c>
      <c r="H588" s="114" t="str">
        <f>IF(K588="MO",TRUNC(F588*G588,2),"")</f>
        <v/>
      </c>
      <c r="I588" s="114">
        <f>IF(K588="MT",TRUNC(F588*G588,2),"")</f>
        <v>4778.8900000000003</v>
      </c>
      <c r="J588" s="115" t="str">
        <f>IF(K588="EQ",TRUNC(F588*G588,2),"")</f>
        <v/>
      </c>
      <c r="K588" s="102" t="str">
        <f>IF(A588&amp;B588="","",VLOOKUP(A588&amp;B588,INSUMOS!C:G,5,0))</f>
        <v>MT</v>
      </c>
    </row>
    <row r="589" spans="1:17" ht="15" x14ac:dyDescent="0.25">
      <c r="A589" s="109" t="s">
        <v>4717</v>
      </c>
      <c r="B589" s="116" t="s">
        <v>4859</v>
      </c>
      <c r="C589" s="518" t="str">
        <f>IF(A589&amp;B589="","",VLOOKUP(A589&amp;B589,INSUMOS!C:G,2,0))</f>
        <v>Policarbonato 40mm - Fechamento de Caixilhos, sistema Arkowall ou equivalente técnico</v>
      </c>
      <c r="D589" s="519"/>
      <c r="E589" s="117" t="str">
        <f>IF(A589&amp;B589="","",VLOOKUP(A589&amp;B589,INSUMOS!C:G,3,0))</f>
        <v>m²</v>
      </c>
      <c r="F589" s="118">
        <f>3*2.56</f>
        <v>7.68</v>
      </c>
      <c r="G589" s="113">
        <f>IF(A589&amp;B589="","",VLOOKUP(A589&amp;B589,INSUMOS!C:G,4,0))</f>
        <v>251.73052999999999</v>
      </c>
      <c r="H589" s="119" t="str">
        <f t="shared" ref="H589:H600" si="105">IF(K589="MO",TRUNC(F589*G589,2),"")</f>
        <v/>
      </c>
      <c r="I589" s="119">
        <f t="shared" ref="I589:I600" si="106">IF(K589="MT",TRUNC(F589*G589,2),"")</f>
        <v>1933.29</v>
      </c>
      <c r="J589" s="115" t="str">
        <f t="shared" ref="J589:J600" si="107">IF(K589="EQ",TRUNC(F589*G589,2),"")</f>
        <v/>
      </c>
      <c r="K589" s="102" t="str">
        <f>IF(A589&amp;B589="","",VLOOKUP(A589&amp;B589,INSUMOS!C:G,5,0))</f>
        <v>MT</v>
      </c>
    </row>
    <row r="590" spans="1:17" ht="15" x14ac:dyDescent="0.25">
      <c r="A590" s="109" t="s">
        <v>4717</v>
      </c>
      <c r="B590" s="116" t="s">
        <v>4979</v>
      </c>
      <c r="C590" s="518" t="str">
        <f>IF(A590&amp;B590="","",VLOOKUP(A590&amp;B590,INSUMOS!C:G,2,0))</f>
        <v>Acessórios e instalações do sistema de policarbonato</v>
      </c>
      <c r="D590" s="519"/>
      <c r="E590" s="117" t="str">
        <f>IF(A590&amp;B590="","",VLOOKUP(A590&amp;B590,INSUMOS!C:G,3,0))</f>
        <v>m²</v>
      </c>
      <c r="F590" s="118">
        <f>F589</f>
        <v>7.68</v>
      </c>
      <c r="G590" s="113">
        <f>IF(A590&amp;B590="","",VLOOKUP(A590&amp;B590,INSUMOS!C:G,4,0))</f>
        <v>313.75124</v>
      </c>
      <c r="H590" s="119" t="str">
        <f t="shared" si="105"/>
        <v/>
      </c>
      <c r="I590" s="119">
        <f t="shared" si="106"/>
        <v>2409.6</v>
      </c>
      <c r="J590" s="115" t="str">
        <f t="shared" si="107"/>
        <v/>
      </c>
      <c r="K590" s="102" t="str">
        <f>IF(A590&amp;B590="","",VLOOKUP(A590&amp;B590,INSUMOS!C:G,5,0))</f>
        <v>MT</v>
      </c>
    </row>
    <row r="591" spans="1:17" ht="15" x14ac:dyDescent="0.25">
      <c r="A591" s="109"/>
      <c r="B591" s="116"/>
      <c r="C591" s="518" t="str">
        <f>IF(A591&amp;B591="","",VLOOKUP(A591&amp;B591,INSUMOS!C:G,2,0))</f>
        <v/>
      </c>
      <c r="D591" s="519"/>
      <c r="E591" s="117" t="str">
        <f>IF(A591&amp;B591="","",VLOOKUP(A591&amp;B591,INSUMOS!C:G,3,0))</f>
        <v/>
      </c>
      <c r="F591" s="118"/>
      <c r="G591" s="113" t="str">
        <f>IF(A591&amp;B591="","",VLOOKUP(A591&amp;B591,INSUMOS!C:G,4,0))</f>
        <v/>
      </c>
      <c r="H591" s="119" t="str">
        <f t="shared" si="105"/>
        <v/>
      </c>
      <c r="I591" s="119" t="str">
        <f t="shared" si="106"/>
        <v/>
      </c>
      <c r="J591" s="115" t="str">
        <f t="shared" si="107"/>
        <v/>
      </c>
      <c r="K591" s="102" t="str">
        <f>IF(A591&amp;B591="","",VLOOKUP(A591&amp;B591,INSUMOS!C:G,5,0))</f>
        <v/>
      </c>
    </row>
    <row r="592" spans="1:17" ht="15" x14ac:dyDescent="0.25">
      <c r="A592" s="109"/>
      <c r="B592" s="116"/>
      <c r="C592" s="518" t="str">
        <f>IF(A592&amp;B592="","",VLOOKUP(A592&amp;B592,INSUMOS!C:G,2,0))</f>
        <v/>
      </c>
      <c r="D592" s="519"/>
      <c r="E592" s="117" t="str">
        <f>IF(A592&amp;B592="","",VLOOKUP(A592&amp;B592,INSUMOS!C:G,3,0))</f>
        <v/>
      </c>
      <c r="F592" s="118"/>
      <c r="G592" s="113" t="str">
        <f>IF(A592&amp;B592="","",VLOOKUP(A592&amp;B592,INSUMOS!C:G,4,0))</f>
        <v/>
      </c>
      <c r="H592" s="119" t="str">
        <f t="shared" si="105"/>
        <v/>
      </c>
      <c r="I592" s="119" t="str">
        <f t="shared" si="106"/>
        <v/>
      </c>
      <c r="J592" s="115" t="str">
        <f t="shared" si="107"/>
        <v/>
      </c>
      <c r="K592" s="102" t="str">
        <f>IF(A592&amp;B592="","",VLOOKUP(A592&amp;B592,INSUMOS!C:G,5,0))</f>
        <v/>
      </c>
    </row>
    <row r="593" spans="1:17" ht="15" x14ac:dyDescent="0.25">
      <c r="A593" s="109"/>
      <c r="B593" s="116"/>
      <c r="C593" s="518" t="str">
        <f>IF(A593&amp;B593="","",VLOOKUP(A593&amp;B593,INSUMOS!C:G,2,0))</f>
        <v/>
      </c>
      <c r="D593" s="519"/>
      <c r="E593" s="117" t="str">
        <f>IF(A593&amp;B593="","",VLOOKUP(A593&amp;B593,INSUMOS!C:G,3,0))</f>
        <v/>
      </c>
      <c r="F593" s="118"/>
      <c r="G593" s="113" t="str">
        <f>IF(A593&amp;B593="","",VLOOKUP(A593&amp;B593,INSUMOS!C:G,4,0))</f>
        <v/>
      </c>
      <c r="H593" s="119" t="str">
        <f t="shared" si="105"/>
        <v/>
      </c>
      <c r="I593" s="119" t="str">
        <f t="shared" si="106"/>
        <v/>
      </c>
      <c r="J593" s="115" t="str">
        <f t="shared" si="107"/>
        <v/>
      </c>
      <c r="K593" s="102" t="str">
        <f>IF(A593&amp;B593="","",VLOOKUP(A593&amp;B593,INSUMOS!C:G,5,0))</f>
        <v/>
      </c>
    </row>
    <row r="594" spans="1:17" ht="15" x14ac:dyDescent="0.25">
      <c r="A594" s="109"/>
      <c r="B594" s="116"/>
      <c r="C594" s="518" t="str">
        <f>IF(A594&amp;B594="","",VLOOKUP(A594&amp;B594,INSUMOS!C:G,2,0))</f>
        <v/>
      </c>
      <c r="D594" s="519"/>
      <c r="E594" s="117" t="str">
        <f>IF(A594&amp;B594="","",VLOOKUP(A594&amp;B594,INSUMOS!C:G,3,0))</f>
        <v/>
      </c>
      <c r="F594" s="118"/>
      <c r="G594" s="113" t="str">
        <f>IF(A594&amp;B594="","",VLOOKUP(A594&amp;B594,INSUMOS!C:G,4,0))</f>
        <v/>
      </c>
      <c r="H594" s="119" t="str">
        <f t="shared" si="105"/>
        <v/>
      </c>
      <c r="I594" s="119" t="str">
        <f t="shared" si="106"/>
        <v/>
      </c>
      <c r="J594" s="115" t="str">
        <f t="shared" si="107"/>
        <v/>
      </c>
      <c r="K594" s="102" t="str">
        <f>IF(A594&amp;B594="","",VLOOKUP(A594&amp;B594,INSUMOS!C:G,5,0))</f>
        <v/>
      </c>
    </row>
    <row r="595" spans="1:17" ht="15" x14ac:dyDescent="0.25">
      <c r="A595" s="109"/>
      <c r="B595" s="116"/>
      <c r="C595" s="518" t="str">
        <f>IF(A595&amp;B595="","",VLOOKUP(A595&amp;B595,INSUMOS!C:G,2,0))</f>
        <v/>
      </c>
      <c r="D595" s="519"/>
      <c r="E595" s="117" t="str">
        <f>IF(A595&amp;B595="","",VLOOKUP(A595&amp;B595,INSUMOS!C:G,3,0))</f>
        <v/>
      </c>
      <c r="F595" s="118"/>
      <c r="G595" s="113" t="str">
        <f>IF(A595&amp;B595="","",VLOOKUP(A595&amp;B595,INSUMOS!C:G,4,0))</f>
        <v/>
      </c>
      <c r="H595" s="119" t="str">
        <f t="shared" si="105"/>
        <v/>
      </c>
      <c r="I595" s="119" t="str">
        <f t="shared" si="106"/>
        <v/>
      </c>
      <c r="J595" s="115" t="str">
        <f t="shared" si="107"/>
        <v/>
      </c>
      <c r="K595" s="102" t="str">
        <f>IF(A595&amp;B595="","",VLOOKUP(A595&amp;B595,INSUMOS!C:G,5,0))</f>
        <v/>
      </c>
    </row>
    <row r="596" spans="1:17" ht="15" x14ac:dyDescent="0.25">
      <c r="A596" s="109"/>
      <c r="B596" s="116"/>
      <c r="C596" s="518" t="str">
        <f>IF(A596&amp;B596="","",VLOOKUP(A596&amp;B596,INSUMOS!C:G,2,0))</f>
        <v/>
      </c>
      <c r="D596" s="519"/>
      <c r="E596" s="117" t="str">
        <f>IF(A596&amp;B596="","",VLOOKUP(A596&amp;B596,INSUMOS!C:G,3,0))</f>
        <v/>
      </c>
      <c r="F596" s="118"/>
      <c r="G596" s="113" t="str">
        <f>IF(A596&amp;B596="","",VLOOKUP(A596&amp;B596,INSUMOS!C:G,4,0))</f>
        <v/>
      </c>
      <c r="H596" s="119" t="str">
        <f t="shared" si="105"/>
        <v/>
      </c>
      <c r="I596" s="119" t="str">
        <f t="shared" si="106"/>
        <v/>
      </c>
      <c r="J596" s="115" t="str">
        <f t="shared" si="107"/>
        <v/>
      </c>
      <c r="K596" s="102" t="str">
        <f>IF(A596&amp;B596="","",VLOOKUP(A596&amp;B596,INSUMOS!C:G,5,0))</f>
        <v/>
      </c>
    </row>
    <row r="597" spans="1:17" ht="15" x14ac:dyDescent="0.25">
      <c r="A597" s="109"/>
      <c r="B597" s="116"/>
      <c r="C597" s="518" t="str">
        <f>IF(A597&amp;B597="","",VLOOKUP(A597&amp;B597,INSUMOS!C:G,2,0))</f>
        <v/>
      </c>
      <c r="D597" s="519"/>
      <c r="E597" s="117" t="str">
        <f>IF(A597&amp;B597="","",VLOOKUP(A597&amp;B597,INSUMOS!C:G,3,0))</f>
        <v/>
      </c>
      <c r="F597" s="118"/>
      <c r="G597" s="113" t="str">
        <f>IF(A597&amp;B597="","",VLOOKUP(A597&amp;B597,INSUMOS!C:G,4,0))</f>
        <v/>
      </c>
      <c r="H597" s="119" t="str">
        <f t="shared" si="105"/>
        <v/>
      </c>
      <c r="I597" s="119" t="str">
        <f t="shared" si="106"/>
        <v/>
      </c>
      <c r="J597" s="115" t="str">
        <f t="shared" si="107"/>
        <v/>
      </c>
      <c r="K597" s="102" t="str">
        <f>IF(A597&amp;B597="","",VLOOKUP(A597&amp;B597,INSUMOS!C:G,5,0))</f>
        <v/>
      </c>
    </row>
    <row r="598" spans="1:17" ht="15" x14ac:dyDescent="0.25">
      <c r="A598" s="120"/>
      <c r="B598" s="121"/>
      <c r="C598" s="518" t="str">
        <f>IF(A598&amp;B598="","",VLOOKUP(A598&amp;B598,INSUMOS!C:G,2,0))</f>
        <v/>
      </c>
      <c r="D598" s="519"/>
      <c r="E598" s="117" t="str">
        <f>IF(A598&amp;B598="","",VLOOKUP(A598&amp;B598,INSUMOS!C:G,3,0))</f>
        <v/>
      </c>
      <c r="F598" s="118"/>
      <c r="G598" s="122" t="str">
        <f>IF(A598&amp;B598="","",VLOOKUP(A598&amp;B598,INSUMOS!C:G,4,0))</f>
        <v/>
      </c>
      <c r="H598" s="119" t="str">
        <f t="shared" si="105"/>
        <v/>
      </c>
      <c r="I598" s="119" t="str">
        <f t="shared" si="106"/>
        <v/>
      </c>
      <c r="J598" s="115" t="str">
        <f t="shared" si="107"/>
        <v/>
      </c>
      <c r="K598" s="102" t="str">
        <f>IF(A598&amp;B598="","",VLOOKUP(A598&amp;B598,INSUMOS!C:G,5,0))</f>
        <v/>
      </c>
    </row>
    <row r="599" spans="1:17" ht="15" x14ac:dyDescent="0.25">
      <c r="A599" s="120"/>
      <c r="B599" s="121"/>
      <c r="C599" s="518" t="str">
        <f>IF(A599&amp;B599="","",VLOOKUP(A599&amp;B599,INSUMOS!C:G,2,0))</f>
        <v/>
      </c>
      <c r="D599" s="519"/>
      <c r="E599" s="117" t="str">
        <f>IF(A599&amp;B599="","",VLOOKUP(A599&amp;B599,INSUMOS!C:G,3,0))</f>
        <v/>
      </c>
      <c r="F599" s="118"/>
      <c r="G599" s="122" t="str">
        <f>IF(A599&amp;B599="","",VLOOKUP(A599&amp;B599,INSUMOS!C:G,4,0))</f>
        <v/>
      </c>
      <c r="H599" s="119" t="str">
        <f t="shared" si="105"/>
        <v/>
      </c>
      <c r="I599" s="119" t="str">
        <f t="shared" si="106"/>
        <v/>
      </c>
      <c r="J599" s="115" t="str">
        <f t="shared" si="107"/>
        <v/>
      </c>
      <c r="K599" s="102" t="str">
        <f>IF(A599&amp;B599="","",VLOOKUP(A599&amp;B599,INSUMOS!C:G,5,0))</f>
        <v/>
      </c>
    </row>
    <row r="600" spans="1:17" ht="15" x14ac:dyDescent="0.25">
      <c r="A600" s="120"/>
      <c r="B600" s="121"/>
      <c r="C600" s="518" t="str">
        <f>IF(A600&amp;B600="","",VLOOKUP(A600&amp;B600,INSUMOS!C:G,2,0))</f>
        <v/>
      </c>
      <c r="D600" s="519"/>
      <c r="E600" s="117" t="str">
        <f>IF(A600&amp;B600="","",VLOOKUP(A600&amp;B600,INSUMOS!C:G,3,0))</f>
        <v/>
      </c>
      <c r="F600" s="118"/>
      <c r="G600" s="122" t="str">
        <f>IF(A600&amp;B600="","",VLOOKUP(A600&amp;B600,INSUMOS!C:G,4,0))</f>
        <v/>
      </c>
      <c r="H600" s="119" t="str">
        <f t="shared" si="105"/>
        <v/>
      </c>
      <c r="I600" s="119" t="str">
        <f t="shared" si="106"/>
        <v/>
      </c>
      <c r="J600" s="115" t="str">
        <f t="shared" si="107"/>
        <v/>
      </c>
      <c r="K600" s="102" t="str">
        <f>IF(A600&amp;B600="","",VLOOKUP(A600&amp;B600,INSUMOS!C:G,5,0))</f>
        <v/>
      </c>
    </row>
    <row r="601" spans="1:17" ht="15" x14ac:dyDescent="0.25">
      <c r="A601" s="123" t="s">
        <v>4399</v>
      </c>
      <c r="B601" s="520"/>
      <c r="C601" s="520"/>
      <c r="D601" s="520"/>
      <c r="E601" s="520"/>
      <c r="F601" s="521"/>
      <c r="G601" s="124" t="s">
        <v>50</v>
      </c>
      <c r="H601" s="125">
        <f>SUM(H588:H600)</f>
        <v>0</v>
      </c>
      <c r="I601" s="125">
        <f>SUM(I588:I600)</f>
        <v>9121.7800000000007</v>
      </c>
      <c r="J601" s="126">
        <f>SUM(J588:J600)</f>
        <v>0</v>
      </c>
    </row>
    <row r="602" spans="1:17" ht="15" x14ac:dyDescent="0.25">
      <c r="A602" s="127" t="s">
        <v>4400</v>
      </c>
      <c r="B602" s="128"/>
      <c r="C602" s="128"/>
      <c r="D602" s="127" t="s">
        <v>51</v>
      </c>
      <c r="E602" s="128"/>
      <c r="F602" s="129"/>
      <c r="G602" s="130" t="s">
        <v>55</v>
      </c>
      <c r="H602" s="131" t="s">
        <v>52</v>
      </c>
      <c r="I602" s="132"/>
      <c r="J602" s="125">
        <f>SUM(H601:J601)</f>
        <v>9121.7800000000007</v>
      </c>
    </row>
    <row r="603" spans="1:17" ht="15" x14ac:dyDescent="0.25">
      <c r="A603" s="313" t="str">
        <f>$I$3</f>
        <v>Carlos Wieck</v>
      </c>
      <c r="B603" s="133"/>
      <c r="C603" s="133"/>
      <c r="D603" s="134"/>
      <c r="E603" s="133"/>
      <c r="F603" s="135"/>
      <c r="G603" s="522">
        <f>$J$5</f>
        <v>43040</v>
      </c>
      <c r="H603" s="136" t="s">
        <v>53</v>
      </c>
      <c r="I603" s="137"/>
      <c r="J603" s="125">
        <f>TRUNC(I603*J602,2)</f>
        <v>0</v>
      </c>
    </row>
    <row r="604" spans="1:17" ht="15" x14ac:dyDescent="0.25">
      <c r="A604" s="138"/>
      <c r="B604" s="139"/>
      <c r="C604" s="139"/>
      <c r="D604" s="138"/>
      <c r="E604" s="139"/>
      <c r="F604" s="140"/>
      <c r="G604" s="523"/>
      <c r="H604" s="141" t="s">
        <v>54</v>
      </c>
      <c r="I604" s="142"/>
      <c r="J604" s="143">
        <f>J603+J602</f>
        <v>9121.7800000000007</v>
      </c>
      <c r="L604" s="102" t="str">
        <f>A585</f>
        <v>COMPOSIÇÃO</v>
      </c>
      <c r="M604" s="144" t="str">
        <f>B585</f>
        <v>FF-015</v>
      </c>
      <c r="N604" s="102" t="str">
        <f>L604&amp;M604</f>
        <v>COMPOSIÇÃOFF-015</v>
      </c>
      <c r="O604" s="103" t="str">
        <f>D584</f>
        <v>CX 04-A - Painéis com moldura de madeira, fechamento em policarbonato alveolar transparente de 40mm e esquadria maxim-ar com vidro temperado de 8mm dim.3,00x2,56m. Fornecimento e instalação</v>
      </c>
      <c r="P604" s="145" t="str">
        <f>J585</f>
        <v>un</v>
      </c>
      <c r="Q604" s="145">
        <f>J604</f>
        <v>9121.7800000000007</v>
      </c>
    </row>
    <row r="605" spans="1:17" ht="15" customHeight="1" x14ac:dyDescent="0.25">
      <c r="A605" s="524" t="s">
        <v>40</v>
      </c>
      <c r="B605" s="525"/>
      <c r="C605" s="104" t="s">
        <v>41</v>
      </c>
      <c r="D605" s="526" t="str">
        <f>IF(B606="","",VLOOKUP(B606,SERVIÇOS!B:E,3,0))</f>
        <v>CX 04-B - Painéis com moldura de madeira e fechamento em policarbonato alveolar transparente de 40mm, esquadria maxim-ar e vidro fixo temperado de 8mm dim.3,00x2,56m. Fornecimento e instalação</v>
      </c>
      <c r="E605" s="526"/>
      <c r="F605" s="526"/>
      <c r="G605" s="526"/>
      <c r="H605" s="526"/>
      <c r="I605" s="527"/>
      <c r="J605" s="105" t="s">
        <v>42</v>
      </c>
    </row>
    <row r="606" spans="1:17" ht="15" x14ac:dyDescent="0.25">
      <c r="A606" s="230" t="s">
        <v>4715</v>
      </c>
      <c r="B606" s="230" t="s">
        <v>4896</v>
      </c>
      <c r="C606" s="106"/>
      <c r="D606" s="528"/>
      <c r="E606" s="528"/>
      <c r="F606" s="528"/>
      <c r="G606" s="528"/>
      <c r="H606" s="528"/>
      <c r="I606" s="529"/>
      <c r="J606" s="107" t="str">
        <f>IF(B606="","",VLOOKUP(B606,SERVIÇOS!B:E,4,0))</f>
        <v>un</v>
      </c>
    </row>
    <row r="607" spans="1:17" ht="15" x14ac:dyDescent="0.25">
      <c r="A607" s="530" t="s">
        <v>4397</v>
      </c>
      <c r="B607" s="531" t="s">
        <v>11</v>
      </c>
      <c r="C607" s="533" t="s">
        <v>43</v>
      </c>
      <c r="D607" s="534"/>
      <c r="E607" s="530" t="s">
        <v>13</v>
      </c>
      <c r="F607" s="530" t="s">
        <v>44</v>
      </c>
      <c r="G607" s="538" t="s">
        <v>45</v>
      </c>
      <c r="H607" s="108" t="s">
        <v>46</v>
      </c>
      <c r="I607" s="108"/>
      <c r="J607" s="108"/>
    </row>
    <row r="608" spans="1:17" ht="15" x14ac:dyDescent="0.25">
      <c r="A608" s="530"/>
      <c r="B608" s="532"/>
      <c r="C608" s="535"/>
      <c r="D608" s="536"/>
      <c r="E608" s="537"/>
      <c r="F608" s="537"/>
      <c r="G608" s="539"/>
      <c r="H608" s="108" t="s">
        <v>47</v>
      </c>
      <c r="I608" s="108" t="s">
        <v>48</v>
      </c>
      <c r="J608" s="108" t="s">
        <v>49</v>
      </c>
    </row>
    <row r="609" spans="1:11" ht="30" customHeight="1" x14ac:dyDescent="0.25">
      <c r="A609" s="109" t="s">
        <v>4717</v>
      </c>
      <c r="B609" s="116" t="s">
        <v>4867</v>
      </c>
      <c r="C609" s="540" t="str">
        <f>IF(A609&amp;B609="","",VLOOKUP(A609&amp;B609,INSUMOS!C:G,2,0))</f>
        <v>CX 04-B - Painéis com moldura de madeira e fechamento em policarbonato alveolar transparente de 40mm, esquadria maxim-ar e vidro fixo temperado de 8mm dim.3,00x2,56m. Fornecimento e instalação</v>
      </c>
      <c r="D609" s="541"/>
      <c r="E609" s="111" t="str">
        <f>IF(A609&amp;B609="","",VLOOKUP(A609&amp;B609,INSUMOS!C:G,3,0))</f>
        <v>un</v>
      </c>
      <c r="F609" s="112">
        <v>1</v>
      </c>
      <c r="G609" s="113">
        <f>IF(A609&amp;B609="","",VLOOKUP(A609&amp;B609,INSUMOS!C:G,4,0))</f>
        <v>4778.8930600000003</v>
      </c>
      <c r="H609" s="114" t="str">
        <f>IF(K609="MO",TRUNC(F609*G609,2),"")</f>
        <v/>
      </c>
      <c r="I609" s="114">
        <f>IF(K609="MT",TRUNC(F609*G609,2),"")</f>
        <v>4778.8900000000003</v>
      </c>
      <c r="J609" s="115" t="str">
        <f>IF(K609="EQ",TRUNC(F609*G609,2),"")</f>
        <v/>
      </c>
      <c r="K609" s="102" t="str">
        <f>IF(A609&amp;B609="","",VLOOKUP(A609&amp;B609,INSUMOS!C:G,5,0))</f>
        <v>MT</v>
      </c>
    </row>
    <row r="610" spans="1:11" ht="15" x14ac:dyDescent="0.25">
      <c r="A610" s="109" t="s">
        <v>4717</v>
      </c>
      <c r="B610" s="116" t="s">
        <v>4859</v>
      </c>
      <c r="C610" s="518" t="str">
        <f>IF(A610&amp;B610="","",VLOOKUP(A610&amp;B610,INSUMOS!C:G,2,0))</f>
        <v>Policarbonato 40mm - Fechamento de Caixilhos, sistema Arkowall ou equivalente técnico</v>
      </c>
      <c r="D610" s="519"/>
      <c r="E610" s="117" t="str">
        <f>IF(A610&amp;B610="","",VLOOKUP(A610&amp;B610,INSUMOS!C:G,3,0))</f>
        <v>m²</v>
      </c>
      <c r="F610" s="118">
        <f>3*2.56</f>
        <v>7.68</v>
      </c>
      <c r="G610" s="113">
        <f>IF(A610&amp;B610="","",VLOOKUP(A610&amp;B610,INSUMOS!C:G,4,0))</f>
        <v>251.73052999999999</v>
      </c>
      <c r="H610" s="119" t="str">
        <f t="shared" ref="H610:H621" si="108">IF(K610="MO",TRUNC(F610*G610,2),"")</f>
        <v/>
      </c>
      <c r="I610" s="119">
        <f t="shared" ref="I610:I621" si="109">IF(K610="MT",TRUNC(F610*G610,2),"")</f>
        <v>1933.29</v>
      </c>
      <c r="J610" s="115" t="str">
        <f t="shared" ref="J610:J621" si="110">IF(K610="EQ",TRUNC(F610*G610,2),"")</f>
        <v/>
      </c>
      <c r="K610" s="102" t="str">
        <f>IF(A610&amp;B610="","",VLOOKUP(A610&amp;B610,INSUMOS!C:G,5,0))</f>
        <v>MT</v>
      </c>
    </row>
    <row r="611" spans="1:11" ht="15" x14ac:dyDescent="0.25">
      <c r="A611" s="109" t="s">
        <v>4717</v>
      </c>
      <c r="B611" s="116" t="s">
        <v>4979</v>
      </c>
      <c r="C611" s="518" t="str">
        <f>IF(A611&amp;B611="","",VLOOKUP(A611&amp;B611,INSUMOS!C:G,2,0))</f>
        <v>Acessórios e instalações do sistema de policarbonato</v>
      </c>
      <c r="D611" s="519"/>
      <c r="E611" s="117" t="str">
        <f>IF(A611&amp;B611="","",VLOOKUP(A611&amp;B611,INSUMOS!C:G,3,0))</f>
        <v>m²</v>
      </c>
      <c r="F611" s="118">
        <f>F610</f>
        <v>7.68</v>
      </c>
      <c r="G611" s="113">
        <f>IF(A611&amp;B611="","",VLOOKUP(A611&amp;B611,INSUMOS!C:G,4,0))</f>
        <v>313.75124</v>
      </c>
      <c r="H611" s="119" t="str">
        <f t="shared" si="108"/>
        <v/>
      </c>
      <c r="I611" s="119">
        <f t="shared" si="109"/>
        <v>2409.6</v>
      </c>
      <c r="J611" s="115" t="str">
        <f t="shared" si="110"/>
        <v/>
      </c>
      <c r="K611" s="102" t="str">
        <f>IF(A611&amp;B611="","",VLOOKUP(A611&amp;B611,INSUMOS!C:G,5,0))</f>
        <v>MT</v>
      </c>
    </row>
    <row r="612" spans="1:11" ht="15" x14ac:dyDescent="0.25">
      <c r="A612" s="109"/>
      <c r="B612" s="116"/>
      <c r="C612" s="518" t="str">
        <f>IF(A612&amp;B612="","",VLOOKUP(A612&amp;B612,INSUMOS!C:G,2,0))</f>
        <v/>
      </c>
      <c r="D612" s="519"/>
      <c r="E612" s="117" t="str">
        <f>IF(A612&amp;B612="","",VLOOKUP(A612&amp;B612,INSUMOS!C:G,3,0))</f>
        <v/>
      </c>
      <c r="F612" s="118"/>
      <c r="G612" s="113" t="str">
        <f>IF(A612&amp;B612="","",VLOOKUP(A612&amp;B612,INSUMOS!C:G,4,0))</f>
        <v/>
      </c>
      <c r="H612" s="119" t="str">
        <f t="shared" si="108"/>
        <v/>
      </c>
      <c r="I612" s="119" t="str">
        <f t="shared" si="109"/>
        <v/>
      </c>
      <c r="J612" s="115" t="str">
        <f t="shared" si="110"/>
        <v/>
      </c>
      <c r="K612" s="102" t="str">
        <f>IF(A612&amp;B612="","",VLOOKUP(A612&amp;B612,INSUMOS!C:G,5,0))</f>
        <v/>
      </c>
    </row>
    <row r="613" spans="1:11" ht="15" x14ac:dyDescent="0.25">
      <c r="A613" s="109"/>
      <c r="B613" s="116"/>
      <c r="C613" s="518" t="str">
        <f>IF(A613&amp;B613="","",VLOOKUP(A613&amp;B613,INSUMOS!C:G,2,0))</f>
        <v/>
      </c>
      <c r="D613" s="519"/>
      <c r="E613" s="117" t="str">
        <f>IF(A613&amp;B613="","",VLOOKUP(A613&amp;B613,INSUMOS!C:G,3,0))</f>
        <v/>
      </c>
      <c r="F613" s="118"/>
      <c r="G613" s="113" t="str">
        <f>IF(A613&amp;B613="","",VLOOKUP(A613&amp;B613,INSUMOS!C:G,4,0))</f>
        <v/>
      </c>
      <c r="H613" s="119" t="str">
        <f t="shared" si="108"/>
        <v/>
      </c>
      <c r="I613" s="119" t="str">
        <f t="shared" si="109"/>
        <v/>
      </c>
      <c r="J613" s="115" t="str">
        <f t="shared" si="110"/>
        <v/>
      </c>
      <c r="K613" s="102" t="str">
        <f>IF(A613&amp;B613="","",VLOOKUP(A613&amp;B613,INSUMOS!C:G,5,0))</f>
        <v/>
      </c>
    </row>
    <row r="614" spans="1:11" ht="15" x14ac:dyDescent="0.25">
      <c r="A614" s="109"/>
      <c r="B614" s="116"/>
      <c r="C614" s="518" t="str">
        <f>IF(A614&amp;B614="","",VLOOKUP(A614&amp;B614,INSUMOS!C:G,2,0))</f>
        <v/>
      </c>
      <c r="D614" s="519"/>
      <c r="E614" s="117" t="str">
        <f>IF(A614&amp;B614="","",VLOOKUP(A614&amp;B614,INSUMOS!C:G,3,0))</f>
        <v/>
      </c>
      <c r="F614" s="118"/>
      <c r="G614" s="113" t="str">
        <f>IF(A614&amp;B614="","",VLOOKUP(A614&amp;B614,INSUMOS!C:G,4,0))</f>
        <v/>
      </c>
      <c r="H614" s="119" t="str">
        <f t="shared" si="108"/>
        <v/>
      </c>
      <c r="I614" s="119" t="str">
        <f t="shared" si="109"/>
        <v/>
      </c>
      <c r="J614" s="115" t="str">
        <f t="shared" si="110"/>
        <v/>
      </c>
      <c r="K614" s="102" t="str">
        <f>IF(A614&amp;B614="","",VLOOKUP(A614&amp;B614,INSUMOS!C:G,5,0))</f>
        <v/>
      </c>
    </row>
    <row r="615" spans="1:11" ht="15" x14ac:dyDescent="0.25">
      <c r="A615" s="109"/>
      <c r="B615" s="116"/>
      <c r="C615" s="518" t="str">
        <f>IF(A615&amp;B615="","",VLOOKUP(A615&amp;B615,INSUMOS!C:G,2,0))</f>
        <v/>
      </c>
      <c r="D615" s="519"/>
      <c r="E615" s="117" t="str">
        <f>IF(A615&amp;B615="","",VLOOKUP(A615&amp;B615,INSUMOS!C:G,3,0))</f>
        <v/>
      </c>
      <c r="F615" s="118"/>
      <c r="G615" s="113" t="str">
        <f>IF(A615&amp;B615="","",VLOOKUP(A615&amp;B615,INSUMOS!C:G,4,0))</f>
        <v/>
      </c>
      <c r="H615" s="119" t="str">
        <f t="shared" si="108"/>
        <v/>
      </c>
      <c r="I615" s="119" t="str">
        <f t="shared" si="109"/>
        <v/>
      </c>
      <c r="J615" s="115" t="str">
        <f t="shared" si="110"/>
        <v/>
      </c>
      <c r="K615" s="102" t="str">
        <f>IF(A615&amp;B615="","",VLOOKUP(A615&amp;B615,INSUMOS!C:G,5,0))</f>
        <v/>
      </c>
    </row>
    <row r="616" spans="1:11" ht="15" x14ac:dyDescent="0.25">
      <c r="A616" s="109"/>
      <c r="B616" s="116"/>
      <c r="C616" s="518" t="str">
        <f>IF(A616&amp;B616="","",VLOOKUP(A616&amp;B616,INSUMOS!C:G,2,0))</f>
        <v/>
      </c>
      <c r="D616" s="519"/>
      <c r="E616" s="117" t="str">
        <f>IF(A616&amp;B616="","",VLOOKUP(A616&amp;B616,INSUMOS!C:G,3,0))</f>
        <v/>
      </c>
      <c r="F616" s="118"/>
      <c r="G616" s="113" t="str">
        <f>IF(A616&amp;B616="","",VLOOKUP(A616&amp;B616,INSUMOS!C:G,4,0))</f>
        <v/>
      </c>
      <c r="H616" s="119" t="str">
        <f t="shared" si="108"/>
        <v/>
      </c>
      <c r="I616" s="119" t="str">
        <f t="shared" si="109"/>
        <v/>
      </c>
      <c r="J616" s="115" t="str">
        <f t="shared" si="110"/>
        <v/>
      </c>
      <c r="K616" s="102" t="str">
        <f>IF(A616&amp;B616="","",VLOOKUP(A616&amp;B616,INSUMOS!C:G,5,0))</f>
        <v/>
      </c>
    </row>
    <row r="617" spans="1:11" ht="15" x14ac:dyDescent="0.25">
      <c r="A617" s="109"/>
      <c r="B617" s="116"/>
      <c r="C617" s="518" t="str">
        <f>IF(A617&amp;B617="","",VLOOKUP(A617&amp;B617,INSUMOS!C:G,2,0))</f>
        <v/>
      </c>
      <c r="D617" s="519"/>
      <c r="E617" s="117" t="str">
        <f>IF(A617&amp;B617="","",VLOOKUP(A617&amp;B617,INSUMOS!C:G,3,0))</f>
        <v/>
      </c>
      <c r="F617" s="118"/>
      <c r="G617" s="113" t="str">
        <f>IF(A617&amp;B617="","",VLOOKUP(A617&amp;B617,INSUMOS!C:G,4,0))</f>
        <v/>
      </c>
      <c r="H617" s="119" t="str">
        <f t="shared" si="108"/>
        <v/>
      </c>
      <c r="I617" s="119" t="str">
        <f t="shared" si="109"/>
        <v/>
      </c>
      <c r="J617" s="115" t="str">
        <f t="shared" si="110"/>
        <v/>
      </c>
      <c r="K617" s="102" t="str">
        <f>IF(A617&amp;B617="","",VLOOKUP(A617&amp;B617,INSUMOS!C:G,5,0))</f>
        <v/>
      </c>
    </row>
    <row r="618" spans="1:11" ht="15" x14ac:dyDescent="0.25">
      <c r="A618" s="109"/>
      <c r="B618" s="116"/>
      <c r="C618" s="518" t="str">
        <f>IF(A618&amp;B618="","",VLOOKUP(A618&amp;B618,INSUMOS!C:G,2,0))</f>
        <v/>
      </c>
      <c r="D618" s="519"/>
      <c r="E618" s="117" t="str">
        <f>IF(A618&amp;B618="","",VLOOKUP(A618&amp;B618,INSUMOS!C:G,3,0))</f>
        <v/>
      </c>
      <c r="F618" s="118"/>
      <c r="G618" s="113" t="str">
        <f>IF(A618&amp;B618="","",VLOOKUP(A618&amp;B618,INSUMOS!C:G,4,0))</f>
        <v/>
      </c>
      <c r="H618" s="119" t="str">
        <f t="shared" si="108"/>
        <v/>
      </c>
      <c r="I618" s="119" t="str">
        <f t="shared" si="109"/>
        <v/>
      </c>
      <c r="J618" s="115" t="str">
        <f t="shared" si="110"/>
        <v/>
      </c>
      <c r="K618" s="102" t="str">
        <f>IF(A618&amp;B618="","",VLOOKUP(A618&amp;B618,INSUMOS!C:G,5,0))</f>
        <v/>
      </c>
    </row>
    <row r="619" spans="1:11" ht="15" x14ac:dyDescent="0.25">
      <c r="A619" s="120"/>
      <c r="B619" s="121"/>
      <c r="C619" s="518" t="str">
        <f>IF(A619&amp;B619="","",VLOOKUP(A619&amp;B619,INSUMOS!C:G,2,0))</f>
        <v/>
      </c>
      <c r="D619" s="519"/>
      <c r="E619" s="117" t="str">
        <f>IF(A619&amp;B619="","",VLOOKUP(A619&amp;B619,INSUMOS!C:G,3,0))</f>
        <v/>
      </c>
      <c r="F619" s="118"/>
      <c r="G619" s="122" t="str">
        <f>IF(A619&amp;B619="","",VLOOKUP(A619&amp;B619,INSUMOS!C:G,4,0))</f>
        <v/>
      </c>
      <c r="H619" s="119" t="str">
        <f t="shared" si="108"/>
        <v/>
      </c>
      <c r="I619" s="119" t="str">
        <f t="shared" si="109"/>
        <v/>
      </c>
      <c r="J619" s="115" t="str">
        <f t="shared" si="110"/>
        <v/>
      </c>
      <c r="K619" s="102" t="str">
        <f>IF(A619&amp;B619="","",VLOOKUP(A619&amp;B619,INSUMOS!C:G,5,0))</f>
        <v/>
      </c>
    </row>
    <row r="620" spans="1:11" ht="15" x14ac:dyDescent="0.25">
      <c r="A620" s="120"/>
      <c r="B620" s="121"/>
      <c r="C620" s="518" t="str">
        <f>IF(A620&amp;B620="","",VLOOKUP(A620&amp;B620,INSUMOS!C:G,2,0))</f>
        <v/>
      </c>
      <c r="D620" s="519"/>
      <c r="E620" s="117" t="str">
        <f>IF(A620&amp;B620="","",VLOOKUP(A620&amp;B620,INSUMOS!C:G,3,0))</f>
        <v/>
      </c>
      <c r="F620" s="118"/>
      <c r="G620" s="122" t="str">
        <f>IF(A620&amp;B620="","",VLOOKUP(A620&amp;B620,INSUMOS!C:G,4,0))</f>
        <v/>
      </c>
      <c r="H620" s="119" t="str">
        <f t="shared" si="108"/>
        <v/>
      </c>
      <c r="I620" s="119" t="str">
        <f t="shared" si="109"/>
        <v/>
      </c>
      <c r="J620" s="115" t="str">
        <f t="shared" si="110"/>
        <v/>
      </c>
      <c r="K620" s="102" t="str">
        <f>IF(A620&amp;B620="","",VLOOKUP(A620&amp;B620,INSUMOS!C:G,5,0))</f>
        <v/>
      </c>
    </row>
    <row r="621" spans="1:11" ht="15" x14ac:dyDescent="0.25">
      <c r="A621" s="120"/>
      <c r="B621" s="121"/>
      <c r="C621" s="518" t="str">
        <f>IF(A621&amp;B621="","",VLOOKUP(A621&amp;B621,INSUMOS!C:G,2,0))</f>
        <v/>
      </c>
      <c r="D621" s="519"/>
      <c r="E621" s="117" t="str">
        <f>IF(A621&amp;B621="","",VLOOKUP(A621&amp;B621,INSUMOS!C:G,3,0))</f>
        <v/>
      </c>
      <c r="F621" s="118"/>
      <c r="G621" s="122" t="str">
        <f>IF(A621&amp;B621="","",VLOOKUP(A621&amp;B621,INSUMOS!C:G,4,0))</f>
        <v/>
      </c>
      <c r="H621" s="119" t="str">
        <f t="shared" si="108"/>
        <v/>
      </c>
      <c r="I621" s="119" t="str">
        <f t="shared" si="109"/>
        <v/>
      </c>
      <c r="J621" s="115" t="str">
        <f t="shared" si="110"/>
        <v/>
      </c>
      <c r="K621" s="102" t="str">
        <f>IF(A621&amp;B621="","",VLOOKUP(A621&amp;B621,INSUMOS!C:G,5,0))</f>
        <v/>
      </c>
    </row>
    <row r="622" spans="1:11" ht="15" x14ac:dyDescent="0.25">
      <c r="A622" s="123" t="s">
        <v>4399</v>
      </c>
      <c r="B622" s="520"/>
      <c r="C622" s="520"/>
      <c r="D622" s="520"/>
      <c r="E622" s="520"/>
      <c r="F622" s="521"/>
      <c r="G622" s="124" t="s">
        <v>50</v>
      </c>
      <c r="H622" s="125">
        <f>SUM(H609:H621)</f>
        <v>0</v>
      </c>
      <c r="I622" s="125">
        <f>SUM(I609:I621)</f>
        <v>9121.7800000000007</v>
      </c>
      <c r="J622" s="126">
        <f>SUM(J609:J621)</f>
        <v>0</v>
      </c>
    </row>
    <row r="623" spans="1:11" ht="15" x14ac:dyDescent="0.25">
      <c r="A623" s="127" t="s">
        <v>4400</v>
      </c>
      <c r="B623" s="128"/>
      <c r="C623" s="128"/>
      <c r="D623" s="127" t="s">
        <v>51</v>
      </c>
      <c r="E623" s="128"/>
      <c r="F623" s="129"/>
      <c r="G623" s="130" t="s">
        <v>55</v>
      </c>
      <c r="H623" s="131" t="s">
        <v>52</v>
      </c>
      <c r="I623" s="132"/>
      <c r="J623" s="125">
        <f>SUM(H622:J622)</f>
        <v>9121.7800000000007</v>
      </c>
    </row>
    <row r="624" spans="1:11" ht="15" x14ac:dyDescent="0.25">
      <c r="A624" s="313" t="str">
        <f>$I$3</f>
        <v>Carlos Wieck</v>
      </c>
      <c r="B624" s="133"/>
      <c r="C624" s="133"/>
      <c r="D624" s="134"/>
      <c r="E624" s="133"/>
      <c r="F624" s="135"/>
      <c r="G624" s="522">
        <f>$J$5</f>
        <v>43040</v>
      </c>
      <c r="H624" s="136" t="s">
        <v>53</v>
      </c>
      <c r="I624" s="137"/>
      <c r="J624" s="125">
        <f>TRUNC(I624*J623,2)</f>
        <v>0</v>
      </c>
    </row>
    <row r="625" spans="1:17" ht="15" x14ac:dyDescent="0.25">
      <c r="A625" s="138"/>
      <c r="B625" s="139"/>
      <c r="C625" s="139"/>
      <c r="D625" s="138"/>
      <c r="E625" s="139"/>
      <c r="F625" s="140"/>
      <c r="G625" s="523"/>
      <c r="H625" s="141" t="s">
        <v>54</v>
      </c>
      <c r="I625" s="142"/>
      <c r="J625" s="143">
        <f>J624+J623</f>
        <v>9121.7800000000007</v>
      </c>
      <c r="L625" s="102" t="str">
        <f>A606</f>
        <v>COMPOSIÇÃO</v>
      </c>
      <c r="M625" s="144" t="str">
        <f>B606</f>
        <v>FF-016</v>
      </c>
      <c r="N625" s="102" t="str">
        <f>L625&amp;M625</f>
        <v>COMPOSIÇÃOFF-016</v>
      </c>
      <c r="O625" s="103" t="str">
        <f>D605</f>
        <v>CX 04-B - Painéis com moldura de madeira e fechamento em policarbonato alveolar transparente de 40mm, esquadria maxim-ar e vidro fixo temperado de 8mm dim.3,00x2,56m. Fornecimento e instalação</v>
      </c>
      <c r="P625" s="145" t="str">
        <f>J606</f>
        <v>un</v>
      </c>
      <c r="Q625" s="145">
        <f>J625</f>
        <v>9121.7800000000007</v>
      </c>
    </row>
    <row r="626" spans="1:17" ht="15" customHeight="1" x14ac:dyDescent="0.25">
      <c r="A626" s="524" t="s">
        <v>40</v>
      </c>
      <c r="B626" s="525"/>
      <c r="C626" s="104" t="s">
        <v>41</v>
      </c>
      <c r="D626" s="526" t="str">
        <f>IF(B627="","",VLOOKUP(B627,SERVIÇOS!B:E,3,0))</f>
        <v>CX 04-C - Painéis com moldura de madeira e fechamento em policarbonato alveolar transparente de 40mm, esquadria maxim-ar e vidro fixo temperado de 8mm. Porta (0,70x2,56m) com moldura de madeira, fechamento em policarbonato e dois vidros fixos dim.3,00x2,56m. Fornecimento e instalação</v>
      </c>
      <c r="E626" s="526"/>
      <c r="F626" s="526"/>
      <c r="G626" s="526"/>
      <c r="H626" s="526"/>
      <c r="I626" s="527"/>
      <c r="J626" s="105" t="s">
        <v>42</v>
      </c>
    </row>
    <row r="627" spans="1:17" ht="15" x14ac:dyDescent="0.25">
      <c r="A627" s="230" t="s">
        <v>4715</v>
      </c>
      <c r="B627" s="230" t="s">
        <v>4897</v>
      </c>
      <c r="C627" s="106"/>
      <c r="D627" s="528"/>
      <c r="E627" s="528"/>
      <c r="F627" s="528"/>
      <c r="G627" s="528"/>
      <c r="H627" s="528"/>
      <c r="I627" s="529"/>
      <c r="J627" s="107" t="str">
        <f>IF(B627="","",VLOOKUP(B627,SERVIÇOS!B:E,4,0))</f>
        <v>un</v>
      </c>
    </row>
    <row r="628" spans="1:17" ht="15" x14ac:dyDescent="0.25">
      <c r="A628" s="530" t="s">
        <v>4397</v>
      </c>
      <c r="B628" s="531" t="s">
        <v>11</v>
      </c>
      <c r="C628" s="533" t="s">
        <v>43</v>
      </c>
      <c r="D628" s="534"/>
      <c r="E628" s="530" t="s">
        <v>13</v>
      </c>
      <c r="F628" s="530" t="s">
        <v>44</v>
      </c>
      <c r="G628" s="538" t="s">
        <v>45</v>
      </c>
      <c r="H628" s="108" t="s">
        <v>46</v>
      </c>
      <c r="I628" s="108"/>
      <c r="J628" s="108"/>
    </row>
    <row r="629" spans="1:17" ht="15" x14ac:dyDescent="0.25">
      <c r="A629" s="530"/>
      <c r="B629" s="532"/>
      <c r="C629" s="535"/>
      <c r="D629" s="536"/>
      <c r="E629" s="537"/>
      <c r="F629" s="537"/>
      <c r="G629" s="539"/>
      <c r="H629" s="108" t="s">
        <v>47</v>
      </c>
      <c r="I629" s="108" t="s">
        <v>48</v>
      </c>
      <c r="J629" s="108" t="s">
        <v>49</v>
      </c>
    </row>
    <row r="630" spans="1:17" ht="45" customHeight="1" x14ac:dyDescent="0.25">
      <c r="A630" s="109" t="s">
        <v>4717</v>
      </c>
      <c r="B630" s="116" t="s">
        <v>4868</v>
      </c>
      <c r="C630" s="540" t="str">
        <f>IF(A630&amp;B630="","",VLOOKUP(A630&amp;B630,INSUMOS!C:G,2,0))</f>
        <v>CX 04-C - Painéis com moldura de madeira e fechamento em policarbonato alveolar transparente de 40mm, esquadria maxim-ar e vidro fixo temperado de 8mm. Porta (0,70x2,56m) com moldura de madeira, fechamento em policarbonato e dois vidros fixos dim.3,00x2,56m. Fornecimento e instalação</v>
      </c>
      <c r="D630" s="541"/>
      <c r="E630" s="111" t="str">
        <f>IF(A630&amp;B630="","",VLOOKUP(A630&amp;B630,INSUMOS!C:G,3,0))</f>
        <v>un</v>
      </c>
      <c r="F630" s="112">
        <v>1</v>
      </c>
      <c r="G630" s="113">
        <f>IF(A630&amp;B630="","",VLOOKUP(A630&amp;B630,INSUMOS!C:G,4,0))</f>
        <v>4778.8930600000003</v>
      </c>
      <c r="H630" s="114" t="str">
        <f>IF(K630="MO",TRUNC(F630*G630,2),"")</f>
        <v/>
      </c>
      <c r="I630" s="114">
        <f>IF(K630="MT",TRUNC(F630*G630,2),"")</f>
        <v>4778.8900000000003</v>
      </c>
      <c r="J630" s="115" t="str">
        <f>IF(K630="EQ",TRUNC(F630*G630,2),"")</f>
        <v/>
      </c>
      <c r="K630" s="102" t="str">
        <f>IF(A630&amp;B630="","",VLOOKUP(A630&amp;B630,INSUMOS!C:G,5,0))</f>
        <v>MT</v>
      </c>
    </row>
    <row r="631" spans="1:17" ht="15" x14ac:dyDescent="0.25">
      <c r="A631" s="109" t="s">
        <v>4717</v>
      </c>
      <c r="B631" s="116" t="s">
        <v>4859</v>
      </c>
      <c r="C631" s="518" t="str">
        <f>IF(A631&amp;B631="","",VLOOKUP(A631&amp;B631,INSUMOS!C:G,2,0))</f>
        <v>Policarbonato 40mm - Fechamento de Caixilhos, sistema Arkowall ou equivalente técnico</v>
      </c>
      <c r="D631" s="519"/>
      <c r="E631" s="117" t="str">
        <f>IF(A631&amp;B631="","",VLOOKUP(A631&amp;B631,INSUMOS!C:G,3,0))</f>
        <v>m²</v>
      </c>
      <c r="F631" s="118">
        <f>3*2.56</f>
        <v>7.68</v>
      </c>
      <c r="G631" s="113">
        <f>IF(A631&amp;B631="","",VLOOKUP(A631&amp;B631,INSUMOS!C:G,4,0))</f>
        <v>251.73052999999999</v>
      </c>
      <c r="H631" s="119" t="str">
        <f t="shared" ref="H631:H642" si="111">IF(K631="MO",TRUNC(F631*G631,2),"")</f>
        <v/>
      </c>
      <c r="I631" s="119">
        <f t="shared" ref="I631:I642" si="112">IF(K631="MT",TRUNC(F631*G631,2),"")</f>
        <v>1933.29</v>
      </c>
      <c r="J631" s="115" t="str">
        <f t="shared" ref="J631:J642" si="113">IF(K631="EQ",TRUNC(F631*G631,2),"")</f>
        <v/>
      </c>
      <c r="K631" s="102" t="str">
        <f>IF(A631&amp;B631="","",VLOOKUP(A631&amp;B631,INSUMOS!C:G,5,0))</f>
        <v>MT</v>
      </c>
    </row>
    <row r="632" spans="1:17" ht="15" x14ac:dyDescent="0.25">
      <c r="A632" s="109" t="s">
        <v>4717</v>
      </c>
      <c r="B632" s="116" t="s">
        <v>4979</v>
      </c>
      <c r="C632" s="518" t="str">
        <f>IF(A632&amp;B632="","",VLOOKUP(A632&amp;B632,INSUMOS!C:G,2,0))</f>
        <v>Acessórios e instalações do sistema de policarbonato</v>
      </c>
      <c r="D632" s="519"/>
      <c r="E632" s="117" t="str">
        <f>IF(A632&amp;B632="","",VLOOKUP(A632&amp;B632,INSUMOS!C:G,3,0))</f>
        <v>m²</v>
      </c>
      <c r="F632" s="118">
        <f>F631</f>
        <v>7.68</v>
      </c>
      <c r="G632" s="113">
        <f>IF(A632&amp;B632="","",VLOOKUP(A632&amp;B632,INSUMOS!C:G,4,0))</f>
        <v>313.75124</v>
      </c>
      <c r="H632" s="119" t="str">
        <f t="shared" si="111"/>
        <v/>
      </c>
      <c r="I632" s="119">
        <f t="shared" si="112"/>
        <v>2409.6</v>
      </c>
      <c r="J632" s="115" t="str">
        <f t="shared" si="113"/>
        <v/>
      </c>
      <c r="K632" s="102" t="str">
        <f>IF(A632&amp;B632="","",VLOOKUP(A632&amp;B632,INSUMOS!C:G,5,0))</f>
        <v>MT</v>
      </c>
    </row>
    <row r="633" spans="1:17" ht="15" x14ac:dyDescent="0.25">
      <c r="A633" s="109"/>
      <c r="B633" s="116"/>
      <c r="C633" s="518" t="str">
        <f>IF(A633&amp;B633="","",VLOOKUP(A633&amp;B633,INSUMOS!C:G,2,0))</f>
        <v/>
      </c>
      <c r="D633" s="519"/>
      <c r="E633" s="117" t="str">
        <f>IF(A633&amp;B633="","",VLOOKUP(A633&amp;B633,INSUMOS!C:G,3,0))</f>
        <v/>
      </c>
      <c r="F633" s="118"/>
      <c r="G633" s="113" t="str">
        <f>IF(A633&amp;B633="","",VLOOKUP(A633&amp;B633,INSUMOS!C:G,4,0))</f>
        <v/>
      </c>
      <c r="H633" s="119" t="str">
        <f t="shared" si="111"/>
        <v/>
      </c>
      <c r="I633" s="119" t="str">
        <f t="shared" si="112"/>
        <v/>
      </c>
      <c r="J633" s="115" t="str">
        <f t="shared" si="113"/>
        <v/>
      </c>
      <c r="K633" s="102" t="str">
        <f>IF(A633&amp;B633="","",VLOOKUP(A633&amp;B633,INSUMOS!C:G,5,0))</f>
        <v/>
      </c>
    </row>
    <row r="634" spans="1:17" ht="15" x14ac:dyDescent="0.25">
      <c r="A634" s="109"/>
      <c r="B634" s="116"/>
      <c r="C634" s="518" t="str">
        <f>IF(A634&amp;B634="","",VLOOKUP(A634&amp;B634,INSUMOS!C:G,2,0))</f>
        <v/>
      </c>
      <c r="D634" s="519"/>
      <c r="E634" s="117" t="str">
        <f>IF(A634&amp;B634="","",VLOOKUP(A634&amp;B634,INSUMOS!C:G,3,0))</f>
        <v/>
      </c>
      <c r="F634" s="118"/>
      <c r="G634" s="113" t="str">
        <f>IF(A634&amp;B634="","",VLOOKUP(A634&amp;B634,INSUMOS!C:G,4,0))</f>
        <v/>
      </c>
      <c r="H634" s="119" t="str">
        <f t="shared" si="111"/>
        <v/>
      </c>
      <c r="I634" s="119" t="str">
        <f t="shared" si="112"/>
        <v/>
      </c>
      <c r="J634" s="115" t="str">
        <f t="shared" si="113"/>
        <v/>
      </c>
      <c r="K634" s="102" t="str">
        <f>IF(A634&amp;B634="","",VLOOKUP(A634&amp;B634,INSUMOS!C:G,5,0))</f>
        <v/>
      </c>
    </row>
    <row r="635" spans="1:17" ht="15" x14ac:dyDescent="0.25">
      <c r="A635" s="109"/>
      <c r="B635" s="116"/>
      <c r="C635" s="518" t="str">
        <f>IF(A635&amp;B635="","",VLOOKUP(A635&amp;B635,INSUMOS!C:G,2,0))</f>
        <v/>
      </c>
      <c r="D635" s="519"/>
      <c r="E635" s="117" t="str">
        <f>IF(A635&amp;B635="","",VLOOKUP(A635&amp;B635,INSUMOS!C:G,3,0))</f>
        <v/>
      </c>
      <c r="F635" s="118"/>
      <c r="G635" s="113" t="str">
        <f>IF(A635&amp;B635="","",VLOOKUP(A635&amp;B635,INSUMOS!C:G,4,0))</f>
        <v/>
      </c>
      <c r="H635" s="119" t="str">
        <f t="shared" si="111"/>
        <v/>
      </c>
      <c r="I635" s="119" t="str">
        <f t="shared" si="112"/>
        <v/>
      </c>
      <c r="J635" s="115" t="str">
        <f t="shared" si="113"/>
        <v/>
      </c>
      <c r="K635" s="102" t="str">
        <f>IF(A635&amp;B635="","",VLOOKUP(A635&amp;B635,INSUMOS!C:G,5,0))</f>
        <v/>
      </c>
    </row>
    <row r="636" spans="1:17" ht="15" x14ac:dyDescent="0.25">
      <c r="A636" s="109"/>
      <c r="B636" s="116"/>
      <c r="C636" s="518" t="str">
        <f>IF(A636&amp;B636="","",VLOOKUP(A636&amp;B636,INSUMOS!C:G,2,0))</f>
        <v/>
      </c>
      <c r="D636" s="519"/>
      <c r="E636" s="117" t="str">
        <f>IF(A636&amp;B636="","",VLOOKUP(A636&amp;B636,INSUMOS!C:G,3,0))</f>
        <v/>
      </c>
      <c r="F636" s="118"/>
      <c r="G636" s="113" t="str">
        <f>IF(A636&amp;B636="","",VLOOKUP(A636&amp;B636,INSUMOS!C:G,4,0))</f>
        <v/>
      </c>
      <c r="H636" s="119" t="str">
        <f t="shared" si="111"/>
        <v/>
      </c>
      <c r="I636" s="119" t="str">
        <f t="shared" si="112"/>
        <v/>
      </c>
      <c r="J636" s="115" t="str">
        <f t="shared" si="113"/>
        <v/>
      </c>
      <c r="K636" s="102" t="str">
        <f>IF(A636&amp;B636="","",VLOOKUP(A636&amp;B636,INSUMOS!C:G,5,0))</f>
        <v/>
      </c>
    </row>
    <row r="637" spans="1:17" ht="15" x14ac:dyDescent="0.25">
      <c r="A637" s="109"/>
      <c r="B637" s="116"/>
      <c r="C637" s="518" t="str">
        <f>IF(A637&amp;B637="","",VLOOKUP(A637&amp;B637,INSUMOS!C:G,2,0))</f>
        <v/>
      </c>
      <c r="D637" s="519"/>
      <c r="E637" s="117" t="str">
        <f>IF(A637&amp;B637="","",VLOOKUP(A637&amp;B637,INSUMOS!C:G,3,0))</f>
        <v/>
      </c>
      <c r="F637" s="118"/>
      <c r="G637" s="113" t="str">
        <f>IF(A637&amp;B637="","",VLOOKUP(A637&amp;B637,INSUMOS!C:G,4,0))</f>
        <v/>
      </c>
      <c r="H637" s="119" t="str">
        <f t="shared" si="111"/>
        <v/>
      </c>
      <c r="I637" s="119" t="str">
        <f t="shared" si="112"/>
        <v/>
      </c>
      <c r="J637" s="115" t="str">
        <f t="shared" si="113"/>
        <v/>
      </c>
      <c r="K637" s="102" t="str">
        <f>IF(A637&amp;B637="","",VLOOKUP(A637&amp;B637,INSUMOS!C:G,5,0))</f>
        <v/>
      </c>
    </row>
    <row r="638" spans="1:17" ht="15" x14ac:dyDescent="0.25">
      <c r="A638" s="109"/>
      <c r="B638" s="116"/>
      <c r="C638" s="518" t="str">
        <f>IF(A638&amp;B638="","",VLOOKUP(A638&amp;B638,INSUMOS!C:G,2,0))</f>
        <v/>
      </c>
      <c r="D638" s="519"/>
      <c r="E638" s="117" t="str">
        <f>IF(A638&amp;B638="","",VLOOKUP(A638&amp;B638,INSUMOS!C:G,3,0))</f>
        <v/>
      </c>
      <c r="F638" s="118"/>
      <c r="G638" s="113" t="str">
        <f>IF(A638&amp;B638="","",VLOOKUP(A638&amp;B638,INSUMOS!C:G,4,0))</f>
        <v/>
      </c>
      <c r="H638" s="119" t="str">
        <f t="shared" si="111"/>
        <v/>
      </c>
      <c r="I638" s="119" t="str">
        <f t="shared" si="112"/>
        <v/>
      </c>
      <c r="J638" s="115" t="str">
        <f t="shared" si="113"/>
        <v/>
      </c>
      <c r="K638" s="102" t="str">
        <f>IF(A638&amp;B638="","",VLOOKUP(A638&amp;B638,INSUMOS!C:G,5,0))</f>
        <v/>
      </c>
    </row>
    <row r="639" spans="1:17" ht="15" x14ac:dyDescent="0.25">
      <c r="A639" s="109"/>
      <c r="B639" s="116"/>
      <c r="C639" s="518" t="str">
        <f>IF(A639&amp;B639="","",VLOOKUP(A639&amp;B639,INSUMOS!C:G,2,0))</f>
        <v/>
      </c>
      <c r="D639" s="519"/>
      <c r="E639" s="117" t="str">
        <f>IF(A639&amp;B639="","",VLOOKUP(A639&amp;B639,INSUMOS!C:G,3,0))</f>
        <v/>
      </c>
      <c r="F639" s="118"/>
      <c r="G639" s="113" t="str">
        <f>IF(A639&amp;B639="","",VLOOKUP(A639&amp;B639,INSUMOS!C:G,4,0))</f>
        <v/>
      </c>
      <c r="H639" s="119" t="str">
        <f t="shared" si="111"/>
        <v/>
      </c>
      <c r="I639" s="119" t="str">
        <f t="shared" si="112"/>
        <v/>
      </c>
      <c r="J639" s="115" t="str">
        <f t="shared" si="113"/>
        <v/>
      </c>
      <c r="K639" s="102" t="str">
        <f>IF(A639&amp;B639="","",VLOOKUP(A639&amp;B639,INSUMOS!C:G,5,0))</f>
        <v/>
      </c>
    </row>
    <row r="640" spans="1:17" ht="15" x14ac:dyDescent="0.25">
      <c r="A640" s="120"/>
      <c r="B640" s="121"/>
      <c r="C640" s="518" t="str">
        <f>IF(A640&amp;B640="","",VLOOKUP(A640&amp;B640,INSUMOS!C:G,2,0))</f>
        <v/>
      </c>
      <c r="D640" s="519"/>
      <c r="E640" s="117" t="str">
        <f>IF(A640&amp;B640="","",VLOOKUP(A640&amp;B640,INSUMOS!C:G,3,0))</f>
        <v/>
      </c>
      <c r="F640" s="118"/>
      <c r="G640" s="122" t="str">
        <f>IF(A640&amp;B640="","",VLOOKUP(A640&amp;B640,INSUMOS!C:G,4,0))</f>
        <v/>
      </c>
      <c r="H640" s="119" t="str">
        <f t="shared" si="111"/>
        <v/>
      </c>
      <c r="I640" s="119" t="str">
        <f t="shared" si="112"/>
        <v/>
      </c>
      <c r="J640" s="115" t="str">
        <f t="shared" si="113"/>
        <v/>
      </c>
      <c r="K640" s="102" t="str">
        <f>IF(A640&amp;B640="","",VLOOKUP(A640&amp;B640,INSUMOS!C:G,5,0))</f>
        <v/>
      </c>
    </row>
    <row r="641" spans="1:17" ht="15" x14ac:dyDescent="0.25">
      <c r="A641" s="120"/>
      <c r="B641" s="121"/>
      <c r="C641" s="518" t="str">
        <f>IF(A641&amp;B641="","",VLOOKUP(A641&amp;B641,INSUMOS!C:G,2,0))</f>
        <v/>
      </c>
      <c r="D641" s="519"/>
      <c r="E641" s="117" t="str">
        <f>IF(A641&amp;B641="","",VLOOKUP(A641&amp;B641,INSUMOS!C:G,3,0))</f>
        <v/>
      </c>
      <c r="F641" s="118"/>
      <c r="G641" s="122" t="str">
        <f>IF(A641&amp;B641="","",VLOOKUP(A641&amp;B641,INSUMOS!C:G,4,0))</f>
        <v/>
      </c>
      <c r="H641" s="119" t="str">
        <f t="shared" si="111"/>
        <v/>
      </c>
      <c r="I641" s="119" t="str">
        <f t="shared" si="112"/>
        <v/>
      </c>
      <c r="J641" s="115" t="str">
        <f t="shared" si="113"/>
        <v/>
      </c>
      <c r="K641" s="102" t="str">
        <f>IF(A641&amp;B641="","",VLOOKUP(A641&amp;B641,INSUMOS!C:G,5,0))</f>
        <v/>
      </c>
    </row>
    <row r="642" spans="1:17" ht="15" x14ac:dyDescent="0.25">
      <c r="A642" s="120"/>
      <c r="B642" s="121"/>
      <c r="C642" s="518" t="str">
        <f>IF(A642&amp;B642="","",VLOOKUP(A642&amp;B642,INSUMOS!C:G,2,0))</f>
        <v/>
      </c>
      <c r="D642" s="519"/>
      <c r="E642" s="117" t="str">
        <f>IF(A642&amp;B642="","",VLOOKUP(A642&amp;B642,INSUMOS!C:G,3,0))</f>
        <v/>
      </c>
      <c r="F642" s="118"/>
      <c r="G642" s="122" t="str">
        <f>IF(A642&amp;B642="","",VLOOKUP(A642&amp;B642,INSUMOS!C:G,4,0))</f>
        <v/>
      </c>
      <c r="H642" s="119" t="str">
        <f t="shared" si="111"/>
        <v/>
      </c>
      <c r="I642" s="119" t="str">
        <f t="shared" si="112"/>
        <v/>
      </c>
      <c r="J642" s="115" t="str">
        <f t="shared" si="113"/>
        <v/>
      </c>
      <c r="K642" s="102" t="str">
        <f>IF(A642&amp;B642="","",VLOOKUP(A642&amp;B642,INSUMOS!C:G,5,0))</f>
        <v/>
      </c>
    </row>
    <row r="643" spans="1:17" ht="15" x14ac:dyDescent="0.25">
      <c r="A643" s="123" t="s">
        <v>4399</v>
      </c>
      <c r="B643" s="520"/>
      <c r="C643" s="520"/>
      <c r="D643" s="520"/>
      <c r="E643" s="520"/>
      <c r="F643" s="521"/>
      <c r="G643" s="124" t="s">
        <v>50</v>
      </c>
      <c r="H643" s="125">
        <f>SUM(H630:H642)</f>
        <v>0</v>
      </c>
      <c r="I643" s="125">
        <f>SUM(I630:I642)</f>
        <v>9121.7800000000007</v>
      </c>
      <c r="J643" s="126">
        <f>SUM(J630:J642)</f>
        <v>0</v>
      </c>
    </row>
    <row r="644" spans="1:17" ht="15" x14ac:dyDescent="0.25">
      <c r="A644" s="127" t="s">
        <v>4400</v>
      </c>
      <c r="B644" s="128"/>
      <c r="C644" s="128"/>
      <c r="D644" s="127" t="s">
        <v>51</v>
      </c>
      <c r="E644" s="128"/>
      <c r="F644" s="129"/>
      <c r="G644" s="130" t="s">
        <v>55</v>
      </c>
      <c r="H644" s="131" t="s">
        <v>52</v>
      </c>
      <c r="I644" s="132"/>
      <c r="J644" s="125">
        <f>SUM(H643:J643)</f>
        <v>9121.7800000000007</v>
      </c>
    </row>
    <row r="645" spans="1:17" ht="15" x14ac:dyDescent="0.25">
      <c r="A645" s="313" t="str">
        <f>$I$3</f>
        <v>Carlos Wieck</v>
      </c>
      <c r="B645" s="133"/>
      <c r="C645" s="133"/>
      <c r="D645" s="134"/>
      <c r="E645" s="133"/>
      <c r="F645" s="135"/>
      <c r="G645" s="522">
        <f>$J$5</f>
        <v>43040</v>
      </c>
      <c r="H645" s="136" t="s">
        <v>53</v>
      </c>
      <c r="I645" s="137"/>
      <c r="J645" s="125">
        <f>TRUNC(I645*J644,2)</f>
        <v>0</v>
      </c>
    </row>
    <row r="646" spans="1:17" ht="15" x14ac:dyDescent="0.25">
      <c r="A646" s="138"/>
      <c r="B646" s="139"/>
      <c r="C646" s="139"/>
      <c r="D646" s="138"/>
      <c r="E646" s="139"/>
      <c r="F646" s="140"/>
      <c r="G646" s="523"/>
      <c r="H646" s="141" t="s">
        <v>54</v>
      </c>
      <c r="I646" s="142"/>
      <c r="J646" s="143">
        <f>J645+J644</f>
        <v>9121.7800000000007</v>
      </c>
      <c r="L646" s="102" t="str">
        <f>A627</f>
        <v>COMPOSIÇÃO</v>
      </c>
      <c r="M646" s="144" t="str">
        <f>B627</f>
        <v>FF-017</v>
      </c>
      <c r="N646" s="102" t="str">
        <f>L646&amp;M646</f>
        <v>COMPOSIÇÃOFF-017</v>
      </c>
      <c r="O646" s="103" t="str">
        <f>D626</f>
        <v>CX 04-C - Painéis com moldura de madeira e fechamento em policarbonato alveolar transparente de 40mm, esquadria maxim-ar e vidro fixo temperado de 8mm. Porta (0,70x2,56m) com moldura de madeira, fechamento em policarbonato e dois vidros fixos dim.3,00x2,56m. Fornecimento e instalação</v>
      </c>
      <c r="P646" s="145" t="str">
        <f>J627</f>
        <v>un</v>
      </c>
      <c r="Q646" s="145">
        <f>J646</f>
        <v>9121.7800000000007</v>
      </c>
    </row>
    <row r="647" spans="1:17" ht="15" customHeight="1" x14ac:dyDescent="0.25">
      <c r="A647" s="524" t="s">
        <v>40</v>
      </c>
      <c r="B647" s="525"/>
      <c r="C647" s="104" t="s">
        <v>41</v>
      </c>
      <c r="D647" s="526" t="str">
        <f>IF(B648="","",VLOOKUP(B648,SERVIÇOS!B:E,3,0))</f>
        <v>CX 04-D - Painéis com moldura de madeira, fechamento em policarbonato alveolar transparente de 40mm e esquadria maxim-ar com vidro temperado de 8mm. No vão do elevador, fechamento somente com policarbonato. Dim.3,00x2,56m. Fornecimento e instalação</v>
      </c>
      <c r="E647" s="526"/>
      <c r="F647" s="526"/>
      <c r="G647" s="526"/>
      <c r="H647" s="526"/>
      <c r="I647" s="527"/>
      <c r="J647" s="105" t="s">
        <v>42</v>
      </c>
    </row>
    <row r="648" spans="1:17" ht="15" x14ac:dyDescent="0.25">
      <c r="A648" s="230" t="s">
        <v>4715</v>
      </c>
      <c r="B648" s="230" t="s">
        <v>4898</v>
      </c>
      <c r="C648" s="106"/>
      <c r="D648" s="528"/>
      <c r="E648" s="528"/>
      <c r="F648" s="528"/>
      <c r="G648" s="528"/>
      <c r="H648" s="528"/>
      <c r="I648" s="529"/>
      <c r="J648" s="107" t="str">
        <f>IF(B648="","",VLOOKUP(B648,SERVIÇOS!B:E,4,0))</f>
        <v>un</v>
      </c>
    </row>
    <row r="649" spans="1:17" ht="15" x14ac:dyDescent="0.25">
      <c r="A649" s="530" t="s">
        <v>4397</v>
      </c>
      <c r="B649" s="531" t="s">
        <v>11</v>
      </c>
      <c r="C649" s="533" t="s">
        <v>43</v>
      </c>
      <c r="D649" s="534"/>
      <c r="E649" s="530" t="s">
        <v>13</v>
      </c>
      <c r="F649" s="530" t="s">
        <v>44</v>
      </c>
      <c r="G649" s="538" t="s">
        <v>45</v>
      </c>
      <c r="H649" s="108" t="s">
        <v>46</v>
      </c>
      <c r="I649" s="108"/>
      <c r="J649" s="108"/>
    </row>
    <row r="650" spans="1:17" ht="15" x14ac:dyDescent="0.25">
      <c r="A650" s="530"/>
      <c r="B650" s="532"/>
      <c r="C650" s="535"/>
      <c r="D650" s="536"/>
      <c r="E650" s="537"/>
      <c r="F650" s="537"/>
      <c r="G650" s="539"/>
      <c r="H650" s="108" t="s">
        <v>47</v>
      </c>
      <c r="I650" s="108" t="s">
        <v>48</v>
      </c>
      <c r="J650" s="108" t="s">
        <v>49</v>
      </c>
    </row>
    <row r="651" spans="1:17" ht="45" customHeight="1" x14ac:dyDescent="0.25">
      <c r="A651" s="109" t="s">
        <v>4717</v>
      </c>
      <c r="B651" s="116" t="s">
        <v>4869</v>
      </c>
      <c r="C651" s="540" t="str">
        <f>IF(A651&amp;B651="","",VLOOKUP(A651&amp;B651,INSUMOS!C:G,2,0))</f>
        <v>CX 04-D - Painéis com moldura de madeira, fechamento em policarbonato alveolar transparente de 40mm e esquadria maxim-ar com vidro temperado de 8mm. No vão do elevador, fechamento somente com policarbonato. Dim.3,00x2,56m. Fornecimento e instalação</v>
      </c>
      <c r="D651" s="541"/>
      <c r="E651" s="111" t="str">
        <f>IF(A651&amp;B651="","",VLOOKUP(A651&amp;B651,INSUMOS!C:G,3,0))</f>
        <v>un</v>
      </c>
      <c r="F651" s="112">
        <v>1</v>
      </c>
      <c r="G651" s="113">
        <f>IF(A651&amp;B651="","",VLOOKUP(A651&amp;B651,INSUMOS!C:G,4,0))</f>
        <v>4778.8930600000003</v>
      </c>
      <c r="H651" s="114" t="str">
        <f>IF(K651="MO",TRUNC(F651*G651,2),"")</f>
        <v/>
      </c>
      <c r="I651" s="114">
        <f>IF(K651="MT",TRUNC(F651*G651,2),"")</f>
        <v>4778.8900000000003</v>
      </c>
      <c r="J651" s="115" t="str">
        <f>IF(K651="EQ",TRUNC(F651*G651,2),"")</f>
        <v/>
      </c>
      <c r="K651" s="102" t="str">
        <f>IF(A651&amp;B651="","",VLOOKUP(A651&amp;B651,INSUMOS!C:G,5,0))</f>
        <v>MT</v>
      </c>
    </row>
    <row r="652" spans="1:17" ht="15" x14ac:dyDescent="0.25">
      <c r="A652" s="109" t="s">
        <v>4717</v>
      </c>
      <c r="B652" s="116" t="s">
        <v>4859</v>
      </c>
      <c r="C652" s="518" t="str">
        <f>IF(A652&amp;B652="","",VLOOKUP(A652&amp;B652,INSUMOS!C:G,2,0))</f>
        <v>Policarbonato 40mm - Fechamento de Caixilhos, sistema Arkowall ou equivalente técnico</v>
      </c>
      <c r="D652" s="519"/>
      <c r="E652" s="117" t="str">
        <f>IF(A652&amp;B652="","",VLOOKUP(A652&amp;B652,INSUMOS!C:G,3,0))</f>
        <v>m²</v>
      </c>
      <c r="F652" s="118">
        <f>3*2.56</f>
        <v>7.68</v>
      </c>
      <c r="G652" s="113">
        <f>IF(A652&amp;B652="","",VLOOKUP(A652&amp;B652,INSUMOS!C:G,4,0))</f>
        <v>251.73052999999999</v>
      </c>
      <c r="H652" s="119" t="str">
        <f t="shared" ref="H652:H663" si="114">IF(K652="MO",TRUNC(F652*G652,2),"")</f>
        <v/>
      </c>
      <c r="I652" s="119">
        <f t="shared" ref="I652:I663" si="115">IF(K652="MT",TRUNC(F652*G652,2),"")</f>
        <v>1933.29</v>
      </c>
      <c r="J652" s="115" t="str">
        <f t="shared" ref="J652:J663" si="116">IF(K652="EQ",TRUNC(F652*G652,2),"")</f>
        <v/>
      </c>
      <c r="K652" s="102" t="str">
        <f>IF(A652&amp;B652="","",VLOOKUP(A652&amp;B652,INSUMOS!C:G,5,0))</f>
        <v>MT</v>
      </c>
    </row>
    <row r="653" spans="1:17" ht="15" x14ac:dyDescent="0.25">
      <c r="A653" s="109" t="s">
        <v>4717</v>
      </c>
      <c r="B653" s="116" t="s">
        <v>4979</v>
      </c>
      <c r="C653" s="518" t="str">
        <f>IF(A653&amp;B653="","",VLOOKUP(A653&amp;B653,INSUMOS!C:G,2,0))</f>
        <v>Acessórios e instalações do sistema de policarbonato</v>
      </c>
      <c r="D653" s="519"/>
      <c r="E653" s="117" t="str">
        <f>IF(A653&amp;B653="","",VLOOKUP(A653&amp;B653,INSUMOS!C:G,3,0))</f>
        <v>m²</v>
      </c>
      <c r="F653" s="118">
        <f>F652</f>
        <v>7.68</v>
      </c>
      <c r="G653" s="113">
        <f>IF(A653&amp;B653="","",VLOOKUP(A653&amp;B653,INSUMOS!C:G,4,0))</f>
        <v>313.75124</v>
      </c>
      <c r="H653" s="119" t="str">
        <f t="shared" si="114"/>
        <v/>
      </c>
      <c r="I653" s="119">
        <f t="shared" si="115"/>
        <v>2409.6</v>
      </c>
      <c r="J653" s="115" t="str">
        <f t="shared" si="116"/>
        <v/>
      </c>
      <c r="K653" s="102" t="str">
        <f>IF(A653&amp;B653="","",VLOOKUP(A653&amp;B653,INSUMOS!C:G,5,0))</f>
        <v>MT</v>
      </c>
    </row>
    <row r="654" spans="1:17" ht="15" x14ac:dyDescent="0.25">
      <c r="A654" s="109"/>
      <c r="B654" s="116"/>
      <c r="C654" s="518" t="str">
        <f>IF(A654&amp;B654="","",VLOOKUP(A654&amp;B654,INSUMOS!C:G,2,0))</f>
        <v/>
      </c>
      <c r="D654" s="519"/>
      <c r="E654" s="117" t="str">
        <f>IF(A654&amp;B654="","",VLOOKUP(A654&amp;B654,INSUMOS!C:G,3,0))</f>
        <v/>
      </c>
      <c r="F654" s="118"/>
      <c r="G654" s="113" t="str">
        <f>IF(A654&amp;B654="","",VLOOKUP(A654&amp;B654,INSUMOS!C:G,4,0))</f>
        <v/>
      </c>
      <c r="H654" s="119" t="str">
        <f t="shared" si="114"/>
        <v/>
      </c>
      <c r="I654" s="119" t="str">
        <f t="shared" si="115"/>
        <v/>
      </c>
      <c r="J654" s="115" t="str">
        <f t="shared" si="116"/>
        <v/>
      </c>
      <c r="K654" s="102" t="str">
        <f>IF(A654&amp;B654="","",VLOOKUP(A654&amp;B654,INSUMOS!C:G,5,0))</f>
        <v/>
      </c>
    </row>
    <row r="655" spans="1:17" ht="15" x14ac:dyDescent="0.25">
      <c r="A655" s="109"/>
      <c r="B655" s="116"/>
      <c r="C655" s="518" t="str">
        <f>IF(A655&amp;B655="","",VLOOKUP(A655&amp;B655,INSUMOS!C:G,2,0))</f>
        <v/>
      </c>
      <c r="D655" s="519"/>
      <c r="E655" s="117" t="str">
        <f>IF(A655&amp;B655="","",VLOOKUP(A655&amp;B655,INSUMOS!C:G,3,0))</f>
        <v/>
      </c>
      <c r="F655" s="118"/>
      <c r="G655" s="113" t="str">
        <f>IF(A655&amp;B655="","",VLOOKUP(A655&amp;B655,INSUMOS!C:G,4,0))</f>
        <v/>
      </c>
      <c r="H655" s="119" t="str">
        <f t="shared" si="114"/>
        <v/>
      </c>
      <c r="I655" s="119" t="str">
        <f t="shared" si="115"/>
        <v/>
      </c>
      <c r="J655" s="115" t="str">
        <f t="shared" si="116"/>
        <v/>
      </c>
      <c r="K655" s="102" t="str">
        <f>IF(A655&amp;B655="","",VLOOKUP(A655&amp;B655,INSUMOS!C:G,5,0))</f>
        <v/>
      </c>
    </row>
    <row r="656" spans="1:17" ht="15" x14ac:dyDescent="0.25">
      <c r="A656" s="109"/>
      <c r="B656" s="116"/>
      <c r="C656" s="518" t="str">
        <f>IF(A656&amp;B656="","",VLOOKUP(A656&amp;B656,INSUMOS!C:G,2,0))</f>
        <v/>
      </c>
      <c r="D656" s="519"/>
      <c r="E656" s="117" t="str">
        <f>IF(A656&amp;B656="","",VLOOKUP(A656&amp;B656,INSUMOS!C:G,3,0))</f>
        <v/>
      </c>
      <c r="F656" s="118"/>
      <c r="G656" s="113" t="str">
        <f>IF(A656&amp;B656="","",VLOOKUP(A656&amp;B656,INSUMOS!C:G,4,0))</f>
        <v/>
      </c>
      <c r="H656" s="119" t="str">
        <f t="shared" si="114"/>
        <v/>
      </c>
      <c r="I656" s="119" t="str">
        <f t="shared" si="115"/>
        <v/>
      </c>
      <c r="J656" s="115" t="str">
        <f t="shared" si="116"/>
        <v/>
      </c>
      <c r="K656" s="102" t="str">
        <f>IF(A656&amp;B656="","",VLOOKUP(A656&amp;B656,INSUMOS!C:G,5,0))</f>
        <v/>
      </c>
    </row>
    <row r="657" spans="1:17" ht="15" x14ac:dyDescent="0.25">
      <c r="A657" s="109"/>
      <c r="B657" s="116"/>
      <c r="C657" s="518" t="str">
        <f>IF(A657&amp;B657="","",VLOOKUP(A657&amp;B657,INSUMOS!C:G,2,0))</f>
        <v/>
      </c>
      <c r="D657" s="519"/>
      <c r="E657" s="117" t="str">
        <f>IF(A657&amp;B657="","",VLOOKUP(A657&amp;B657,INSUMOS!C:G,3,0))</f>
        <v/>
      </c>
      <c r="F657" s="118"/>
      <c r="G657" s="113" t="str">
        <f>IF(A657&amp;B657="","",VLOOKUP(A657&amp;B657,INSUMOS!C:G,4,0))</f>
        <v/>
      </c>
      <c r="H657" s="119" t="str">
        <f t="shared" si="114"/>
        <v/>
      </c>
      <c r="I657" s="119" t="str">
        <f t="shared" si="115"/>
        <v/>
      </c>
      <c r="J657" s="115" t="str">
        <f t="shared" si="116"/>
        <v/>
      </c>
      <c r="K657" s="102" t="str">
        <f>IF(A657&amp;B657="","",VLOOKUP(A657&amp;B657,INSUMOS!C:G,5,0))</f>
        <v/>
      </c>
    </row>
    <row r="658" spans="1:17" ht="15" x14ac:dyDescent="0.25">
      <c r="A658" s="109"/>
      <c r="B658" s="116"/>
      <c r="C658" s="518" t="str">
        <f>IF(A658&amp;B658="","",VLOOKUP(A658&amp;B658,INSUMOS!C:G,2,0))</f>
        <v/>
      </c>
      <c r="D658" s="519"/>
      <c r="E658" s="117" t="str">
        <f>IF(A658&amp;B658="","",VLOOKUP(A658&amp;B658,INSUMOS!C:G,3,0))</f>
        <v/>
      </c>
      <c r="F658" s="118"/>
      <c r="G658" s="113" t="str">
        <f>IF(A658&amp;B658="","",VLOOKUP(A658&amp;B658,INSUMOS!C:G,4,0))</f>
        <v/>
      </c>
      <c r="H658" s="119" t="str">
        <f t="shared" si="114"/>
        <v/>
      </c>
      <c r="I658" s="119" t="str">
        <f t="shared" si="115"/>
        <v/>
      </c>
      <c r="J658" s="115" t="str">
        <f t="shared" si="116"/>
        <v/>
      </c>
      <c r="K658" s="102" t="str">
        <f>IF(A658&amp;B658="","",VLOOKUP(A658&amp;B658,INSUMOS!C:G,5,0))</f>
        <v/>
      </c>
    </row>
    <row r="659" spans="1:17" ht="15" x14ac:dyDescent="0.25">
      <c r="A659" s="109"/>
      <c r="B659" s="116"/>
      <c r="C659" s="518" t="str">
        <f>IF(A659&amp;B659="","",VLOOKUP(A659&amp;B659,INSUMOS!C:G,2,0))</f>
        <v/>
      </c>
      <c r="D659" s="519"/>
      <c r="E659" s="117" t="str">
        <f>IF(A659&amp;B659="","",VLOOKUP(A659&amp;B659,INSUMOS!C:G,3,0))</f>
        <v/>
      </c>
      <c r="F659" s="118"/>
      <c r="G659" s="113" t="str">
        <f>IF(A659&amp;B659="","",VLOOKUP(A659&amp;B659,INSUMOS!C:G,4,0))</f>
        <v/>
      </c>
      <c r="H659" s="119" t="str">
        <f t="shared" si="114"/>
        <v/>
      </c>
      <c r="I659" s="119" t="str">
        <f t="shared" si="115"/>
        <v/>
      </c>
      <c r="J659" s="115" t="str">
        <f t="shared" si="116"/>
        <v/>
      </c>
      <c r="K659" s="102" t="str">
        <f>IF(A659&amp;B659="","",VLOOKUP(A659&amp;B659,INSUMOS!C:G,5,0))</f>
        <v/>
      </c>
    </row>
    <row r="660" spans="1:17" ht="15" x14ac:dyDescent="0.25">
      <c r="A660" s="109"/>
      <c r="B660" s="116"/>
      <c r="C660" s="518" t="str">
        <f>IF(A660&amp;B660="","",VLOOKUP(A660&amp;B660,INSUMOS!C:G,2,0))</f>
        <v/>
      </c>
      <c r="D660" s="519"/>
      <c r="E660" s="117" t="str">
        <f>IF(A660&amp;B660="","",VLOOKUP(A660&amp;B660,INSUMOS!C:G,3,0))</f>
        <v/>
      </c>
      <c r="F660" s="118"/>
      <c r="G660" s="113" t="str">
        <f>IF(A660&amp;B660="","",VLOOKUP(A660&amp;B660,INSUMOS!C:G,4,0))</f>
        <v/>
      </c>
      <c r="H660" s="119" t="str">
        <f t="shared" si="114"/>
        <v/>
      </c>
      <c r="I660" s="119" t="str">
        <f t="shared" si="115"/>
        <v/>
      </c>
      <c r="J660" s="115" t="str">
        <f t="shared" si="116"/>
        <v/>
      </c>
      <c r="K660" s="102" t="str">
        <f>IF(A660&amp;B660="","",VLOOKUP(A660&amp;B660,INSUMOS!C:G,5,0))</f>
        <v/>
      </c>
    </row>
    <row r="661" spans="1:17" ht="15" x14ac:dyDescent="0.25">
      <c r="A661" s="120"/>
      <c r="B661" s="121"/>
      <c r="C661" s="518" t="str">
        <f>IF(A661&amp;B661="","",VLOOKUP(A661&amp;B661,INSUMOS!C:G,2,0))</f>
        <v/>
      </c>
      <c r="D661" s="519"/>
      <c r="E661" s="117" t="str">
        <f>IF(A661&amp;B661="","",VLOOKUP(A661&amp;B661,INSUMOS!C:G,3,0))</f>
        <v/>
      </c>
      <c r="F661" s="118"/>
      <c r="G661" s="122" t="str">
        <f>IF(A661&amp;B661="","",VLOOKUP(A661&amp;B661,INSUMOS!C:G,4,0))</f>
        <v/>
      </c>
      <c r="H661" s="119" t="str">
        <f t="shared" si="114"/>
        <v/>
      </c>
      <c r="I661" s="119" t="str">
        <f t="shared" si="115"/>
        <v/>
      </c>
      <c r="J661" s="115" t="str">
        <f t="shared" si="116"/>
        <v/>
      </c>
      <c r="K661" s="102" t="str">
        <f>IF(A661&amp;B661="","",VLOOKUP(A661&amp;B661,INSUMOS!C:G,5,0))</f>
        <v/>
      </c>
    </row>
    <row r="662" spans="1:17" ht="15" x14ac:dyDescent="0.25">
      <c r="A662" s="120"/>
      <c r="B662" s="121"/>
      <c r="C662" s="518" t="str">
        <f>IF(A662&amp;B662="","",VLOOKUP(A662&amp;B662,INSUMOS!C:G,2,0))</f>
        <v/>
      </c>
      <c r="D662" s="519"/>
      <c r="E662" s="117" t="str">
        <f>IF(A662&amp;B662="","",VLOOKUP(A662&amp;B662,INSUMOS!C:G,3,0))</f>
        <v/>
      </c>
      <c r="F662" s="118"/>
      <c r="G662" s="122" t="str">
        <f>IF(A662&amp;B662="","",VLOOKUP(A662&amp;B662,INSUMOS!C:G,4,0))</f>
        <v/>
      </c>
      <c r="H662" s="119" t="str">
        <f t="shared" si="114"/>
        <v/>
      </c>
      <c r="I662" s="119" t="str">
        <f t="shared" si="115"/>
        <v/>
      </c>
      <c r="J662" s="115" t="str">
        <f t="shared" si="116"/>
        <v/>
      </c>
      <c r="K662" s="102" t="str">
        <f>IF(A662&amp;B662="","",VLOOKUP(A662&amp;B662,INSUMOS!C:G,5,0))</f>
        <v/>
      </c>
    </row>
    <row r="663" spans="1:17" ht="15" x14ac:dyDescent="0.25">
      <c r="A663" s="120"/>
      <c r="B663" s="121"/>
      <c r="C663" s="518" t="str">
        <f>IF(A663&amp;B663="","",VLOOKUP(A663&amp;B663,INSUMOS!C:G,2,0))</f>
        <v/>
      </c>
      <c r="D663" s="519"/>
      <c r="E663" s="117" t="str">
        <f>IF(A663&amp;B663="","",VLOOKUP(A663&amp;B663,INSUMOS!C:G,3,0))</f>
        <v/>
      </c>
      <c r="F663" s="118"/>
      <c r="G663" s="122" t="str">
        <f>IF(A663&amp;B663="","",VLOOKUP(A663&amp;B663,INSUMOS!C:G,4,0))</f>
        <v/>
      </c>
      <c r="H663" s="119" t="str">
        <f t="shared" si="114"/>
        <v/>
      </c>
      <c r="I663" s="119" t="str">
        <f t="shared" si="115"/>
        <v/>
      </c>
      <c r="J663" s="115" t="str">
        <f t="shared" si="116"/>
        <v/>
      </c>
      <c r="K663" s="102" t="str">
        <f>IF(A663&amp;B663="","",VLOOKUP(A663&amp;B663,INSUMOS!C:G,5,0))</f>
        <v/>
      </c>
    </row>
    <row r="664" spans="1:17" ht="15" x14ac:dyDescent="0.25">
      <c r="A664" s="123" t="s">
        <v>4399</v>
      </c>
      <c r="B664" s="520"/>
      <c r="C664" s="520"/>
      <c r="D664" s="520"/>
      <c r="E664" s="520"/>
      <c r="F664" s="521"/>
      <c r="G664" s="124" t="s">
        <v>50</v>
      </c>
      <c r="H664" s="125">
        <f>SUM(H651:H663)</f>
        <v>0</v>
      </c>
      <c r="I664" s="125">
        <f>SUM(I651:I663)</f>
        <v>9121.7800000000007</v>
      </c>
      <c r="J664" s="126">
        <f>SUM(J651:J663)</f>
        <v>0</v>
      </c>
    </row>
    <row r="665" spans="1:17" ht="15" x14ac:dyDescent="0.25">
      <c r="A665" s="127" t="s">
        <v>4400</v>
      </c>
      <c r="B665" s="128"/>
      <c r="C665" s="128"/>
      <c r="D665" s="127" t="s">
        <v>51</v>
      </c>
      <c r="E665" s="128"/>
      <c r="F665" s="129"/>
      <c r="G665" s="130" t="s">
        <v>55</v>
      </c>
      <c r="H665" s="131" t="s">
        <v>52</v>
      </c>
      <c r="I665" s="132"/>
      <c r="J665" s="125">
        <f>SUM(H664:J664)</f>
        <v>9121.7800000000007</v>
      </c>
    </row>
    <row r="666" spans="1:17" ht="15" x14ac:dyDescent="0.25">
      <c r="A666" s="313" t="str">
        <f>$I$3</f>
        <v>Carlos Wieck</v>
      </c>
      <c r="B666" s="133"/>
      <c r="C666" s="133"/>
      <c r="D666" s="134"/>
      <c r="E666" s="133"/>
      <c r="F666" s="135"/>
      <c r="G666" s="522">
        <f>$J$5</f>
        <v>43040</v>
      </c>
      <c r="H666" s="136" t="s">
        <v>53</v>
      </c>
      <c r="I666" s="137"/>
      <c r="J666" s="125">
        <f>TRUNC(I666*J665,2)</f>
        <v>0</v>
      </c>
    </row>
    <row r="667" spans="1:17" ht="15" x14ac:dyDescent="0.25">
      <c r="A667" s="138"/>
      <c r="B667" s="139"/>
      <c r="C667" s="139"/>
      <c r="D667" s="138"/>
      <c r="E667" s="139"/>
      <c r="F667" s="140"/>
      <c r="G667" s="523"/>
      <c r="H667" s="141" t="s">
        <v>54</v>
      </c>
      <c r="I667" s="142"/>
      <c r="J667" s="143">
        <f>J666+J665</f>
        <v>9121.7800000000007</v>
      </c>
      <c r="L667" s="102" t="str">
        <f>A648</f>
        <v>COMPOSIÇÃO</v>
      </c>
      <c r="M667" s="144" t="str">
        <f>B648</f>
        <v>FF-018</v>
      </c>
      <c r="N667" s="102" t="str">
        <f>L667&amp;M667</f>
        <v>COMPOSIÇÃOFF-018</v>
      </c>
      <c r="O667" s="103" t="str">
        <f>D647</f>
        <v>CX 04-D - Painéis com moldura de madeira, fechamento em policarbonato alveolar transparente de 40mm e esquadria maxim-ar com vidro temperado de 8mm. No vão do elevador, fechamento somente com policarbonato. Dim.3,00x2,56m. Fornecimento e instalação</v>
      </c>
      <c r="P667" s="145" t="str">
        <f>J648</f>
        <v>un</v>
      </c>
      <c r="Q667" s="145">
        <f>J667</f>
        <v>9121.7800000000007</v>
      </c>
    </row>
    <row r="668" spans="1:17" ht="15" customHeight="1" x14ac:dyDescent="0.25">
      <c r="A668" s="524" t="s">
        <v>40</v>
      </c>
      <c r="B668" s="525"/>
      <c r="C668" s="104" t="s">
        <v>41</v>
      </c>
      <c r="D668" s="526" t="str">
        <f>IF(B669="","",VLOOKUP(B669,SERVIÇOS!B:E,3,0))</f>
        <v>PM01 - Porta de madeira com bandeira dim.0,90x2,56m. Fornecimento e instalação</v>
      </c>
      <c r="E668" s="526"/>
      <c r="F668" s="526"/>
      <c r="G668" s="526"/>
      <c r="H668" s="526"/>
      <c r="I668" s="527"/>
      <c r="J668" s="105" t="s">
        <v>42</v>
      </c>
    </row>
    <row r="669" spans="1:17" ht="15" x14ac:dyDescent="0.25">
      <c r="A669" s="230" t="s">
        <v>4715</v>
      </c>
      <c r="B669" s="230" t="s">
        <v>4899</v>
      </c>
      <c r="C669" s="106"/>
      <c r="D669" s="528"/>
      <c r="E669" s="528"/>
      <c r="F669" s="528"/>
      <c r="G669" s="528"/>
      <c r="H669" s="528"/>
      <c r="I669" s="529"/>
      <c r="J669" s="107" t="str">
        <f>IF(B669="","",VLOOKUP(B669,SERVIÇOS!B:E,4,0))</f>
        <v>un</v>
      </c>
    </row>
    <row r="670" spans="1:17" ht="15" x14ac:dyDescent="0.25">
      <c r="A670" s="530" t="s">
        <v>4397</v>
      </c>
      <c r="B670" s="531" t="s">
        <v>11</v>
      </c>
      <c r="C670" s="533" t="s">
        <v>43</v>
      </c>
      <c r="D670" s="534"/>
      <c r="E670" s="530" t="s">
        <v>13</v>
      </c>
      <c r="F670" s="530" t="s">
        <v>44</v>
      </c>
      <c r="G670" s="538" t="s">
        <v>45</v>
      </c>
      <c r="H670" s="108" t="s">
        <v>46</v>
      </c>
      <c r="I670" s="108"/>
      <c r="J670" s="108"/>
    </row>
    <row r="671" spans="1:17" ht="15" x14ac:dyDescent="0.25">
      <c r="A671" s="530"/>
      <c r="B671" s="532"/>
      <c r="C671" s="535"/>
      <c r="D671" s="536"/>
      <c r="E671" s="537"/>
      <c r="F671" s="537"/>
      <c r="G671" s="539"/>
      <c r="H671" s="108" t="s">
        <v>47</v>
      </c>
      <c r="I671" s="108" t="s">
        <v>48</v>
      </c>
      <c r="J671" s="108" t="s">
        <v>49</v>
      </c>
    </row>
    <row r="672" spans="1:17" ht="15" x14ac:dyDescent="0.25">
      <c r="A672" s="109" t="s">
        <v>4717</v>
      </c>
      <c r="B672" s="116" t="s">
        <v>4870</v>
      </c>
      <c r="C672" s="540" t="str">
        <f>IF(A672&amp;B672="","",VLOOKUP(A672&amp;B672,INSUMOS!C:G,2,0))</f>
        <v>PM01 - Porta de madeira com bandeira dim.0,90x2,56m. Fornecimento e instalação</v>
      </c>
      <c r="D672" s="541"/>
      <c r="E672" s="111" t="str">
        <f>IF(A672&amp;B672="","",VLOOKUP(A672&amp;B672,INSUMOS!C:G,3,0))</f>
        <v>un</v>
      </c>
      <c r="F672" s="112">
        <v>1</v>
      </c>
      <c r="G672" s="113">
        <f>IF(A672&amp;B672="","",VLOOKUP(A672&amp;B672,INSUMOS!C:G,4,0))</f>
        <v>3725.6936799999999</v>
      </c>
      <c r="H672" s="114" t="str">
        <f>IF(K672="MO",TRUNC(F672*G672,2),"")</f>
        <v/>
      </c>
      <c r="I672" s="114">
        <f>IF(K672="MT",TRUNC(F672*G672,2),"")</f>
        <v>3725.69</v>
      </c>
      <c r="J672" s="115" t="str">
        <f>IF(K672="EQ",TRUNC(F672*G672,2),"")</f>
        <v/>
      </c>
      <c r="K672" s="102" t="str">
        <f>IF(A672&amp;B672="","",VLOOKUP(A672&amp;B672,INSUMOS!C:G,5,0))</f>
        <v>MT</v>
      </c>
    </row>
    <row r="673" spans="1:17" ht="15" x14ac:dyDescent="0.25">
      <c r="A673" s="109"/>
      <c r="B673" s="116"/>
      <c r="C673" s="518" t="str">
        <f>IF(A673&amp;B673="","",VLOOKUP(A673&amp;B673,INSUMOS!C:G,2,0))</f>
        <v/>
      </c>
      <c r="D673" s="519"/>
      <c r="E673" s="117" t="str">
        <f>IF(A673&amp;B673="","",VLOOKUP(A673&amp;B673,INSUMOS!C:G,3,0))</f>
        <v/>
      </c>
      <c r="F673" s="118"/>
      <c r="G673" s="113" t="str">
        <f>IF(A673&amp;B673="","",VLOOKUP(A673&amp;B673,INSUMOS!C:G,4,0))</f>
        <v/>
      </c>
      <c r="H673" s="119" t="str">
        <f t="shared" ref="H673:H684" si="117">IF(K673="MO",TRUNC(F673*G673,2),"")</f>
        <v/>
      </c>
      <c r="I673" s="119" t="str">
        <f t="shared" ref="I673:I684" si="118">IF(K673="MT",TRUNC(F673*G673,2),"")</f>
        <v/>
      </c>
      <c r="J673" s="115" t="str">
        <f t="shared" ref="J673:J684" si="119">IF(K673="EQ",TRUNC(F673*G673,2),"")</f>
        <v/>
      </c>
      <c r="K673" s="102" t="str">
        <f>IF(A673&amp;B673="","",VLOOKUP(A673&amp;B673,INSUMOS!C:G,5,0))</f>
        <v/>
      </c>
    </row>
    <row r="674" spans="1:17" ht="15" x14ac:dyDescent="0.25">
      <c r="A674" s="109"/>
      <c r="B674" s="116"/>
      <c r="C674" s="518" t="str">
        <f>IF(A674&amp;B674="","",VLOOKUP(A674&amp;B674,INSUMOS!C:G,2,0))</f>
        <v/>
      </c>
      <c r="D674" s="519"/>
      <c r="E674" s="117" t="str">
        <f>IF(A674&amp;B674="","",VLOOKUP(A674&amp;B674,INSUMOS!C:G,3,0))</f>
        <v/>
      </c>
      <c r="F674" s="118"/>
      <c r="G674" s="113" t="str">
        <f>IF(A674&amp;B674="","",VLOOKUP(A674&amp;B674,INSUMOS!C:G,4,0))</f>
        <v/>
      </c>
      <c r="H674" s="119" t="str">
        <f t="shared" si="117"/>
        <v/>
      </c>
      <c r="I674" s="119" t="str">
        <f t="shared" si="118"/>
        <v/>
      </c>
      <c r="J674" s="115" t="str">
        <f t="shared" si="119"/>
        <v/>
      </c>
      <c r="K674" s="102" t="str">
        <f>IF(A674&amp;B674="","",VLOOKUP(A674&amp;B674,INSUMOS!C:G,5,0))</f>
        <v/>
      </c>
    </row>
    <row r="675" spans="1:17" ht="15" x14ac:dyDescent="0.25">
      <c r="A675" s="109"/>
      <c r="B675" s="116"/>
      <c r="C675" s="518" t="str">
        <f>IF(A675&amp;B675="","",VLOOKUP(A675&amp;B675,INSUMOS!C:G,2,0))</f>
        <v/>
      </c>
      <c r="D675" s="519"/>
      <c r="E675" s="117" t="str">
        <f>IF(A675&amp;B675="","",VLOOKUP(A675&amp;B675,INSUMOS!C:G,3,0))</f>
        <v/>
      </c>
      <c r="F675" s="118"/>
      <c r="G675" s="113" t="str">
        <f>IF(A675&amp;B675="","",VLOOKUP(A675&amp;B675,INSUMOS!C:G,4,0))</f>
        <v/>
      </c>
      <c r="H675" s="119" t="str">
        <f t="shared" si="117"/>
        <v/>
      </c>
      <c r="I675" s="119" t="str">
        <f t="shared" si="118"/>
        <v/>
      </c>
      <c r="J675" s="115" t="str">
        <f t="shared" si="119"/>
        <v/>
      </c>
      <c r="K675" s="102" t="str">
        <f>IF(A675&amp;B675="","",VLOOKUP(A675&amp;B675,INSUMOS!C:G,5,0))</f>
        <v/>
      </c>
    </row>
    <row r="676" spans="1:17" ht="15" x14ac:dyDescent="0.25">
      <c r="A676" s="109"/>
      <c r="B676" s="116"/>
      <c r="C676" s="518" t="str">
        <f>IF(A676&amp;B676="","",VLOOKUP(A676&amp;B676,INSUMOS!C:G,2,0))</f>
        <v/>
      </c>
      <c r="D676" s="519"/>
      <c r="E676" s="117" t="str">
        <f>IF(A676&amp;B676="","",VLOOKUP(A676&amp;B676,INSUMOS!C:G,3,0))</f>
        <v/>
      </c>
      <c r="F676" s="118"/>
      <c r="G676" s="113" t="str">
        <f>IF(A676&amp;B676="","",VLOOKUP(A676&amp;B676,INSUMOS!C:G,4,0))</f>
        <v/>
      </c>
      <c r="H676" s="119" t="str">
        <f t="shared" si="117"/>
        <v/>
      </c>
      <c r="I676" s="119" t="str">
        <f t="shared" si="118"/>
        <v/>
      </c>
      <c r="J676" s="115" t="str">
        <f t="shared" si="119"/>
        <v/>
      </c>
      <c r="K676" s="102" t="str">
        <f>IF(A676&amp;B676="","",VLOOKUP(A676&amp;B676,INSUMOS!C:G,5,0))</f>
        <v/>
      </c>
    </row>
    <row r="677" spans="1:17" ht="15" x14ac:dyDescent="0.25">
      <c r="A677" s="109"/>
      <c r="B677" s="116"/>
      <c r="C677" s="518" t="str">
        <f>IF(A677&amp;B677="","",VLOOKUP(A677&amp;B677,INSUMOS!C:G,2,0))</f>
        <v/>
      </c>
      <c r="D677" s="519"/>
      <c r="E677" s="117" t="str">
        <f>IF(A677&amp;B677="","",VLOOKUP(A677&amp;B677,INSUMOS!C:G,3,0))</f>
        <v/>
      </c>
      <c r="F677" s="118"/>
      <c r="G677" s="113" t="str">
        <f>IF(A677&amp;B677="","",VLOOKUP(A677&amp;B677,INSUMOS!C:G,4,0))</f>
        <v/>
      </c>
      <c r="H677" s="119" t="str">
        <f t="shared" si="117"/>
        <v/>
      </c>
      <c r="I677" s="119" t="str">
        <f t="shared" si="118"/>
        <v/>
      </c>
      <c r="J677" s="115" t="str">
        <f t="shared" si="119"/>
        <v/>
      </c>
      <c r="K677" s="102" t="str">
        <f>IF(A677&amp;B677="","",VLOOKUP(A677&amp;B677,INSUMOS!C:G,5,0))</f>
        <v/>
      </c>
    </row>
    <row r="678" spans="1:17" ht="15" x14ac:dyDescent="0.25">
      <c r="A678" s="109"/>
      <c r="B678" s="116"/>
      <c r="C678" s="518" t="str">
        <f>IF(A678&amp;B678="","",VLOOKUP(A678&amp;B678,INSUMOS!C:G,2,0))</f>
        <v/>
      </c>
      <c r="D678" s="519"/>
      <c r="E678" s="117" t="str">
        <f>IF(A678&amp;B678="","",VLOOKUP(A678&amp;B678,INSUMOS!C:G,3,0))</f>
        <v/>
      </c>
      <c r="F678" s="118"/>
      <c r="G678" s="113" t="str">
        <f>IF(A678&amp;B678="","",VLOOKUP(A678&amp;B678,INSUMOS!C:G,4,0))</f>
        <v/>
      </c>
      <c r="H678" s="119" t="str">
        <f t="shared" si="117"/>
        <v/>
      </c>
      <c r="I678" s="119" t="str">
        <f t="shared" si="118"/>
        <v/>
      </c>
      <c r="J678" s="115" t="str">
        <f t="shared" si="119"/>
        <v/>
      </c>
      <c r="K678" s="102" t="str">
        <f>IF(A678&amp;B678="","",VLOOKUP(A678&amp;B678,INSUMOS!C:G,5,0))</f>
        <v/>
      </c>
    </row>
    <row r="679" spans="1:17" ht="15" x14ac:dyDescent="0.25">
      <c r="A679" s="109"/>
      <c r="B679" s="116"/>
      <c r="C679" s="518" t="str">
        <f>IF(A679&amp;B679="","",VLOOKUP(A679&amp;B679,INSUMOS!C:G,2,0))</f>
        <v/>
      </c>
      <c r="D679" s="519"/>
      <c r="E679" s="117" t="str">
        <f>IF(A679&amp;B679="","",VLOOKUP(A679&amp;B679,INSUMOS!C:G,3,0))</f>
        <v/>
      </c>
      <c r="F679" s="118"/>
      <c r="G679" s="113" t="str">
        <f>IF(A679&amp;B679="","",VLOOKUP(A679&amp;B679,INSUMOS!C:G,4,0))</f>
        <v/>
      </c>
      <c r="H679" s="119" t="str">
        <f t="shared" si="117"/>
        <v/>
      </c>
      <c r="I679" s="119" t="str">
        <f t="shared" si="118"/>
        <v/>
      </c>
      <c r="J679" s="115" t="str">
        <f t="shared" si="119"/>
        <v/>
      </c>
      <c r="K679" s="102" t="str">
        <f>IF(A679&amp;B679="","",VLOOKUP(A679&amp;B679,INSUMOS!C:G,5,0))</f>
        <v/>
      </c>
    </row>
    <row r="680" spans="1:17" ht="15" x14ac:dyDescent="0.25">
      <c r="A680" s="109"/>
      <c r="B680" s="116"/>
      <c r="C680" s="518" t="str">
        <f>IF(A680&amp;B680="","",VLOOKUP(A680&amp;B680,INSUMOS!C:G,2,0))</f>
        <v/>
      </c>
      <c r="D680" s="519"/>
      <c r="E680" s="117" t="str">
        <f>IF(A680&amp;B680="","",VLOOKUP(A680&amp;B680,INSUMOS!C:G,3,0))</f>
        <v/>
      </c>
      <c r="F680" s="118"/>
      <c r="G680" s="113" t="str">
        <f>IF(A680&amp;B680="","",VLOOKUP(A680&amp;B680,INSUMOS!C:G,4,0))</f>
        <v/>
      </c>
      <c r="H680" s="119" t="str">
        <f t="shared" si="117"/>
        <v/>
      </c>
      <c r="I680" s="119" t="str">
        <f t="shared" si="118"/>
        <v/>
      </c>
      <c r="J680" s="115" t="str">
        <f t="shared" si="119"/>
        <v/>
      </c>
      <c r="K680" s="102" t="str">
        <f>IF(A680&amp;B680="","",VLOOKUP(A680&amp;B680,INSUMOS!C:G,5,0))</f>
        <v/>
      </c>
    </row>
    <row r="681" spans="1:17" ht="15" x14ac:dyDescent="0.25">
      <c r="A681" s="109"/>
      <c r="B681" s="116"/>
      <c r="C681" s="518" t="str">
        <f>IF(A681&amp;B681="","",VLOOKUP(A681&amp;B681,INSUMOS!C:G,2,0))</f>
        <v/>
      </c>
      <c r="D681" s="519"/>
      <c r="E681" s="117" t="str">
        <f>IF(A681&amp;B681="","",VLOOKUP(A681&amp;B681,INSUMOS!C:G,3,0))</f>
        <v/>
      </c>
      <c r="F681" s="118"/>
      <c r="G681" s="113" t="str">
        <f>IF(A681&amp;B681="","",VLOOKUP(A681&amp;B681,INSUMOS!C:G,4,0))</f>
        <v/>
      </c>
      <c r="H681" s="119" t="str">
        <f t="shared" si="117"/>
        <v/>
      </c>
      <c r="I681" s="119" t="str">
        <f t="shared" si="118"/>
        <v/>
      </c>
      <c r="J681" s="115" t="str">
        <f t="shared" si="119"/>
        <v/>
      </c>
      <c r="K681" s="102" t="str">
        <f>IF(A681&amp;B681="","",VLOOKUP(A681&amp;B681,INSUMOS!C:G,5,0))</f>
        <v/>
      </c>
    </row>
    <row r="682" spans="1:17" ht="15" x14ac:dyDescent="0.25">
      <c r="A682" s="120"/>
      <c r="B682" s="121"/>
      <c r="C682" s="518" t="str">
        <f>IF(A682&amp;B682="","",VLOOKUP(A682&amp;B682,INSUMOS!C:G,2,0))</f>
        <v/>
      </c>
      <c r="D682" s="519"/>
      <c r="E682" s="117" t="str">
        <f>IF(A682&amp;B682="","",VLOOKUP(A682&amp;B682,INSUMOS!C:G,3,0))</f>
        <v/>
      </c>
      <c r="F682" s="118"/>
      <c r="G682" s="122" t="str">
        <f>IF(A682&amp;B682="","",VLOOKUP(A682&amp;B682,INSUMOS!C:G,4,0))</f>
        <v/>
      </c>
      <c r="H682" s="119" t="str">
        <f t="shared" si="117"/>
        <v/>
      </c>
      <c r="I682" s="119" t="str">
        <f t="shared" si="118"/>
        <v/>
      </c>
      <c r="J682" s="115" t="str">
        <f t="shared" si="119"/>
        <v/>
      </c>
      <c r="K682" s="102" t="str">
        <f>IF(A682&amp;B682="","",VLOOKUP(A682&amp;B682,INSUMOS!C:G,5,0))</f>
        <v/>
      </c>
    </row>
    <row r="683" spans="1:17" ht="15" x14ac:dyDescent="0.25">
      <c r="A683" s="120"/>
      <c r="B683" s="121"/>
      <c r="C683" s="518" t="str">
        <f>IF(A683&amp;B683="","",VLOOKUP(A683&amp;B683,INSUMOS!C:G,2,0))</f>
        <v/>
      </c>
      <c r="D683" s="519"/>
      <c r="E683" s="117" t="str">
        <f>IF(A683&amp;B683="","",VLOOKUP(A683&amp;B683,INSUMOS!C:G,3,0))</f>
        <v/>
      </c>
      <c r="F683" s="118"/>
      <c r="G683" s="122" t="str">
        <f>IF(A683&amp;B683="","",VLOOKUP(A683&amp;B683,INSUMOS!C:G,4,0))</f>
        <v/>
      </c>
      <c r="H683" s="119" t="str">
        <f t="shared" si="117"/>
        <v/>
      </c>
      <c r="I683" s="119" t="str">
        <f t="shared" si="118"/>
        <v/>
      </c>
      <c r="J683" s="115" t="str">
        <f t="shared" si="119"/>
        <v/>
      </c>
      <c r="K683" s="102" t="str">
        <f>IF(A683&amp;B683="","",VLOOKUP(A683&amp;B683,INSUMOS!C:G,5,0))</f>
        <v/>
      </c>
    </row>
    <row r="684" spans="1:17" ht="15" x14ac:dyDescent="0.25">
      <c r="A684" s="120"/>
      <c r="B684" s="121"/>
      <c r="C684" s="518" t="str">
        <f>IF(A684&amp;B684="","",VLOOKUP(A684&amp;B684,INSUMOS!C:G,2,0))</f>
        <v/>
      </c>
      <c r="D684" s="519"/>
      <c r="E684" s="117" t="str">
        <f>IF(A684&amp;B684="","",VLOOKUP(A684&amp;B684,INSUMOS!C:G,3,0))</f>
        <v/>
      </c>
      <c r="F684" s="118"/>
      <c r="G684" s="122" t="str">
        <f>IF(A684&amp;B684="","",VLOOKUP(A684&amp;B684,INSUMOS!C:G,4,0))</f>
        <v/>
      </c>
      <c r="H684" s="119" t="str">
        <f t="shared" si="117"/>
        <v/>
      </c>
      <c r="I684" s="119" t="str">
        <f t="shared" si="118"/>
        <v/>
      </c>
      <c r="J684" s="115" t="str">
        <f t="shared" si="119"/>
        <v/>
      </c>
      <c r="K684" s="102" t="str">
        <f>IF(A684&amp;B684="","",VLOOKUP(A684&amp;B684,INSUMOS!C:G,5,0))</f>
        <v/>
      </c>
    </row>
    <row r="685" spans="1:17" ht="15" x14ac:dyDescent="0.25">
      <c r="A685" s="123" t="s">
        <v>4399</v>
      </c>
      <c r="B685" s="520"/>
      <c r="C685" s="520"/>
      <c r="D685" s="520"/>
      <c r="E685" s="520"/>
      <c r="F685" s="521"/>
      <c r="G685" s="124" t="s">
        <v>50</v>
      </c>
      <c r="H685" s="125">
        <f>SUM(H672:H684)</f>
        <v>0</v>
      </c>
      <c r="I685" s="125">
        <f>SUM(I672:I684)</f>
        <v>3725.69</v>
      </c>
      <c r="J685" s="126">
        <f>SUM(J672:J684)</f>
        <v>0</v>
      </c>
    </row>
    <row r="686" spans="1:17" ht="15" x14ac:dyDescent="0.25">
      <c r="A686" s="127" t="s">
        <v>4400</v>
      </c>
      <c r="B686" s="128"/>
      <c r="C686" s="128"/>
      <c r="D686" s="127" t="s">
        <v>51</v>
      </c>
      <c r="E686" s="128"/>
      <c r="F686" s="129"/>
      <c r="G686" s="130" t="s">
        <v>55</v>
      </c>
      <c r="H686" s="131" t="s">
        <v>52</v>
      </c>
      <c r="I686" s="132"/>
      <c r="J686" s="125">
        <f>SUM(H685:J685)</f>
        <v>3725.69</v>
      </c>
    </row>
    <row r="687" spans="1:17" ht="15" x14ac:dyDescent="0.25">
      <c r="A687" s="313" t="str">
        <f>$I$3</f>
        <v>Carlos Wieck</v>
      </c>
      <c r="B687" s="133"/>
      <c r="C687" s="133"/>
      <c r="D687" s="134"/>
      <c r="E687" s="133"/>
      <c r="F687" s="135"/>
      <c r="G687" s="522">
        <f>$J$5</f>
        <v>43040</v>
      </c>
      <c r="H687" s="136" t="s">
        <v>53</v>
      </c>
      <c r="I687" s="137"/>
      <c r="J687" s="125">
        <f>TRUNC(I687*J686,2)</f>
        <v>0</v>
      </c>
    </row>
    <row r="688" spans="1:17" ht="15" x14ac:dyDescent="0.25">
      <c r="A688" s="138"/>
      <c r="B688" s="139"/>
      <c r="C688" s="139"/>
      <c r="D688" s="138"/>
      <c r="E688" s="139"/>
      <c r="F688" s="140"/>
      <c r="G688" s="523"/>
      <c r="H688" s="141" t="s">
        <v>54</v>
      </c>
      <c r="I688" s="142"/>
      <c r="J688" s="143">
        <f>J687+J686</f>
        <v>3725.69</v>
      </c>
      <c r="L688" s="102" t="str">
        <f>A669</f>
        <v>COMPOSIÇÃO</v>
      </c>
      <c r="M688" s="144" t="str">
        <f>B669</f>
        <v>FF-019</v>
      </c>
      <c r="N688" s="102" t="str">
        <f>L688&amp;M688</f>
        <v>COMPOSIÇÃOFF-019</v>
      </c>
      <c r="O688" s="103" t="str">
        <f>D668</f>
        <v>PM01 - Porta de madeira com bandeira dim.0,90x2,56m. Fornecimento e instalação</v>
      </c>
      <c r="P688" s="145" t="str">
        <f>J669</f>
        <v>un</v>
      </c>
      <c r="Q688" s="145">
        <f>J688</f>
        <v>3725.69</v>
      </c>
    </row>
    <row r="689" spans="1:11" ht="15" customHeight="1" x14ac:dyDescent="0.25">
      <c r="A689" s="524" t="s">
        <v>40</v>
      </c>
      <c r="B689" s="525"/>
      <c r="C689" s="104" t="s">
        <v>41</v>
      </c>
      <c r="D689" s="526" t="str">
        <f>IF(B690="","",VLOOKUP(B690,SERVIÇOS!B:E,3,0))</f>
        <v>PM02 - Porta de madeira com bandeira dim.0,80x2,56m. Fornecimento e instalação</v>
      </c>
      <c r="E689" s="526"/>
      <c r="F689" s="526"/>
      <c r="G689" s="526"/>
      <c r="H689" s="526"/>
      <c r="I689" s="527"/>
      <c r="J689" s="105" t="s">
        <v>42</v>
      </c>
    </row>
    <row r="690" spans="1:11" ht="15" x14ac:dyDescent="0.25">
      <c r="A690" s="230" t="s">
        <v>4715</v>
      </c>
      <c r="B690" s="230" t="s">
        <v>4900</v>
      </c>
      <c r="C690" s="106"/>
      <c r="D690" s="528"/>
      <c r="E690" s="528"/>
      <c r="F690" s="528"/>
      <c r="G690" s="528"/>
      <c r="H690" s="528"/>
      <c r="I690" s="529"/>
      <c r="J690" s="107" t="str">
        <f>IF(B690="","",VLOOKUP(B690,SERVIÇOS!B:E,4,0))</f>
        <v>un</v>
      </c>
    </row>
    <row r="691" spans="1:11" ht="15" x14ac:dyDescent="0.25">
      <c r="A691" s="530" t="s">
        <v>4397</v>
      </c>
      <c r="B691" s="531" t="s">
        <v>11</v>
      </c>
      <c r="C691" s="533" t="s">
        <v>43</v>
      </c>
      <c r="D691" s="534"/>
      <c r="E691" s="530" t="s">
        <v>13</v>
      </c>
      <c r="F691" s="530" t="s">
        <v>44</v>
      </c>
      <c r="G691" s="538" t="s">
        <v>45</v>
      </c>
      <c r="H691" s="108" t="s">
        <v>46</v>
      </c>
      <c r="I691" s="108"/>
      <c r="J691" s="108"/>
    </row>
    <row r="692" spans="1:11" ht="15" x14ac:dyDescent="0.25">
      <c r="A692" s="530"/>
      <c r="B692" s="532"/>
      <c r="C692" s="535"/>
      <c r="D692" s="536"/>
      <c r="E692" s="537"/>
      <c r="F692" s="537"/>
      <c r="G692" s="539"/>
      <c r="H692" s="108" t="s">
        <v>47</v>
      </c>
      <c r="I692" s="108" t="s">
        <v>48</v>
      </c>
      <c r="J692" s="108" t="s">
        <v>49</v>
      </c>
    </row>
    <row r="693" spans="1:11" ht="15" x14ac:dyDescent="0.25">
      <c r="A693" s="109" t="s">
        <v>4717</v>
      </c>
      <c r="B693" s="116" t="s">
        <v>4871</v>
      </c>
      <c r="C693" s="540" t="str">
        <f>IF(A693&amp;B693="","",VLOOKUP(A693&amp;B693,INSUMOS!C:G,2,0))</f>
        <v>PM02 - Porta de madeira com bandeira dim.0,80x2,56m. Fornecimento e instalação</v>
      </c>
      <c r="D693" s="541"/>
      <c r="E693" s="111" t="str">
        <f>IF(A693&amp;B693="","",VLOOKUP(A693&amp;B693,INSUMOS!C:G,3,0))</f>
        <v>un</v>
      </c>
      <c r="F693" s="112">
        <v>1</v>
      </c>
      <c r="G693" s="113">
        <f>IF(A693&amp;B693="","",VLOOKUP(A693&amp;B693,INSUMOS!C:G,4,0))</f>
        <v>721.28453999999999</v>
      </c>
      <c r="H693" s="114" t="str">
        <f>IF(K693="MO",TRUNC(F693*G693,2),"")</f>
        <v/>
      </c>
      <c r="I693" s="114">
        <f>IF(K693="MT",TRUNC(F693*G693,2),"")</f>
        <v>721.28</v>
      </c>
      <c r="J693" s="115" t="str">
        <f>IF(K693="EQ",TRUNC(F693*G693,2),"")</f>
        <v/>
      </c>
      <c r="K693" s="102" t="str">
        <f>IF(A693&amp;B693="","",VLOOKUP(A693&amp;B693,INSUMOS!C:G,5,0))</f>
        <v>MT</v>
      </c>
    </row>
    <row r="694" spans="1:11" ht="15" x14ac:dyDescent="0.25">
      <c r="A694" s="109"/>
      <c r="B694" s="116"/>
      <c r="C694" s="518" t="str">
        <f>IF(A694&amp;B694="","",VLOOKUP(A694&amp;B694,INSUMOS!C:G,2,0))</f>
        <v/>
      </c>
      <c r="D694" s="519"/>
      <c r="E694" s="117" t="str">
        <f>IF(A694&amp;B694="","",VLOOKUP(A694&amp;B694,INSUMOS!C:G,3,0))</f>
        <v/>
      </c>
      <c r="F694" s="118"/>
      <c r="G694" s="113" t="str">
        <f>IF(A694&amp;B694="","",VLOOKUP(A694&amp;B694,INSUMOS!C:G,4,0))</f>
        <v/>
      </c>
      <c r="H694" s="119" t="str">
        <f t="shared" ref="H694:H705" si="120">IF(K694="MO",TRUNC(F694*G694,2),"")</f>
        <v/>
      </c>
      <c r="I694" s="119" t="str">
        <f t="shared" ref="I694:I705" si="121">IF(K694="MT",TRUNC(F694*G694,2),"")</f>
        <v/>
      </c>
      <c r="J694" s="115" t="str">
        <f t="shared" ref="J694:J705" si="122">IF(K694="EQ",TRUNC(F694*G694,2),"")</f>
        <v/>
      </c>
      <c r="K694" s="102" t="str">
        <f>IF(A694&amp;B694="","",VLOOKUP(A694&amp;B694,INSUMOS!C:G,5,0))</f>
        <v/>
      </c>
    </row>
    <row r="695" spans="1:11" ht="15" x14ac:dyDescent="0.25">
      <c r="A695" s="109"/>
      <c r="B695" s="116"/>
      <c r="C695" s="518" t="str">
        <f>IF(A695&amp;B695="","",VLOOKUP(A695&amp;B695,INSUMOS!C:G,2,0))</f>
        <v/>
      </c>
      <c r="D695" s="519"/>
      <c r="E695" s="117" t="str">
        <f>IF(A695&amp;B695="","",VLOOKUP(A695&amp;B695,INSUMOS!C:G,3,0))</f>
        <v/>
      </c>
      <c r="F695" s="118"/>
      <c r="G695" s="113" t="str">
        <f>IF(A695&amp;B695="","",VLOOKUP(A695&amp;B695,INSUMOS!C:G,4,0))</f>
        <v/>
      </c>
      <c r="H695" s="119" t="str">
        <f t="shared" si="120"/>
        <v/>
      </c>
      <c r="I695" s="119" t="str">
        <f t="shared" si="121"/>
        <v/>
      </c>
      <c r="J695" s="115" t="str">
        <f t="shared" si="122"/>
        <v/>
      </c>
      <c r="K695" s="102" t="str">
        <f>IF(A695&amp;B695="","",VLOOKUP(A695&amp;B695,INSUMOS!C:G,5,0))</f>
        <v/>
      </c>
    </row>
    <row r="696" spans="1:11" ht="15" x14ac:dyDescent="0.25">
      <c r="A696" s="109"/>
      <c r="B696" s="116"/>
      <c r="C696" s="518" t="str">
        <f>IF(A696&amp;B696="","",VLOOKUP(A696&amp;B696,INSUMOS!C:G,2,0))</f>
        <v/>
      </c>
      <c r="D696" s="519"/>
      <c r="E696" s="117" t="str">
        <f>IF(A696&amp;B696="","",VLOOKUP(A696&amp;B696,INSUMOS!C:G,3,0))</f>
        <v/>
      </c>
      <c r="F696" s="118"/>
      <c r="G696" s="113" t="str">
        <f>IF(A696&amp;B696="","",VLOOKUP(A696&amp;B696,INSUMOS!C:G,4,0))</f>
        <v/>
      </c>
      <c r="H696" s="119" t="str">
        <f t="shared" si="120"/>
        <v/>
      </c>
      <c r="I696" s="119" t="str">
        <f t="shared" si="121"/>
        <v/>
      </c>
      <c r="J696" s="115" t="str">
        <f t="shared" si="122"/>
        <v/>
      </c>
      <c r="K696" s="102" t="str">
        <f>IF(A696&amp;B696="","",VLOOKUP(A696&amp;B696,INSUMOS!C:G,5,0))</f>
        <v/>
      </c>
    </row>
    <row r="697" spans="1:11" ht="15" x14ac:dyDescent="0.25">
      <c r="A697" s="109"/>
      <c r="B697" s="116"/>
      <c r="C697" s="518" t="str">
        <f>IF(A697&amp;B697="","",VLOOKUP(A697&amp;B697,INSUMOS!C:G,2,0))</f>
        <v/>
      </c>
      <c r="D697" s="519"/>
      <c r="E697" s="117" t="str">
        <f>IF(A697&amp;B697="","",VLOOKUP(A697&amp;B697,INSUMOS!C:G,3,0))</f>
        <v/>
      </c>
      <c r="F697" s="118"/>
      <c r="G697" s="113" t="str">
        <f>IF(A697&amp;B697="","",VLOOKUP(A697&amp;B697,INSUMOS!C:G,4,0))</f>
        <v/>
      </c>
      <c r="H697" s="119" t="str">
        <f t="shared" si="120"/>
        <v/>
      </c>
      <c r="I697" s="119" t="str">
        <f t="shared" si="121"/>
        <v/>
      </c>
      <c r="J697" s="115" t="str">
        <f t="shared" si="122"/>
        <v/>
      </c>
      <c r="K697" s="102" t="str">
        <f>IF(A697&amp;B697="","",VLOOKUP(A697&amp;B697,INSUMOS!C:G,5,0))</f>
        <v/>
      </c>
    </row>
    <row r="698" spans="1:11" ht="15" x14ac:dyDescent="0.25">
      <c r="A698" s="109"/>
      <c r="B698" s="116"/>
      <c r="C698" s="518" t="str">
        <f>IF(A698&amp;B698="","",VLOOKUP(A698&amp;B698,INSUMOS!C:G,2,0))</f>
        <v/>
      </c>
      <c r="D698" s="519"/>
      <c r="E698" s="117" t="str">
        <f>IF(A698&amp;B698="","",VLOOKUP(A698&amp;B698,INSUMOS!C:G,3,0))</f>
        <v/>
      </c>
      <c r="F698" s="118"/>
      <c r="G698" s="113" t="str">
        <f>IF(A698&amp;B698="","",VLOOKUP(A698&amp;B698,INSUMOS!C:G,4,0))</f>
        <v/>
      </c>
      <c r="H698" s="119" t="str">
        <f t="shared" si="120"/>
        <v/>
      </c>
      <c r="I698" s="119" t="str">
        <f t="shared" si="121"/>
        <v/>
      </c>
      <c r="J698" s="115" t="str">
        <f t="shared" si="122"/>
        <v/>
      </c>
      <c r="K698" s="102" t="str">
        <f>IF(A698&amp;B698="","",VLOOKUP(A698&amp;B698,INSUMOS!C:G,5,0))</f>
        <v/>
      </c>
    </row>
    <row r="699" spans="1:11" ht="15" x14ac:dyDescent="0.25">
      <c r="A699" s="109"/>
      <c r="B699" s="116"/>
      <c r="C699" s="518" t="str">
        <f>IF(A699&amp;B699="","",VLOOKUP(A699&amp;B699,INSUMOS!C:G,2,0))</f>
        <v/>
      </c>
      <c r="D699" s="519"/>
      <c r="E699" s="117" t="str">
        <f>IF(A699&amp;B699="","",VLOOKUP(A699&amp;B699,INSUMOS!C:G,3,0))</f>
        <v/>
      </c>
      <c r="F699" s="118"/>
      <c r="G699" s="113" t="str">
        <f>IF(A699&amp;B699="","",VLOOKUP(A699&amp;B699,INSUMOS!C:G,4,0))</f>
        <v/>
      </c>
      <c r="H699" s="119" t="str">
        <f t="shared" si="120"/>
        <v/>
      </c>
      <c r="I699" s="119" t="str">
        <f t="shared" si="121"/>
        <v/>
      </c>
      <c r="J699" s="115" t="str">
        <f t="shared" si="122"/>
        <v/>
      </c>
      <c r="K699" s="102" t="str">
        <f>IF(A699&amp;B699="","",VLOOKUP(A699&amp;B699,INSUMOS!C:G,5,0))</f>
        <v/>
      </c>
    </row>
    <row r="700" spans="1:11" ht="15" x14ac:dyDescent="0.25">
      <c r="A700" s="109"/>
      <c r="B700" s="116"/>
      <c r="C700" s="518" t="str">
        <f>IF(A700&amp;B700="","",VLOOKUP(A700&amp;B700,INSUMOS!C:G,2,0))</f>
        <v/>
      </c>
      <c r="D700" s="519"/>
      <c r="E700" s="117" t="str">
        <f>IF(A700&amp;B700="","",VLOOKUP(A700&amp;B700,INSUMOS!C:G,3,0))</f>
        <v/>
      </c>
      <c r="F700" s="118"/>
      <c r="G700" s="113" t="str">
        <f>IF(A700&amp;B700="","",VLOOKUP(A700&amp;B700,INSUMOS!C:G,4,0))</f>
        <v/>
      </c>
      <c r="H700" s="119" t="str">
        <f t="shared" si="120"/>
        <v/>
      </c>
      <c r="I700" s="119" t="str">
        <f t="shared" si="121"/>
        <v/>
      </c>
      <c r="J700" s="115" t="str">
        <f t="shared" si="122"/>
        <v/>
      </c>
      <c r="K700" s="102" t="str">
        <f>IF(A700&amp;B700="","",VLOOKUP(A700&amp;B700,INSUMOS!C:G,5,0))</f>
        <v/>
      </c>
    </row>
    <row r="701" spans="1:11" ht="15" x14ac:dyDescent="0.25">
      <c r="A701" s="109"/>
      <c r="B701" s="116"/>
      <c r="C701" s="518" t="str">
        <f>IF(A701&amp;B701="","",VLOOKUP(A701&amp;B701,INSUMOS!C:G,2,0))</f>
        <v/>
      </c>
      <c r="D701" s="519"/>
      <c r="E701" s="117" t="str">
        <f>IF(A701&amp;B701="","",VLOOKUP(A701&amp;B701,INSUMOS!C:G,3,0))</f>
        <v/>
      </c>
      <c r="F701" s="118"/>
      <c r="G701" s="113" t="str">
        <f>IF(A701&amp;B701="","",VLOOKUP(A701&amp;B701,INSUMOS!C:G,4,0))</f>
        <v/>
      </c>
      <c r="H701" s="119" t="str">
        <f t="shared" si="120"/>
        <v/>
      </c>
      <c r="I701" s="119" t="str">
        <f t="shared" si="121"/>
        <v/>
      </c>
      <c r="J701" s="115" t="str">
        <f t="shared" si="122"/>
        <v/>
      </c>
      <c r="K701" s="102" t="str">
        <f>IF(A701&amp;B701="","",VLOOKUP(A701&amp;B701,INSUMOS!C:G,5,0))</f>
        <v/>
      </c>
    </row>
    <row r="702" spans="1:11" ht="15" x14ac:dyDescent="0.25">
      <c r="A702" s="109"/>
      <c r="B702" s="116"/>
      <c r="C702" s="518" t="str">
        <f>IF(A702&amp;B702="","",VLOOKUP(A702&amp;B702,INSUMOS!C:G,2,0))</f>
        <v/>
      </c>
      <c r="D702" s="519"/>
      <c r="E702" s="117" t="str">
        <f>IF(A702&amp;B702="","",VLOOKUP(A702&amp;B702,INSUMOS!C:G,3,0))</f>
        <v/>
      </c>
      <c r="F702" s="118"/>
      <c r="G702" s="113" t="str">
        <f>IF(A702&amp;B702="","",VLOOKUP(A702&amp;B702,INSUMOS!C:G,4,0))</f>
        <v/>
      </c>
      <c r="H702" s="119" t="str">
        <f t="shared" si="120"/>
        <v/>
      </c>
      <c r="I702" s="119" t="str">
        <f t="shared" si="121"/>
        <v/>
      </c>
      <c r="J702" s="115" t="str">
        <f t="shared" si="122"/>
        <v/>
      </c>
      <c r="K702" s="102" t="str">
        <f>IF(A702&amp;B702="","",VLOOKUP(A702&amp;B702,INSUMOS!C:G,5,0))</f>
        <v/>
      </c>
    </row>
    <row r="703" spans="1:11" ht="15" x14ac:dyDescent="0.25">
      <c r="A703" s="120"/>
      <c r="B703" s="121"/>
      <c r="C703" s="518" t="str">
        <f>IF(A703&amp;B703="","",VLOOKUP(A703&amp;B703,INSUMOS!C:G,2,0))</f>
        <v/>
      </c>
      <c r="D703" s="519"/>
      <c r="E703" s="117" t="str">
        <f>IF(A703&amp;B703="","",VLOOKUP(A703&amp;B703,INSUMOS!C:G,3,0))</f>
        <v/>
      </c>
      <c r="F703" s="118"/>
      <c r="G703" s="122" t="str">
        <f>IF(A703&amp;B703="","",VLOOKUP(A703&amp;B703,INSUMOS!C:G,4,0))</f>
        <v/>
      </c>
      <c r="H703" s="119" t="str">
        <f t="shared" si="120"/>
        <v/>
      </c>
      <c r="I703" s="119" t="str">
        <f t="shared" si="121"/>
        <v/>
      </c>
      <c r="J703" s="115" t="str">
        <f t="shared" si="122"/>
        <v/>
      </c>
      <c r="K703" s="102" t="str">
        <f>IF(A703&amp;B703="","",VLOOKUP(A703&amp;B703,INSUMOS!C:G,5,0))</f>
        <v/>
      </c>
    </row>
    <row r="704" spans="1:11" ht="15" x14ac:dyDescent="0.25">
      <c r="A704" s="120"/>
      <c r="B704" s="121"/>
      <c r="C704" s="518" t="str">
        <f>IF(A704&amp;B704="","",VLOOKUP(A704&amp;B704,INSUMOS!C:G,2,0))</f>
        <v/>
      </c>
      <c r="D704" s="519"/>
      <c r="E704" s="117" t="str">
        <f>IF(A704&amp;B704="","",VLOOKUP(A704&amp;B704,INSUMOS!C:G,3,0))</f>
        <v/>
      </c>
      <c r="F704" s="118"/>
      <c r="G704" s="122" t="str">
        <f>IF(A704&amp;B704="","",VLOOKUP(A704&amp;B704,INSUMOS!C:G,4,0))</f>
        <v/>
      </c>
      <c r="H704" s="119" t="str">
        <f t="shared" si="120"/>
        <v/>
      </c>
      <c r="I704" s="119" t="str">
        <f t="shared" si="121"/>
        <v/>
      </c>
      <c r="J704" s="115" t="str">
        <f t="shared" si="122"/>
        <v/>
      </c>
      <c r="K704" s="102" t="str">
        <f>IF(A704&amp;B704="","",VLOOKUP(A704&amp;B704,INSUMOS!C:G,5,0))</f>
        <v/>
      </c>
    </row>
    <row r="705" spans="1:17" ht="15" x14ac:dyDescent="0.25">
      <c r="A705" s="120"/>
      <c r="B705" s="121"/>
      <c r="C705" s="518" t="str">
        <f>IF(A705&amp;B705="","",VLOOKUP(A705&amp;B705,INSUMOS!C:G,2,0))</f>
        <v/>
      </c>
      <c r="D705" s="519"/>
      <c r="E705" s="117" t="str">
        <f>IF(A705&amp;B705="","",VLOOKUP(A705&amp;B705,INSUMOS!C:G,3,0))</f>
        <v/>
      </c>
      <c r="F705" s="118"/>
      <c r="G705" s="122" t="str">
        <f>IF(A705&amp;B705="","",VLOOKUP(A705&amp;B705,INSUMOS!C:G,4,0))</f>
        <v/>
      </c>
      <c r="H705" s="119" t="str">
        <f t="shared" si="120"/>
        <v/>
      </c>
      <c r="I705" s="119" t="str">
        <f t="shared" si="121"/>
        <v/>
      </c>
      <c r="J705" s="115" t="str">
        <f t="shared" si="122"/>
        <v/>
      </c>
      <c r="K705" s="102" t="str">
        <f>IF(A705&amp;B705="","",VLOOKUP(A705&amp;B705,INSUMOS!C:G,5,0))</f>
        <v/>
      </c>
    </row>
    <row r="706" spans="1:17" ht="15" x14ac:dyDescent="0.25">
      <c r="A706" s="123" t="s">
        <v>4399</v>
      </c>
      <c r="B706" s="520"/>
      <c r="C706" s="520"/>
      <c r="D706" s="520"/>
      <c r="E706" s="520"/>
      <c r="F706" s="521"/>
      <c r="G706" s="124" t="s">
        <v>50</v>
      </c>
      <c r="H706" s="125">
        <f>SUM(H693:H705)</f>
        <v>0</v>
      </c>
      <c r="I706" s="125">
        <f>SUM(I693:I705)</f>
        <v>721.28</v>
      </c>
      <c r="J706" s="126">
        <f>SUM(J693:J705)</f>
        <v>0</v>
      </c>
    </row>
    <row r="707" spans="1:17" ht="15" x14ac:dyDescent="0.25">
      <c r="A707" s="127" t="s">
        <v>4400</v>
      </c>
      <c r="B707" s="128"/>
      <c r="C707" s="128"/>
      <c r="D707" s="127" t="s">
        <v>51</v>
      </c>
      <c r="E707" s="128"/>
      <c r="F707" s="129"/>
      <c r="G707" s="130" t="s">
        <v>55</v>
      </c>
      <c r="H707" s="131" t="s">
        <v>52</v>
      </c>
      <c r="I707" s="132"/>
      <c r="J707" s="125">
        <f>SUM(H706:J706)</f>
        <v>721.28</v>
      </c>
    </row>
    <row r="708" spans="1:17" ht="15" x14ac:dyDescent="0.25">
      <c r="A708" s="313" t="str">
        <f>$I$3</f>
        <v>Carlos Wieck</v>
      </c>
      <c r="B708" s="133"/>
      <c r="C708" s="133"/>
      <c r="D708" s="134"/>
      <c r="E708" s="133"/>
      <c r="F708" s="135"/>
      <c r="G708" s="522">
        <f>$J$5</f>
        <v>43040</v>
      </c>
      <c r="H708" s="136" t="s">
        <v>53</v>
      </c>
      <c r="I708" s="137"/>
      <c r="J708" s="125">
        <f>TRUNC(I708*J707,2)</f>
        <v>0</v>
      </c>
    </row>
    <row r="709" spans="1:17" ht="15" x14ac:dyDescent="0.25">
      <c r="A709" s="138"/>
      <c r="B709" s="139"/>
      <c r="C709" s="139"/>
      <c r="D709" s="138"/>
      <c r="E709" s="139"/>
      <c r="F709" s="140"/>
      <c r="G709" s="523"/>
      <c r="H709" s="141" t="s">
        <v>54</v>
      </c>
      <c r="I709" s="142"/>
      <c r="J709" s="143">
        <f>J708+J707</f>
        <v>721.28</v>
      </c>
      <c r="L709" s="102" t="str">
        <f>A690</f>
        <v>COMPOSIÇÃO</v>
      </c>
      <c r="M709" s="144" t="str">
        <f>B690</f>
        <v>FF-020</v>
      </c>
      <c r="N709" s="102" t="str">
        <f>L709&amp;M709</f>
        <v>COMPOSIÇÃOFF-020</v>
      </c>
      <c r="O709" s="103" t="str">
        <f>D689</f>
        <v>PM02 - Porta de madeira com bandeira dim.0,80x2,56m. Fornecimento e instalação</v>
      </c>
      <c r="P709" s="145" t="str">
        <f>J690</f>
        <v>un</v>
      </c>
      <c r="Q709" s="145">
        <f>J709</f>
        <v>721.28</v>
      </c>
    </row>
    <row r="710" spans="1:17" ht="15" customHeight="1" x14ac:dyDescent="0.25">
      <c r="A710" s="524" t="s">
        <v>40</v>
      </c>
      <c r="B710" s="525"/>
      <c r="C710" s="104" t="s">
        <v>41</v>
      </c>
      <c r="D710" s="526" t="str">
        <f>IF(B711="","",VLOOKUP(B711,SERVIÇOS!B:E,3,0))</f>
        <v>PM03 - Porta de madeira com bandeira dim.0,74x2,56m. Fornecimento e instalação</v>
      </c>
      <c r="E710" s="526"/>
      <c r="F710" s="526"/>
      <c r="G710" s="526"/>
      <c r="H710" s="526"/>
      <c r="I710" s="527"/>
      <c r="J710" s="105" t="s">
        <v>42</v>
      </c>
    </row>
    <row r="711" spans="1:17" ht="15" x14ac:dyDescent="0.25">
      <c r="A711" s="230" t="s">
        <v>4715</v>
      </c>
      <c r="B711" s="230" t="s">
        <v>4901</v>
      </c>
      <c r="C711" s="106"/>
      <c r="D711" s="528"/>
      <c r="E711" s="528"/>
      <c r="F711" s="528"/>
      <c r="G711" s="528"/>
      <c r="H711" s="528"/>
      <c r="I711" s="529"/>
      <c r="J711" s="107" t="str">
        <f>IF(B711="","",VLOOKUP(B711,SERVIÇOS!B:E,4,0))</f>
        <v>un</v>
      </c>
    </row>
    <row r="712" spans="1:17" ht="15" x14ac:dyDescent="0.25">
      <c r="A712" s="530" t="s">
        <v>4397</v>
      </c>
      <c r="B712" s="531" t="s">
        <v>11</v>
      </c>
      <c r="C712" s="533" t="s">
        <v>43</v>
      </c>
      <c r="D712" s="534"/>
      <c r="E712" s="530" t="s">
        <v>13</v>
      </c>
      <c r="F712" s="530" t="s">
        <v>44</v>
      </c>
      <c r="G712" s="538" t="s">
        <v>45</v>
      </c>
      <c r="H712" s="108" t="s">
        <v>46</v>
      </c>
      <c r="I712" s="108"/>
      <c r="J712" s="108"/>
    </row>
    <row r="713" spans="1:17" ht="15" x14ac:dyDescent="0.25">
      <c r="A713" s="530"/>
      <c r="B713" s="532"/>
      <c r="C713" s="535"/>
      <c r="D713" s="536"/>
      <c r="E713" s="537"/>
      <c r="F713" s="537"/>
      <c r="G713" s="539"/>
      <c r="H713" s="108" t="s">
        <v>47</v>
      </c>
      <c r="I713" s="108" t="s">
        <v>48</v>
      </c>
      <c r="J713" s="108" t="s">
        <v>49</v>
      </c>
    </row>
    <row r="714" spans="1:17" ht="15" x14ac:dyDescent="0.25">
      <c r="A714" s="109" t="s">
        <v>4717</v>
      </c>
      <c r="B714" s="116" t="s">
        <v>4872</v>
      </c>
      <c r="C714" s="540" t="str">
        <f>IF(A714&amp;B714="","",VLOOKUP(A714&amp;B714,INSUMOS!C:G,2,0))</f>
        <v>PM03 - Porta de madeira com bandeira dim.0,74x2,56m. Fornecimento e instalação</v>
      </c>
      <c r="D714" s="541"/>
      <c r="E714" s="111" t="str">
        <f>IF(A714&amp;B714="","",VLOOKUP(A714&amp;B714,INSUMOS!C:G,3,0))</f>
        <v>un</v>
      </c>
      <c r="F714" s="112">
        <v>1</v>
      </c>
      <c r="G714" s="113">
        <f>IF(A714&amp;B714="","",VLOOKUP(A714&amp;B714,INSUMOS!C:G,4,0))</f>
        <v>3606.4326799999999</v>
      </c>
      <c r="H714" s="114" t="str">
        <f>IF(K714="MO",TRUNC(F714*G714,2),"")</f>
        <v/>
      </c>
      <c r="I714" s="114">
        <f>IF(K714="MT",TRUNC(F714*G714,2),"")</f>
        <v>3606.43</v>
      </c>
      <c r="J714" s="115" t="str">
        <f>IF(K714="EQ",TRUNC(F714*G714,2),"")</f>
        <v/>
      </c>
      <c r="K714" s="102" t="str">
        <f>IF(A714&amp;B714="","",VLOOKUP(A714&amp;B714,INSUMOS!C:G,5,0))</f>
        <v>MT</v>
      </c>
    </row>
    <row r="715" spans="1:17" ht="15" x14ac:dyDescent="0.25">
      <c r="A715" s="109"/>
      <c r="B715" s="116"/>
      <c r="C715" s="518" t="str">
        <f>IF(A715&amp;B715="","",VLOOKUP(A715&amp;B715,INSUMOS!C:G,2,0))</f>
        <v/>
      </c>
      <c r="D715" s="519"/>
      <c r="E715" s="117" t="str">
        <f>IF(A715&amp;B715="","",VLOOKUP(A715&amp;B715,INSUMOS!C:G,3,0))</f>
        <v/>
      </c>
      <c r="F715" s="118"/>
      <c r="G715" s="113" t="str">
        <f>IF(A715&amp;B715="","",VLOOKUP(A715&amp;B715,INSUMOS!C:G,4,0))</f>
        <v/>
      </c>
      <c r="H715" s="119" t="str">
        <f t="shared" ref="H715:H726" si="123">IF(K715="MO",TRUNC(F715*G715,2),"")</f>
        <v/>
      </c>
      <c r="I715" s="119" t="str">
        <f t="shared" ref="I715:I726" si="124">IF(K715="MT",TRUNC(F715*G715,2),"")</f>
        <v/>
      </c>
      <c r="J715" s="115" t="str">
        <f t="shared" ref="J715:J726" si="125">IF(K715="EQ",TRUNC(F715*G715,2),"")</f>
        <v/>
      </c>
      <c r="K715" s="102" t="str">
        <f>IF(A715&amp;B715="","",VLOOKUP(A715&amp;B715,INSUMOS!C:G,5,0))</f>
        <v/>
      </c>
    </row>
    <row r="716" spans="1:17" ht="15" x14ac:dyDescent="0.25">
      <c r="A716" s="109"/>
      <c r="B716" s="116"/>
      <c r="C716" s="518" t="str">
        <f>IF(A716&amp;B716="","",VLOOKUP(A716&amp;B716,INSUMOS!C:G,2,0))</f>
        <v/>
      </c>
      <c r="D716" s="519"/>
      <c r="E716" s="117" t="str">
        <f>IF(A716&amp;B716="","",VLOOKUP(A716&amp;B716,INSUMOS!C:G,3,0))</f>
        <v/>
      </c>
      <c r="F716" s="118"/>
      <c r="G716" s="113" t="str">
        <f>IF(A716&amp;B716="","",VLOOKUP(A716&amp;B716,INSUMOS!C:G,4,0))</f>
        <v/>
      </c>
      <c r="H716" s="119" t="str">
        <f t="shared" si="123"/>
        <v/>
      </c>
      <c r="I716" s="119" t="str">
        <f t="shared" si="124"/>
        <v/>
      </c>
      <c r="J716" s="115" t="str">
        <f t="shared" si="125"/>
        <v/>
      </c>
      <c r="K716" s="102" t="str">
        <f>IF(A716&amp;B716="","",VLOOKUP(A716&amp;B716,INSUMOS!C:G,5,0))</f>
        <v/>
      </c>
    </row>
    <row r="717" spans="1:17" ht="15" x14ac:dyDescent="0.25">
      <c r="A717" s="109"/>
      <c r="B717" s="116"/>
      <c r="C717" s="518" t="str">
        <f>IF(A717&amp;B717="","",VLOOKUP(A717&amp;B717,INSUMOS!C:G,2,0))</f>
        <v/>
      </c>
      <c r="D717" s="519"/>
      <c r="E717" s="117" t="str">
        <f>IF(A717&amp;B717="","",VLOOKUP(A717&amp;B717,INSUMOS!C:G,3,0))</f>
        <v/>
      </c>
      <c r="F717" s="118"/>
      <c r="G717" s="113" t="str">
        <f>IF(A717&amp;B717="","",VLOOKUP(A717&amp;B717,INSUMOS!C:G,4,0))</f>
        <v/>
      </c>
      <c r="H717" s="119" t="str">
        <f t="shared" si="123"/>
        <v/>
      </c>
      <c r="I717" s="119" t="str">
        <f t="shared" si="124"/>
        <v/>
      </c>
      <c r="J717" s="115" t="str">
        <f t="shared" si="125"/>
        <v/>
      </c>
      <c r="K717" s="102" t="str">
        <f>IF(A717&amp;B717="","",VLOOKUP(A717&amp;B717,INSUMOS!C:G,5,0))</f>
        <v/>
      </c>
    </row>
    <row r="718" spans="1:17" ht="15" x14ac:dyDescent="0.25">
      <c r="A718" s="109"/>
      <c r="B718" s="116"/>
      <c r="C718" s="518" t="str">
        <f>IF(A718&amp;B718="","",VLOOKUP(A718&amp;B718,INSUMOS!C:G,2,0))</f>
        <v/>
      </c>
      <c r="D718" s="519"/>
      <c r="E718" s="117" t="str">
        <f>IF(A718&amp;B718="","",VLOOKUP(A718&amp;B718,INSUMOS!C:G,3,0))</f>
        <v/>
      </c>
      <c r="F718" s="118"/>
      <c r="G718" s="113" t="str">
        <f>IF(A718&amp;B718="","",VLOOKUP(A718&amp;B718,INSUMOS!C:G,4,0))</f>
        <v/>
      </c>
      <c r="H718" s="119" t="str">
        <f t="shared" si="123"/>
        <v/>
      </c>
      <c r="I718" s="119" t="str">
        <f t="shared" si="124"/>
        <v/>
      </c>
      <c r="J718" s="115" t="str">
        <f t="shared" si="125"/>
        <v/>
      </c>
      <c r="K718" s="102" t="str">
        <f>IF(A718&amp;B718="","",VLOOKUP(A718&amp;B718,INSUMOS!C:G,5,0))</f>
        <v/>
      </c>
    </row>
    <row r="719" spans="1:17" ht="15" x14ac:dyDescent="0.25">
      <c r="A719" s="109"/>
      <c r="B719" s="116"/>
      <c r="C719" s="518" t="str">
        <f>IF(A719&amp;B719="","",VLOOKUP(A719&amp;B719,INSUMOS!C:G,2,0))</f>
        <v/>
      </c>
      <c r="D719" s="519"/>
      <c r="E719" s="117" t="str">
        <f>IF(A719&amp;B719="","",VLOOKUP(A719&amp;B719,INSUMOS!C:G,3,0))</f>
        <v/>
      </c>
      <c r="F719" s="118"/>
      <c r="G719" s="113" t="str">
        <f>IF(A719&amp;B719="","",VLOOKUP(A719&amp;B719,INSUMOS!C:G,4,0))</f>
        <v/>
      </c>
      <c r="H719" s="119" t="str">
        <f t="shared" si="123"/>
        <v/>
      </c>
      <c r="I719" s="119" t="str">
        <f t="shared" si="124"/>
        <v/>
      </c>
      <c r="J719" s="115" t="str">
        <f t="shared" si="125"/>
        <v/>
      </c>
      <c r="K719" s="102" t="str">
        <f>IF(A719&amp;B719="","",VLOOKUP(A719&amp;B719,INSUMOS!C:G,5,0))</f>
        <v/>
      </c>
    </row>
    <row r="720" spans="1:17" ht="15" x14ac:dyDescent="0.25">
      <c r="A720" s="109"/>
      <c r="B720" s="116"/>
      <c r="C720" s="518" t="str">
        <f>IF(A720&amp;B720="","",VLOOKUP(A720&amp;B720,INSUMOS!C:G,2,0))</f>
        <v/>
      </c>
      <c r="D720" s="519"/>
      <c r="E720" s="117" t="str">
        <f>IF(A720&amp;B720="","",VLOOKUP(A720&amp;B720,INSUMOS!C:G,3,0))</f>
        <v/>
      </c>
      <c r="F720" s="118"/>
      <c r="G720" s="113" t="str">
        <f>IF(A720&amp;B720="","",VLOOKUP(A720&amp;B720,INSUMOS!C:G,4,0))</f>
        <v/>
      </c>
      <c r="H720" s="119" t="str">
        <f t="shared" si="123"/>
        <v/>
      </c>
      <c r="I720" s="119" t="str">
        <f t="shared" si="124"/>
        <v/>
      </c>
      <c r="J720" s="115" t="str">
        <f t="shared" si="125"/>
        <v/>
      </c>
      <c r="K720" s="102" t="str">
        <f>IF(A720&amp;B720="","",VLOOKUP(A720&amp;B720,INSUMOS!C:G,5,0))</f>
        <v/>
      </c>
    </row>
    <row r="721" spans="1:17" ht="15" x14ac:dyDescent="0.25">
      <c r="A721" s="109"/>
      <c r="B721" s="116"/>
      <c r="C721" s="518" t="str">
        <f>IF(A721&amp;B721="","",VLOOKUP(A721&amp;B721,INSUMOS!C:G,2,0))</f>
        <v/>
      </c>
      <c r="D721" s="519"/>
      <c r="E721" s="117" t="str">
        <f>IF(A721&amp;B721="","",VLOOKUP(A721&amp;B721,INSUMOS!C:G,3,0))</f>
        <v/>
      </c>
      <c r="F721" s="118"/>
      <c r="G721" s="113" t="str">
        <f>IF(A721&amp;B721="","",VLOOKUP(A721&amp;B721,INSUMOS!C:G,4,0))</f>
        <v/>
      </c>
      <c r="H721" s="119" t="str">
        <f t="shared" si="123"/>
        <v/>
      </c>
      <c r="I721" s="119" t="str">
        <f t="shared" si="124"/>
        <v/>
      </c>
      <c r="J721" s="115" t="str">
        <f t="shared" si="125"/>
        <v/>
      </c>
      <c r="K721" s="102" t="str">
        <f>IF(A721&amp;B721="","",VLOOKUP(A721&amp;B721,INSUMOS!C:G,5,0))</f>
        <v/>
      </c>
    </row>
    <row r="722" spans="1:17" ht="15" x14ac:dyDescent="0.25">
      <c r="A722" s="109"/>
      <c r="B722" s="116"/>
      <c r="C722" s="518" t="str">
        <f>IF(A722&amp;B722="","",VLOOKUP(A722&amp;B722,INSUMOS!C:G,2,0))</f>
        <v/>
      </c>
      <c r="D722" s="519"/>
      <c r="E722" s="117" t="str">
        <f>IF(A722&amp;B722="","",VLOOKUP(A722&amp;B722,INSUMOS!C:G,3,0))</f>
        <v/>
      </c>
      <c r="F722" s="118"/>
      <c r="G722" s="113" t="str">
        <f>IF(A722&amp;B722="","",VLOOKUP(A722&amp;B722,INSUMOS!C:G,4,0))</f>
        <v/>
      </c>
      <c r="H722" s="119" t="str">
        <f t="shared" si="123"/>
        <v/>
      </c>
      <c r="I722" s="119" t="str">
        <f t="shared" si="124"/>
        <v/>
      </c>
      <c r="J722" s="115" t="str">
        <f t="shared" si="125"/>
        <v/>
      </c>
      <c r="K722" s="102" t="str">
        <f>IF(A722&amp;B722="","",VLOOKUP(A722&amp;B722,INSUMOS!C:G,5,0))</f>
        <v/>
      </c>
    </row>
    <row r="723" spans="1:17" ht="15" x14ac:dyDescent="0.25">
      <c r="A723" s="109"/>
      <c r="B723" s="116"/>
      <c r="C723" s="518" t="str">
        <f>IF(A723&amp;B723="","",VLOOKUP(A723&amp;B723,INSUMOS!C:G,2,0))</f>
        <v/>
      </c>
      <c r="D723" s="519"/>
      <c r="E723" s="117" t="str">
        <f>IF(A723&amp;B723="","",VLOOKUP(A723&amp;B723,INSUMOS!C:G,3,0))</f>
        <v/>
      </c>
      <c r="F723" s="118"/>
      <c r="G723" s="113" t="str">
        <f>IF(A723&amp;B723="","",VLOOKUP(A723&amp;B723,INSUMOS!C:G,4,0))</f>
        <v/>
      </c>
      <c r="H723" s="119" t="str">
        <f t="shared" si="123"/>
        <v/>
      </c>
      <c r="I723" s="119" t="str">
        <f t="shared" si="124"/>
        <v/>
      </c>
      <c r="J723" s="115" t="str">
        <f t="shared" si="125"/>
        <v/>
      </c>
      <c r="K723" s="102" t="str">
        <f>IF(A723&amp;B723="","",VLOOKUP(A723&amp;B723,INSUMOS!C:G,5,0))</f>
        <v/>
      </c>
    </row>
    <row r="724" spans="1:17" ht="15" x14ac:dyDescent="0.25">
      <c r="A724" s="120"/>
      <c r="B724" s="121"/>
      <c r="C724" s="518" t="str">
        <f>IF(A724&amp;B724="","",VLOOKUP(A724&amp;B724,INSUMOS!C:G,2,0))</f>
        <v/>
      </c>
      <c r="D724" s="519"/>
      <c r="E724" s="117" t="str">
        <f>IF(A724&amp;B724="","",VLOOKUP(A724&amp;B724,INSUMOS!C:G,3,0))</f>
        <v/>
      </c>
      <c r="F724" s="118"/>
      <c r="G724" s="122" t="str">
        <f>IF(A724&amp;B724="","",VLOOKUP(A724&amp;B724,INSUMOS!C:G,4,0))</f>
        <v/>
      </c>
      <c r="H724" s="119" t="str">
        <f t="shared" si="123"/>
        <v/>
      </c>
      <c r="I724" s="119" t="str">
        <f t="shared" si="124"/>
        <v/>
      </c>
      <c r="J724" s="115" t="str">
        <f t="shared" si="125"/>
        <v/>
      </c>
      <c r="K724" s="102" t="str">
        <f>IF(A724&amp;B724="","",VLOOKUP(A724&amp;B724,INSUMOS!C:G,5,0))</f>
        <v/>
      </c>
    </row>
    <row r="725" spans="1:17" ht="15" x14ac:dyDescent="0.25">
      <c r="A725" s="120"/>
      <c r="B725" s="121"/>
      <c r="C725" s="518" t="str">
        <f>IF(A725&amp;B725="","",VLOOKUP(A725&amp;B725,INSUMOS!C:G,2,0))</f>
        <v/>
      </c>
      <c r="D725" s="519"/>
      <c r="E725" s="117" t="str">
        <f>IF(A725&amp;B725="","",VLOOKUP(A725&amp;B725,INSUMOS!C:G,3,0))</f>
        <v/>
      </c>
      <c r="F725" s="118"/>
      <c r="G725" s="122" t="str">
        <f>IF(A725&amp;B725="","",VLOOKUP(A725&amp;B725,INSUMOS!C:G,4,0))</f>
        <v/>
      </c>
      <c r="H725" s="119" t="str">
        <f t="shared" si="123"/>
        <v/>
      </c>
      <c r="I725" s="119" t="str">
        <f t="shared" si="124"/>
        <v/>
      </c>
      <c r="J725" s="115" t="str">
        <f t="shared" si="125"/>
        <v/>
      </c>
      <c r="K725" s="102" t="str">
        <f>IF(A725&amp;B725="","",VLOOKUP(A725&amp;B725,INSUMOS!C:G,5,0))</f>
        <v/>
      </c>
    </row>
    <row r="726" spans="1:17" ht="15" x14ac:dyDescent="0.25">
      <c r="A726" s="120"/>
      <c r="B726" s="121"/>
      <c r="C726" s="518" t="str">
        <f>IF(A726&amp;B726="","",VLOOKUP(A726&amp;B726,INSUMOS!C:G,2,0))</f>
        <v/>
      </c>
      <c r="D726" s="519"/>
      <c r="E726" s="117" t="str">
        <f>IF(A726&amp;B726="","",VLOOKUP(A726&amp;B726,INSUMOS!C:G,3,0))</f>
        <v/>
      </c>
      <c r="F726" s="118"/>
      <c r="G726" s="122" t="str">
        <f>IF(A726&amp;B726="","",VLOOKUP(A726&amp;B726,INSUMOS!C:G,4,0))</f>
        <v/>
      </c>
      <c r="H726" s="119" t="str">
        <f t="shared" si="123"/>
        <v/>
      </c>
      <c r="I726" s="119" t="str">
        <f t="shared" si="124"/>
        <v/>
      </c>
      <c r="J726" s="115" t="str">
        <f t="shared" si="125"/>
        <v/>
      </c>
      <c r="K726" s="102" t="str">
        <f>IF(A726&amp;B726="","",VLOOKUP(A726&amp;B726,INSUMOS!C:G,5,0))</f>
        <v/>
      </c>
    </row>
    <row r="727" spans="1:17" ht="15" x14ac:dyDescent="0.25">
      <c r="A727" s="123" t="s">
        <v>4399</v>
      </c>
      <c r="B727" s="520"/>
      <c r="C727" s="520"/>
      <c r="D727" s="520"/>
      <c r="E727" s="520"/>
      <c r="F727" s="521"/>
      <c r="G727" s="124" t="s">
        <v>50</v>
      </c>
      <c r="H727" s="125">
        <f>SUM(H714:H726)</f>
        <v>0</v>
      </c>
      <c r="I727" s="125">
        <f>SUM(I714:I726)</f>
        <v>3606.43</v>
      </c>
      <c r="J727" s="126">
        <f>SUM(J714:J726)</f>
        <v>0</v>
      </c>
    </row>
    <row r="728" spans="1:17" ht="15" x14ac:dyDescent="0.25">
      <c r="A728" s="127" t="s">
        <v>4400</v>
      </c>
      <c r="B728" s="128"/>
      <c r="C728" s="128"/>
      <c r="D728" s="127" t="s">
        <v>51</v>
      </c>
      <c r="E728" s="128"/>
      <c r="F728" s="129"/>
      <c r="G728" s="130" t="s">
        <v>55</v>
      </c>
      <c r="H728" s="131" t="s">
        <v>52</v>
      </c>
      <c r="I728" s="132"/>
      <c r="J728" s="125">
        <f>SUM(H727:J727)</f>
        <v>3606.43</v>
      </c>
    </row>
    <row r="729" spans="1:17" ht="15" x14ac:dyDescent="0.25">
      <c r="A729" s="313" t="str">
        <f>$I$3</f>
        <v>Carlos Wieck</v>
      </c>
      <c r="B729" s="133"/>
      <c r="C729" s="133"/>
      <c r="D729" s="134"/>
      <c r="E729" s="133"/>
      <c r="F729" s="135"/>
      <c r="G729" s="522">
        <f>$J$5</f>
        <v>43040</v>
      </c>
      <c r="H729" s="136" t="s">
        <v>53</v>
      </c>
      <c r="I729" s="137"/>
      <c r="J729" s="125">
        <f>TRUNC(I729*J728,2)</f>
        <v>0</v>
      </c>
    </row>
    <row r="730" spans="1:17" ht="15" x14ac:dyDescent="0.25">
      <c r="A730" s="138"/>
      <c r="B730" s="139"/>
      <c r="C730" s="139"/>
      <c r="D730" s="138"/>
      <c r="E730" s="139"/>
      <c r="F730" s="140"/>
      <c r="G730" s="523"/>
      <c r="H730" s="141" t="s">
        <v>54</v>
      </c>
      <c r="I730" s="142"/>
      <c r="J730" s="143">
        <f>J729+J728</f>
        <v>3606.43</v>
      </c>
      <c r="L730" s="102" t="str">
        <f>A711</f>
        <v>COMPOSIÇÃO</v>
      </c>
      <c r="M730" s="144" t="str">
        <f>B711</f>
        <v>FF-021</v>
      </c>
      <c r="N730" s="102" t="str">
        <f>L730&amp;M730</f>
        <v>COMPOSIÇÃOFF-021</v>
      </c>
      <c r="O730" s="103" t="str">
        <f>D710</f>
        <v>PM03 - Porta de madeira com bandeira dim.0,74x2,56m. Fornecimento e instalação</v>
      </c>
      <c r="P730" s="145" t="str">
        <f>J711</f>
        <v>un</v>
      </c>
      <c r="Q730" s="145">
        <f>J730</f>
        <v>3606.43</v>
      </c>
    </row>
    <row r="731" spans="1:17" ht="15" customHeight="1" x14ac:dyDescent="0.25">
      <c r="A731" s="524" t="s">
        <v>40</v>
      </c>
      <c r="B731" s="525"/>
      <c r="C731" s="104" t="s">
        <v>41</v>
      </c>
      <c r="D731" s="526" t="str">
        <f>IF(B732="","",VLOOKUP(B732,SERVIÇOS!B:E,3,0))</f>
        <v>CX 01-A - Painel de policarbonato alveolar transparente de 40mm com acabamento em perfil de alumínio dim.3,50x2,85m. Fornecimento e instalação</v>
      </c>
      <c r="E731" s="526"/>
      <c r="F731" s="526"/>
      <c r="G731" s="526"/>
      <c r="H731" s="526"/>
      <c r="I731" s="527"/>
      <c r="J731" s="105" t="s">
        <v>42</v>
      </c>
    </row>
    <row r="732" spans="1:17" ht="15" x14ac:dyDescent="0.25">
      <c r="A732" s="230" t="s">
        <v>4715</v>
      </c>
      <c r="B732" s="230" t="s">
        <v>4902</v>
      </c>
      <c r="C732" s="106"/>
      <c r="D732" s="528"/>
      <c r="E732" s="528"/>
      <c r="F732" s="528"/>
      <c r="G732" s="528"/>
      <c r="H732" s="528"/>
      <c r="I732" s="529"/>
      <c r="J732" s="107" t="str">
        <f>IF(B732="","",VLOOKUP(B732,SERVIÇOS!B:E,4,0))</f>
        <v>un</v>
      </c>
    </row>
    <row r="733" spans="1:17" ht="15" x14ac:dyDescent="0.25">
      <c r="A733" s="530" t="s">
        <v>4397</v>
      </c>
      <c r="B733" s="531" t="s">
        <v>11</v>
      </c>
      <c r="C733" s="533" t="s">
        <v>43</v>
      </c>
      <c r="D733" s="534"/>
      <c r="E733" s="530" t="s">
        <v>13</v>
      </c>
      <c r="F733" s="530" t="s">
        <v>44</v>
      </c>
      <c r="G733" s="538" t="s">
        <v>45</v>
      </c>
      <c r="H733" s="108" t="s">
        <v>46</v>
      </c>
      <c r="I733" s="108"/>
      <c r="J733" s="108"/>
    </row>
    <row r="734" spans="1:17" ht="15" x14ac:dyDescent="0.25">
      <c r="A734" s="530"/>
      <c r="B734" s="532"/>
      <c r="C734" s="535"/>
      <c r="D734" s="536"/>
      <c r="E734" s="537"/>
      <c r="F734" s="537"/>
      <c r="G734" s="539"/>
      <c r="H734" s="108" t="s">
        <v>47</v>
      </c>
      <c r="I734" s="108" t="s">
        <v>48</v>
      </c>
      <c r="J734" s="108" t="s">
        <v>49</v>
      </c>
    </row>
    <row r="735" spans="1:17" ht="15" x14ac:dyDescent="0.25">
      <c r="A735" s="109" t="s">
        <v>4717</v>
      </c>
      <c r="B735" s="116" t="s">
        <v>4873</v>
      </c>
      <c r="C735" s="540" t="str">
        <f>IF(A735&amp;B735="","",VLOOKUP(A735&amp;B735,INSUMOS!C:G,2,0))</f>
        <v>Policarbonato 10mm, sistema TOPGAL da Arkos ou equivalente técnico</v>
      </c>
      <c r="D735" s="541"/>
      <c r="E735" s="111" t="str">
        <f>IF(A735&amp;B735="","",VLOOKUP(A735&amp;B735,INSUMOS!C:G,3,0))</f>
        <v>m²</v>
      </c>
      <c r="F735" s="112">
        <f>3.5*2.85</f>
        <v>9.9749999999999996</v>
      </c>
      <c r="G735" s="113">
        <f>IF(A735&amp;B735="","",VLOOKUP(A735&amp;B735,INSUMOS!C:G,4,0))</f>
        <v>126</v>
      </c>
      <c r="H735" s="114" t="str">
        <f>IF(K735="MO",TRUNC(F735*G735,2),"")</f>
        <v/>
      </c>
      <c r="I735" s="114">
        <f>IF(K735="MT",TRUNC(F735*G735,2),"")</f>
        <v>1256.8499999999999</v>
      </c>
      <c r="J735" s="115" t="str">
        <f>IF(K735="EQ",TRUNC(F735*G735,2),"")</f>
        <v/>
      </c>
      <c r="K735" s="102" t="str">
        <f>IF(A735&amp;B735="","",VLOOKUP(A735&amp;B735,INSUMOS!C:G,5,0))</f>
        <v>MT</v>
      </c>
    </row>
    <row r="736" spans="1:17" ht="15" x14ac:dyDescent="0.25">
      <c r="A736" s="109" t="s">
        <v>4717</v>
      </c>
      <c r="B736" s="116" t="s">
        <v>4979</v>
      </c>
      <c r="C736" s="518" t="str">
        <f>IF(A736&amp;B736="","",VLOOKUP(A736&amp;B736,INSUMOS!C:G,2,0))</f>
        <v>Acessórios e instalações do sistema de policarbonato</v>
      </c>
      <c r="D736" s="519"/>
      <c r="E736" s="117" t="str">
        <f>IF(A736&amp;B736="","",VLOOKUP(A736&amp;B736,INSUMOS!C:G,3,0))</f>
        <v>m²</v>
      </c>
      <c r="F736" s="118">
        <f>F735</f>
        <v>9.9749999999999996</v>
      </c>
      <c r="G736" s="113">
        <f>IF(A736&amp;B736="","",VLOOKUP(A736&amp;B736,INSUMOS!C:G,4,0))</f>
        <v>313.75124</v>
      </c>
      <c r="H736" s="119" t="str">
        <f t="shared" ref="H736:H747" si="126">IF(K736="MO",TRUNC(F736*G736,2),"")</f>
        <v/>
      </c>
      <c r="I736" s="119">
        <f t="shared" ref="I736:I747" si="127">IF(K736="MT",TRUNC(F736*G736,2),"")</f>
        <v>3129.66</v>
      </c>
      <c r="J736" s="115" t="str">
        <f t="shared" ref="J736:J747" si="128">IF(K736="EQ",TRUNC(F736*G736,2),"")</f>
        <v/>
      </c>
      <c r="K736" s="102" t="str">
        <f>IF(A736&amp;B736="","",VLOOKUP(A736&amp;B736,INSUMOS!C:G,5,0))</f>
        <v>MT</v>
      </c>
    </row>
    <row r="737" spans="1:17" ht="15" x14ac:dyDescent="0.25">
      <c r="A737" s="109"/>
      <c r="B737" s="116"/>
      <c r="C737" s="518" t="str">
        <f>IF(A737&amp;B737="","",VLOOKUP(A737&amp;B737,INSUMOS!C:G,2,0))</f>
        <v/>
      </c>
      <c r="D737" s="519"/>
      <c r="E737" s="117" t="str">
        <f>IF(A737&amp;B737="","",VLOOKUP(A737&amp;B737,INSUMOS!C:G,3,0))</f>
        <v/>
      </c>
      <c r="F737" s="118"/>
      <c r="G737" s="113" t="str">
        <f>IF(A737&amp;B737="","",VLOOKUP(A737&amp;B737,INSUMOS!C:G,4,0))</f>
        <v/>
      </c>
      <c r="H737" s="119" t="str">
        <f t="shared" si="126"/>
        <v/>
      </c>
      <c r="I737" s="119" t="str">
        <f t="shared" si="127"/>
        <v/>
      </c>
      <c r="J737" s="115" t="str">
        <f t="shared" si="128"/>
        <v/>
      </c>
      <c r="K737" s="102" t="str">
        <f>IF(A737&amp;B737="","",VLOOKUP(A737&amp;B737,INSUMOS!C:G,5,0))</f>
        <v/>
      </c>
    </row>
    <row r="738" spans="1:17" ht="15" x14ac:dyDescent="0.25">
      <c r="A738" s="109"/>
      <c r="B738" s="116"/>
      <c r="C738" s="518" t="str">
        <f>IF(A738&amp;B738="","",VLOOKUP(A738&amp;B738,INSUMOS!C:G,2,0))</f>
        <v/>
      </c>
      <c r="D738" s="519"/>
      <c r="E738" s="117" t="str">
        <f>IF(A738&amp;B738="","",VLOOKUP(A738&amp;B738,INSUMOS!C:G,3,0))</f>
        <v/>
      </c>
      <c r="F738" s="118"/>
      <c r="G738" s="113" t="str">
        <f>IF(A738&amp;B738="","",VLOOKUP(A738&amp;B738,INSUMOS!C:G,4,0))</f>
        <v/>
      </c>
      <c r="H738" s="119" t="str">
        <f t="shared" si="126"/>
        <v/>
      </c>
      <c r="I738" s="119" t="str">
        <f t="shared" si="127"/>
        <v/>
      </c>
      <c r="J738" s="115" t="str">
        <f t="shared" si="128"/>
        <v/>
      </c>
      <c r="K738" s="102" t="str">
        <f>IF(A738&amp;B738="","",VLOOKUP(A738&amp;B738,INSUMOS!C:G,5,0))</f>
        <v/>
      </c>
    </row>
    <row r="739" spans="1:17" ht="15" x14ac:dyDescent="0.25">
      <c r="A739" s="109"/>
      <c r="B739" s="116"/>
      <c r="C739" s="518" t="str">
        <f>IF(A739&amp;B739="","",VLOOKUP(A739&amp;B739,INSUMOS!C:G,2,0))</f>
        <v/>
      </c>
      <c r="D739" s="519"/>
      <c r="E739" s="117" t="str">
        <f>IF(A739&amp;B739="","",VLOOKUP(A739&amp;B739,INSUMOS!C:G,3,0))</f>
        <v/>
      </c>
      <c r="F739" s="118"/>
      <c r="G739" s="113" t="str">
        <f>IF(A739&amp;B739="","",VLOOKUP(A739&amp;B739,INSUMOS!C:G,4,0))</f>
        <v/>
      </c>
      <c r="H739" s="119" t="str">
        <f t="shared" si="126"/>
        <v/>
      </c>
      <c r="I739" s="119" t="str">
        <f t="shared" si="127"/>
        <v/>
      </c>
      <c r="J739" s="115" t="str">
        <f t="shared" si="128"/>
        <v/>
      </c>
      <c r="K739" s="102" t="str">
        <f>IF(A739&amp;B739="","",VLOOKUP(A739&amp;B739,INSUMOS!C:G,5,0))</f>
        <v/>
      </c>
    </row>
    <row r="740" spans="1:17" ht="15" x14ac:dyDescent="0.25">
      <c r="A740" s="109"/>
      <c r="B740" s="116"/>
      <c r="C740" s="518" t="str">
        <f>IF(A740&amp;B740="","",VLOOKUP(A740&amp;B740,INSUMOS!C:G,2,0))</f>
        <v/>
      </c>
      <c r="D740" s="519"/>
      <c r="E740" s="117" t="str">
        <f>IF(A740&amp;B740="","",VLOOKUP(A740&amp;B740,INSUMOS!C:G,3,0))</f>
        <v/>
      </c>
      <c r="F740" s="118"/>
      <c r="G740" s="113" t="str">
        <f>IF(A740&amp;B740="","",VLOOKUP(A740&amp;B740,INSUMOS!C:G,4,0))</f>
        <v/>
      </c>
      <c r="H740" s="119" t="str">
        <f t="shared" si="126"/>
        <v/>
      </c>
      <c r="I740" s="119" t="str">
        <f t="shared" si="127"/>
        <v/>
      </c>
      <c r="J740" s="115" t="str">
        <f t="shared" si="128"/>
        <v/>
      </c>
      <c r="K740" s="102" t="str">
        <f>IF(A740&amp;B740="","",VLOOKUP(A740&amp;B740,INSUMOS!C:G,5,0))</f>
        <v/>
      </c>
    </row>
    <row r="741" spans="1:17" ht="15" x14ac:dyDescent="0.25">
      <c r="A741" s="109"/>
      <c r="B741" s="116"/>
      <c r="C741" s="518" t="str">
        <f>IF(A741&amp;B741="","",VLOOKUP(A741&amp;B741,INSUMOS!C:G,2,0))</f>
        <v/>
      </c>
      <c r="D741" s="519"/>
      <c r="E741" s="117" t="str">
        <f>IF(A741&amp;B741="","",VLOOKUP(A741&amp;B741,INSUMOS!C:G,3,0))</f>
        <v/>
      </c>
      <c r="F741" s="118"/>
      <c r="G741" s="113" t="str">
        <f>IF(A741&amp;B741="","",VLOOKUP(A741&amp;B741,INSUMOS!C:G,4,0))</f>
        <v/>
      </c>
      <c r="H741" s="119" t="str">
        <f t="shared" si="126"/>
        <v/>
      </c>
      <c r="I741" s="119" t="str">
        <f t="shared" si="127"/>
        <v/>
      </c>
      <c r="J741" s="115" t="str">
        <f t="shared" si="128"/>
        <v/>
      </c>
      <c r="K741" s="102" t="str">
        <f>IF(A741&amp;B741="","",VLOOKUP(A741&amp;B741,INSUMOS!C:G,5,0))</f>
        <v/>
      </c>
    </row>
    <row r="742" spans="1:17" ht="15" x14ac:dyDescent="0.25">
      <c r="A742" s="109"/>
      <c r="B742" s="116"/>
      <c r="C742" s="518" t="str">
        <f>IF(A742&amp;B742="","",VLOOKUP(A742&amp;B742,INSUMOS!C:G,2,0))</f>
        <v/>
      </c>
      <c r="D742" s="519"/>
      <c r="E742" s="117" t="str">
        <f>IF(A742&amp;B742="","",VLOOKUP(A742&amp;B742,INSUMOS!C:G,3,0))</f>
        <v/>
      </c>
      <c r="F742" s="118"/>
      <c r="G742" s="113" t="str">
        <f>IF(A742&amp;B742="","",VLOOKUP(A742&amp;B742,INSUMOS!C:G,4,0))</f>
        <v/>
      </c>
      <c r="H742" s="119" t="str">
        <f t="shared" si="126"/>
        <v/>
      </c>
      <c r="I742" s="119" t="str">
        <f t="shared" si="127"/>
        <v/>
      </c>
      <c r="J742" s="115" t="str">
        <f t="shared" si="128"/>
        <v/>
      </c>
      <c r="K742" s="102" t="str">
        <f>IF(A742&amp;B742="","",VLOOKUP(A742&amp;B742,INSUMOS!C:G,5,0))</f>
        <v/>
      </c>
    </row>
    <row r="743" spans="1:17" ht="15" x14ac:dyDescent="0.25">
      <c r="A743" s="109"/>
      <c r="B743" s="116"/>
      <c r="C743" s="518" t="str">
        <f>IF(A743&amp;B743="","",VLOOKUP(A743&amp;B743,INSUMOS!C:G,2,0))</f>
        <v/>
      </c>
      <c r="D743" s="519"/>
      <c r="E743" s="117" t="str">
        <f>IF(A743&amp;B743="","",VLOOKUP(A743&amp;B743,INSUMOS!C:G,3,0))</f>
        <v/>
      </c>
      <c r="F743" s="118"/>
      <c r="G743" s="113" t="str">
        <f>IF(A743&amp;B743="","",VLOOKUP(A743&amp;B743,INSUMOS!C:G,4,0))</f>
        <v/>
      </c>
      <c r="H743" s="119" t="str">
        <f t="shared" si="126"/>
        <v/>
      </c>
      <c r="I743" s="119" t="str">
        <f t="shared" si="127"/>
        <v/>
      </c>
      <c r="J743" s="115" t="str">
        <f t="shared" si="128"/>
        <v/>
      </c>
      <c r="K743" s="102" t="str">
        <f>IF(A743&amp;B743="","",VLOOKUP(A743&amp;B743,INSUMOS!C:G,5,0))</f>
        <v/>
      </c>
    </row>
    <row r="744" spans="1:17" ht="15" x14ac:dyDescent="0.25">
      <c r="A744" s="109"/>
      <c r="B744" s="116"/>
      <c r="C744" s="518" t="str">
        <f>IF(A744&amp;B744="","",VLOOKUP(A744&amp;B744,INSUMOS!C:G,2,0))</f>
        <v/>
      </c>
      <c r="D744" s="519"/>
      <c r="E744" s="117" t="str">
        <f>IF(A744&amp;B744="","",VLOOKUP(A744&amp;B744,INSUMOS!C:G,3,0))</f>
        <v/>
      </c>
      <c r="F744" s="118"/>
      <c r="G744" s="113" t="str">
        <f>IF(A744&amp;B744="","",VLOOKUP(A744&amp;B744,INSUMOS!C:G,4,0))</f>
        <v/>
      </c>
      <c r="H744" s="119" t="str">
        <f t="shared" si="126"/>
        <v/>
      </c>
      <c r="I744" s="119" t="str">
        <f t="shared" si="127"/>
        <v/>
      </c>
      <c r="J744" s="115" t="str">
        <f t="shared" si="128"/>
        <v/>
      </c>
      <c r="K744" s="102" t="str">
        <f>IF(A744&amp;B744="","",VLOOKUP(A744&amp;B744,INSUMOS!C:G,5,0))</f>
        <v/>
      </c>
    </row>
    <row r="745" spans="1:17" ht="15" x14ac:dyDescent="0.25">
      <c r="A745" s="120"/>
      <c r="B745" s="121"/>
      <c r="C745" s="518" t="str">
        <f>IF(A745&amp;B745="","",VLOOKUP(A745&amp;B745,INSUMOS!C:G,2,0))</f>
        <v/>
      </c>
      <c r="D745" s="519"/>
      <c r="E745" s="117" t="str">
        <f>IF(A745&amp;B745="","",VLOOKUP(A745&amp;B745,INSUMOS!C:G,3,0))</f>
        <v/>
      </c>
      <c r="F745" s="118"/>
      <c r="G745" s="122" t="str">
        <f>IF(A745&amp;B745="","",VLOOKUP(A745&amp;B745,INSUMOS!C:G,4,0))</f>
        <v/>
      </c>
      <c r="H745" s="119" t="str">
        <f t="shared" si="126"/>
        <v/>
      </c>
      <c r="I745" s="119" t="str">
        <f t="shared" si="127"/>
        <v/>
      </c>
      <c r="J745" s="115" t="str">
        <f t="shared" si="128"/>
        <v/>
      </c>
      <c r="K745" s="102" t="str">
        <f>IF(A745&amp;B745="","",VLOOKUP(A745&amp;B745,INSUMOS!C:G,5,0))</f>
        <v/>
      </c>
    </row>
    <row r="746" spans="1:17" ht="15" x14ac:dyDescent="0.25">
      <c r="A746" s="120"/>
      <c r="B746" s="121"/>
      <c r="C746" s="518" t="str">
        <f>IF(A746&amp;B746="","",VLOOKUP(A746&amp;B746,INSUMOS!C:G,2,0))</f>
        <v/>
      </c>
      <c r="D746" s="519"/>
      <c r="E746" s="117" t="str">
        <f>IF(A746&amp;B746="","",VLOOKUP(A746&amp;B746,INSUMOS!C:G,3,0))</f>
        <v/>
      </c>
      <c r="F746" s="118"/>
      <c r="G746" s="122" t="str">
        <f>IF(A746&amp;B746="","",VLOOKUP(A746&amp;B746,INSUMOS!C:G,4,0))</f>
        <v/>
      </c>
      <c r="H746" s="119" t="str">
        <f t="shared" si="126"/>
        <v/>
      </c>
      <c r="I746" s="119" t="str">
        <f t="shared" si="127"/>
        <v/>
      </c>
      <c r="J746" s="115" t="str">
        <f t="shared" si="128"/>
        <v/>
      </c>
      <c r="K746" s="102" t="str">
        <f>IF(A746&amp;B746="","",VLOOKUP(A746&amp;B746,INSUMOS!C:G,5,0))</f>
        <v/>
      </c>
    </row>
    <row r="747" spans="1:17" ht="15" x14ac:dyDescent="0.25">
      <c r="A747" s="120"/>
      <c r="B747" s="121"/>
      <c r="C747" s="518" t="str">
        <f>IF(A747&amp;B747="","",VLOOKUP(A747&amp;B747,INSUMOS!C:G,2,0))</f>
        <v/>
      </c>
      <c r="D747" s="519"/>
      <c r="E747" s="117" t="str">
        <f>IF(A747&amp;B747="","",VLOOKUP(A747&amp;B747,INSUMOS!C:G,3,0))</f>
        <v/>
      </c>
      <c r="F747" s="118"/>
      <c r="G747" s="122" t="str">
        <f>IF(A747&amp;B747="","",VLOOKUP(A747&amp;B747,INSUMOS!C:G,4,0))</f>
        <v/>
      </c>
      <c r="H747" s="119" t="str">
        <f t="shared" si="126"/>
        <v/>
      </c>
      <c r="I747" s="119" t="str">
        <f t="shared" si="127"/>
        <v/>
      </c>
      <c r="J747" s="115" t="str">
        <f t="shared" si="128"/>
        <v/>
      </c>
      <c r="K747" s="102" t="str">
        <f>IF(A747&amp;B747="","",VLOOKUP(A747&amp;B747,INSUMOS!C:G,5,0))</f>
        <v/>
      </c>
    </row>
    <row r="748" spans="1:17" ht="15" x14ac:dyDescent="0.25">
      <c r="A748" s="123" t="s">
        <v>4399</v>
      </c>
      <c r="B748" s="520"/>
      <c r="C748" s="520"/>
      <c r="D748" s="520"/>
      <c r="E748" s="520"/>
      <c r="F748" s="521"/>
      <c r="G748" s="124" t="s">
        <v>50</v>
      </c>
      <c r="H748" s="125">
        <f>SUM(H735:H747)</f>
        <v>0</v>
      </c>
      <c r="I748" s="125">
        <f>SUM(I735:I747)</f>
        <v>4386.51</v>
      </c>
      <c r="J748" s="126">
        <f>SUM(J735:J747)</f>
        <v>0</v>
      </c>
    </row>
    <row r="749" spans="1:17" ht="15" x14ac:dyDescent="0.25">
      <c r="A749" s="127" t="s">
        <v>4400</v>
      </c>
      <c r="B749" s="128"/>
      <c r="C749" s="128"/>
      <c r="D749" s="127" t="s">
        <v>51</v>
      </c>
      <c r="E749" s="128"/>
      <c r="F749" s="129"/>
      <c r="G749" s="130" t="s">
        <v>55</v>
      </c>
      <c r="H749" s="131" t="s">
        <v>52</v>
      </c>
      <c r="I749" s="132"/>
      <c r="J749" s="125">
        <f>SUM(H748:J748)</f>
        <v>4386.51</v>
      </c>
    </row>
    <row r="750" spans="1:17" ht="15" x14ac:dyDescent="0.25">
      <c r="A750" s="313" t="str">
        <f>$I$3</f>
        <v>Carlos Wieck</v>
      </c>
      <c r="B750" s="133"/>
      <c r="C750" s="133"/>
      <c r="D750" s="134"/>
      <c r="E750" s="133"/>
      <c r="F750" s="135"/>
      <c r="G750" s="522">
        <f>$J$5</f>
        <v>43040</v>
      </c>
      <c r="H750" s="136" t="s">
        <v>53</v>
      </c>
      <c r="I750" s="137"/>
      <c r="J750" s="125">
        <f>TRUNC(I750*J749,2)</f>
        <v>0</v>
      </c>
    </row>
    <row r="751" spans="1:17" ht="15" x14ac:dyDescent="0.25">
      <c r="A751" s="138"/>
      <c r="B751" s="139"/>
      <c r="C751" s="139"/>
      <c r="D751" s="138"/>
      <c r="E751" s="139"/>
      <c r="F751" s="140"/>
      <c r="G751" s="523"/>
      <c r="H751" s="141" t="s">
        <v>54</v>
      </c>
      <c r="I751" s="142"/>
      <c r="J751" s="143">
        <f>J750+J749</f>
        <v>4386.51</v>
      </c>
      <c r="L751" s="102" t="str">
        <f>A732</f>
        <v>COMPOSIÇÃO</v>
      </c>
      <c r="M751" s="144" t="str">
        <f>B732</f>
        <v>FF-022</v>
      </c>
      <c r="N751" s="102" t="str">
        <f>L751&amp;M751</f>
        <v>COMPOSIÇÃOFF-022</v>
      </c>
      <c r="O751" s="103" t="str">
        <f>D731</f>
        <v>CX 01-A - Painel de policarbonato alveolar transparente de 40mm com acabamento em perfil de alumínio dim.3,50x2,85m. Fornecimento e instalação</v>
      </c>
      <c r="P751" s="145" t="str">
        <f>J732</f>
        <v>un</v>
      </c>
      <c r="Q751" s="145">
        <f>J751</f>
        <v>4386.51</v>
      </c>
    </row>
    <row r="752" spans="1:17" ht="15" customHeight="1" x14ac:dyDescent="0.25">
      <c r="A752" s="524" t="s">
        <v>40</v>
      </c>
      <c r="B752" s="525"/>
      <c r="C752" s="104" t="s">
        <v>41</v>
      </c>
      <c r="D752" s="526" t="str">
        <f>IF(B753="","",VLOOKUP(B753,SERVIÇOS!B:E,3,0))</f>
        <v>CX 01-B - Painel de policarbonato alveolar transparente de 40mm com acabamento em perfil de alumínio dim.1,80x2,85m. Fornecimento e instalação</v>
      </c>
      <c r="E752" s="526"/>
      <c r="F752" s="526"/>
      <c r="G752" s="526"/>
      <c r="H752" s="526"/>
      <c r="I752" s="527"/>
      <c r="J752" s="105" t="s">
        <v>42</v>
      </c>
    </row>
    <row r="753" spans="1:11" ht="15" x14ac:dyDescent="0.25">
      <c r="A753" s="230" t="s">
        <v>4715</v>
      </c>
      <c r="B753" s="230" t="s">
        <v>4903</v>
      </c>
      <c r="C753" s="106"/>
      <c r="D753" s="528"/>
      <c r="E753" s="528"/>
      <c r="F753" s="528"/>
      <c r="G753" s="528"/>
      <c r="H753" s="528"/>
      <c r="I753" s="529"/>
      <c r="J753" s="107" t="str">
        <f>IF(B753="","",VLOOKUP(B753,SERVIÇOS!B:E,4,0))</f>
        <v>un</v>
      </c>
    </row>
    <row r="754" spans="1:11" ht="15" x14ac:dyDescent="0.25">
      <c r="A754" s="530" t="s">
        <v>4397</v>
      </c>
      <c r="B754" s="531" t="s">
        <v>11</v>
      </c>
      <c r="C754" s="533" t="s">
        <v>43</v>
      </c>
      <c r="D754" s="534"/>
      <c r="E754" s="530" t="s">
        <v>13</v>
      </c>
      <c r="F754" s="530" t="s">
        <v>44</v>
      </c>
      <c r="G754" s="538" t="s">
        <v>45</v>
      </c>
      <c r="H754" s="108" t="s">
        <v>46</v>
      </c>
      <c r="I754" s="108"/>
      <c r="J754" s="108"/>
    </row>
    <row r="755" spans="1:11" ht="15" x14ac:dyDescent="0.25">
      <c r="A755" s="530"/>
      <c r="B755" s="532"/>
      <c r="C755" s="535"/>
      <c r="D755" s="536"/>
      <c r="E755" s="537"/>
      <c r="F755" s="537"/>
      <c r="G755" s="539"/>
      <c r="H755" s="108" t="s">
        <v>47</v>
      </c>
      <c r="I755" s="108" t="s">
        <v>48</v>
      </c>
      <c r="J755" s="108" t="s">
        <v>49</v>
      </c>
    </row>
    <row r="756" spans="1:11" ht="15" x14ac:dyDescent="0.25">
      <c r="A756" s="109" t="s">
        <v>4717</v>
      </c>
      <c r="B756" s="116" t="s">
        <v>4873</v>
      </c>
      <c r="C756" s="540" t="str">
        <f>IF(A756&amp;B756="","",VLOOKUP(A756&amp;B756,INSUMOS!C:G,2,0))</f>
        <v>Policarbonato 10mm, sistema TOPGAL da Arkos ou equivalente técnico</v>
      </c>
      <c r="D756" s="541"/>
      <c r="E756" s="111" t="str">
        <f>IF(A756&amp;B756="","",VLOOKUP(A756&amp;B756,INSUMOS!C:G,3,0))</f>
        <v>m²</v>
      </c>
      <c r="F756" s="112">
        <f>1.8*2.85</f>
        <v>5.13</v>
      </c>
      <c r="G756" s="113">
        <f>IF(A756&amp;B756="","",VLOOKUP(A756&amp;B756,INSUMOS!C:G,4,0))</f>
        <v>126</v>
      </c>
      <c r="H756" s="114" t="str">
        <f>IF(K756="MO",TRUNC(F756*G756,2),"")</f>
        <v/>
      </c>
      <c r="I756" s="114">
        <f>IF(K756="MT",TRUNC(F756*G756,2),"")</f>
        <v>646.38</v>
      </c>
      <c r="J756" s="115" t="str">
        <f>IF(K756="EQ",TRUNC(F756*G756,2),"")</f>
        <v/>
      </c>
      <c r="K756" s="102" t="str">
        <f>IF(A756&amp;B756="","",VLOOKUP(A756&amp;B756,INSUMOS!C:G,5,0))</f>
        <v>MT</v>
      </c>
    </row>
    <row r="757" spans="1:11" ht="15" x14ac:dyDescent="0.25">
      <c r="A757" s="109" t="s">
        <v>4717</v>
      </c>
      <c r="B757" s="116" t="s">
        <v>4979</v>
      </c>
      <c r="C757" s="518" t="str">
        <f>IF(A757&amp;B757="","",VLOOKUP(A757&amp;B757,INSUMOS!C:G,2,0))</f>
        <v>Acessórios e instalações do sistema de policarbonato</v>
      </c>
      <c r="D757" s="519"/>
      <c r="E757" s="117" t="str">
        <f>IF(A757&amp;B757="","",VLOOKUP(A757&amp;B757,INSUMOS!C:G,3,0))</f>
        <v>m²</v>
      </c>
      <c r="F757" s="118">
        <f>F756</f>
        <v>5.13</v>
      </c>
      <c r="G757" s="113">
        <f>IF(A757&amp;B757="","",VLOOKUP(A757&amp;B757,INSUMOS!C:G,4,0))</f>
        <v>313.75124</v>
      </c>
      <c r="H757" s="119" t="str">
        <f t="shared" ref="H757:H768" si="129">IF(K757="MO",TRUNC(F757*G757,2),"")</f>
        <v/>
      </c>
      <c r="I757" s="119">
        <f t="shared" ref="I757:I768" si="130">IF(K757="MT",TRUNC(F757*G757,2),"")</f>
        <v>1609.54</v>
      </c>
      <c r="J757" s="115" t="str">
        <f t="shared" ref="J757:J768" si="131">IF(K757="EQ",TRUNC(F757*G757,2),"")</f>
        <v/>
      </c>
      <c r="K757" s="102" t="str">
        <f>IF(A757&amp;B757="","",VLOOKUP(A757&amp;B757,INSUMOS!C:G,5,0))</f>
        <v>MT</v>
      </c>
    </row>
    <row r="758" spans="1:11" ht="15" x14ac:dyDescent="0.25">
      <c r="A758" s="109"/>
      <c r="B758" s="116"/>
      <c r="C758" s="518" t="str">
        <f>IF(A758&amp;B758="","",VLOOKUP(A758&amp;B758,INSUMOS!C:G,2,0))</f>
        <v/>
      </c>
      <c r="D758" s="519"/>
      <c r="E758" s="117" t="str">
        <f>IF(A758&amp;B758="","",VLOOKUP(A758&amp;B758,INSUMOS!C:G,3,0))</f>
        <v/>
      </c>
      <c r="F758" s="118"/>
      <c r="G758" s="113" t="str">
        <f>IF(A758&amp;B758="","",VLOOKUP(A758&amp;B758,INSUMOS!C:G,4,0))</f>
        <v/>
      </c>
      <c r="H758" s="119" t="str">
        <f t="shared" si="129"/>
        <v/>
      </c>
      <c r="I758" s="119" t="str">
        <f t="shared" si="130"/>
        <v/>
      </c>
      <c r="J758" s="115" t="str">
        <f t="shared" si="131"/>
        <v/>
      </c>
      <c r="K758" s="102" t="str">
        <f>IF(A758&amp;B758="","",VLOOKUP(A758&amp;B758,INSUMOS!C:G,5,0))</f>
        <v/>
      </c>
    </row>
    <row r="759" spans="1:11" ht="15" x14ac:dyDescent="0.25">
      <c r="A759" s="109"/>
      <c r="B759" s="116"/>
      <c r="C759" s="518" t="str">
        <f>IF(A759&amp;B759="","",VLOOKUP(A759&amp;B759,INSUMOS!C:G,2,0))</f>
        <v/>
      </c>
      <c r="D759" s="519"/>
      <c r="E759" s="117" t="str">
        <f>IF(A759&amp;B759="","",VLOOKUP(A759&amp;B759,INSUMOS!C:G,3,0))</f>
        <v/>
      </c>
      <c r="F759" s="118"/>
      <c r="G759" s="113" t="str">
        <f>IF(A759&amp;B759="","",VLOOKUP(A759&amp;B759,INSUMOS!C:G,4,0))</f>
        <v/>
      </c>
      <c r="H759" s="119" t="str">
        <f t="shared" si="129"/>
        <v/>
      </c>
      <c r="I759" s="119" t="str">
        <f t="shared" si="130"/>
        <v/>
      </c>
      <c r="J759" s="115" t="str">
        <f t="shared" si="131"/>
        <v/>
      </c>
      <c r="K759" s="102" t="str">
        <f>IF(A759&amp;B759="","",VLOOKUP(A759&amp;B759,INSUMOS!C:G,5,0))</f>
        <v/>
      </c>
    </row>
    <row r="760" spans="1:11" ht="15" x14ac:dyDescent="0.25">
      <c r="A760" s="109"/>
      <c r="B760" s="116"/>
      <c r="C760" s="518" t="str">
        <f>IF(A760&amp;B760="","",VLOOKUP(A760&amp;B760,INSUMOS!C:G,2,0))</f>
        <v/>
      </c>
      <c r="D760" s="519"/>
      <c r="E760" s="117" t="str">
        <f>IF(A760&amp;B760="","",VLOOKUP(A760&amp;B760,INSUMOS!C:G,3,0))</f>
        <v/>
      </c>
      <c r="F760" s="118"/>
      <c r="G760" s="113" t="str">
        <f>IF(A760&amp;B760="","",VLOOKUP(A760&amp;B760,INSUMOS!C:G,4,0))</f>
        <v/>
      </c>
      <c r="H760" s="119" t="str">
        <f t="shared" si="129"/>
        <v/>
      </c>
      <c r="I760" s="119" t="str">
        <f t="shared" si="130"/>
        <v/>
      </c>
      <c r="J760" s="115" t="str">
        <f t="shared" si="131"/>
        <v/>
      </c>
      <c r="K760" s="102" t="str">
        <f>IF(A760&amp;B760="","",VLOOKUP(A760&amp;B760,INSUMOS!C:G,5,0))</f>
        <v/>
      </c>
    </row>
    <row r="761" spans="1:11" ht="15" x14ac:dyDescent="0.25">
      <c r="A761" s="109"/>
      <c r="B761" s="116"/>
      <c r="C761" s="518" t="str">
        <f>IF(A761&amp;B761="","",VLOOKUP(A761&amp;B761,INSUMOS!C:G,2,0))</f>
        <v/>
      </c>
      <c r="D761" s="519"/>
      <c r="E761" s="117" t="str">
        <f>IF(A761&amp;B761="","",VLOOKUP(A761&amp;B761,INSUMOS!C:G,3,0))</f>
        <v/>
      </c>
      <c r="F761" s="118"/>
      <c r="G761" s="113" t="str">
        <f>IF(A761&amp;B761="","",VLOOKUP(A761&amp;B761,INSUMOS!C:G,4,0))</f>
        <v/>
      </c>
      <c r="H761" s="119" t="str">
        <f t="shared" si="129"/>
        <v/>
      </c>
      <c r="I761" s="119" t="str">
        <f t="shared" si="130"/>
        <v/>
      </c>
      <c r="J761" s="115" t="str">
        <f t="shared" si="131"/>
        <v/>
      </c>
      <c r="K761" s="102" t="str">
        <f>IF(A761&amp;B761="","",VLOOKUP(A761&amp;B761,INSUMOS!C:G,5,0))</f>
        <v/>
      </c>
    </row>
    <row r="762" spans="1:11" ht="15" x14ac:dyDescent="0.25">
      <c r="A762" s="109"/>
      <c r="B762" s="116"/>
      <c r="C762" s="518" t="str">
        <f>IF(A762&amp;B762="","",VLOOKUP(A762&amp;B762,INSUMOS!C:G,2,0))</f>
        <v/>
      </c>
      <c r="D762" s="519"/>
      <c r="E762" s="117" t="str">
        <f>IF(A762&amp;B762="","",VLOOKUP(A762&amp;B762,INSUMOS!C:G,3,0))</f>
        <v/>
      </c>
      <c r="F762" s="118"/>
      <c r="G762" s="113" t="str">
        <f>IF(A762&amp;B762="","",VLOOKUP(A762&amp;B762,INSUMOS!C:G,4,0))</f>
        <v/>
      </c>
      <c r="H762" s="119" t="str">
        <f t="shared" si="129"/>
        <v/>
      </c>
      <c r="I762" s="119" t="str">
        <f t="shared" si="130"/>
        <v/>
      </c>
      <c r="J762" s="115" t="str">
        <f t="shared" si="131"/>
        <v/>
      </c>
      <c r="K762" s="102" t="str">
        <f>IF(A762&amp;B762="","",VLOOKUP(A762&amp;B762,INSUMOS!C:G,5,0))</f>
        <v/>
      </c>
    </row>
    <row r="763" spans="1:11" ht="15" x14ac:dyDescent="0.25">
      <c r="A763" s="109"/>
      <c r="B763" s="116"/>
      <c r="C763" s="518" t="str">
        <f>IF(A763&amp;B763="","",VLOOKUP(A763&amp;B763,INSUMOS!C:G,2,0))</f>
        <v/>
      </c>
      <c r="D763" s="519"/>
      <c r="E763" s="117" t="str">
        <f>IF(A763&amp;B763="","",VLOOKUP(A763&amp;B763,INSUMOS!C:G,3,0))</f>
        <v/>
      </c>
      <c r="F763" s="118"/>
      <c r="G763" s="113" t="str">
        <f>IF(A763&amp;B763="","",VLOOKUP(A763&amp;B763,INSUMOS!C:G,4,0))</f>
        <v/>
      </c>
      <c r="H763" s="119" t="str">
        <f t="shared" si="129"/>
        <v/>
      </c>
      <c r="I763" s="119" t="str">
        <f t="shared" si="130"/>
        <v/>
      </c>
      <c r="J763" s="115" t="str">
        <f t="shared" si="131"/>
        <v/>
      </c>
      <c r="K763" s="102" t="str">
        <f>IF(A763&amp;B763="","",VLOOKUP(A763&amp;B763,INSUMOS!C:G,5,0))</f>
        <v/>
      </c>
    </row>
    <row r="764" spans="1:11" ht="15" x14ac:dyDescent="0.25">
      <c r="A764" s="109"/>
      <c r="B764" s="116"/>
      <c r="C764" s="518" t="str">
        <f>IF(A764&amp;B764="","",VLOOKUP(A764&amp;B764,INSUMOS!C:G,2,0))</f>
        <v/>
      </c>
      <c r="D764" s="519"/>
      <c r="E764" s="117" t="str">
        <f>IF(A764&amp;B764="","",VLOOKUP(A764&amp;B764,INSUMOS!C:G,3,0))</f>
        <v/>
      </c>
      <c r="F764" s="118"/>
      <c r="G764" s="113" t="str">
        <f>IF(A764&amp;B764="","",VLOOKUP(A764&amp;B764,INSUMOS!C:G,4,0))</f>
        <v/>
      </c>
      <c r="H764" s="119" t="str">
        <f t="shared" si="129"/>
        <v/>
      </c>
      <c r="I764" s="119" t="str">
        <f t="shared" si="130"/>
        <v/>
      </c>
      <c r="J764" s="115" t="str">
        <f t="shared" si="131"/>
        <v/>
      </c>
      <c r="K764" s="102" t="str">
        <f>IF(A764&amp;B764="","",VLOOKUP(A764&amp;B764,INSUMOS!C:G,5,0))</f>
        <v/>
      </c>
    </row>
    <row r="765" spans="1:11" ht="15" x14ac:dyDescent="0.25">
      <c r="A765" s="109"/>
      <c r="B765" s="116"/>
      <c r="C765" s="518" t="str">
        <f>IF(A765&amp;B765="","",VLOOKUP(A765&amp;B765,INSUMOS!C:G,2,0))</f>
        <v/>
      </c>
      <c r="D765" s="519"/>
      <c r="E765" s="117" t="str">
        <f>IF(A765&amp;B765="","",VLOOKUP(A765&amp;B765,INSUMOS!C:G,3,0))</f>
        <v/>
      </c>
      <c r="F765" s="118"/>
      <c r="G765" s="113" t="str">
        <f>IF(A765&amp;B765="","",VLOOKUP(A765&amp;B765,INSUMOS!C:G,4,0))</f>
        <v/>
      </c>
      <c r="H765" s="119" t="str">
        <f t="shared" si="129"/>
        <v/>
      </c>
      <c r="I765" s="119" t="str">
        <f t="shared" si="130"/>
        <v/>
      </c>
      <c r="J765" s="115" t="str">
        <f t="shared" si="131"/>
        <v/>
      </c>
      <c r="K765" s="102" t="str">
        <f>IF(A765&amp;B765="","",VLOOKUP(A765&amp;B765,INSUMOS!C:G,5,0))</f>
        <v/>
      </c>
    </row>
    <row r="766" spans="1:11" ht="15" x14ac:dyDescent="0.25">
      <c r="A766" s="120"/>
      <c r="B766" s="121"/>
      <c r="C766" s="518" t="str">
        <f>IF(A766&amp;B766="","",VLOOKUP(A766&amp;B766,INSUMOS!C:G,2,0))</f>
        <v/>
      </c>
      <c r="D766" s="519"/>
      <c r="E766" s="117" t="str">
        <f>IF(A766&amp;B766="","",VLOOKUP(A766&amp;B766,INSUMOS!C:G,3,0))</f>
        <v/>
      </c>
      <c r="F766" s="118"/>
      <c r="G766" s="122" t="str">
        <f>IF(A766&amp;B766="","",VLOOKUP(A766&amp;B766,INSUMOS!C:G,4,0))</f>
        <v/>
      </c>
      <c r="H766" s="119" t="str">
        <f t="shared" si="129"/>
        <v/>
      </c>
      <c r="I766" s="119" t="str">
        <f t="shared" si="130"/>
        <v/>
      </c>
      <c r="J766" s="115" t="str">
        <f t="shared" si="131"/>
        <v/>
      </c>
      <c r="K766" s="102" t="str">
        <f>IF(A766&amp;B766="","",VLOOKUP(A766&amp;B766,INSUMOS!C:G,5,0))</f>
        <v/>
      </c>
    </row>
    <row r="767" spans="1:11" ht="15" x14ac:dyDescent="0.25">
      <c r="A767" s="120"/>
      <c r="B767" s="121"/>
      <c r="C767" s="518" t="str">
        <f>IF(A767&amp;B767="","",VLOOKUP(A767&amp;B767,INSUMOS!C:G,2,0))</f>
        <v/>
      </c>
      <c r="D767" s="519"/>
      <c r="E767" s="117" t="str">
        <f>IF(A767&amp;B767="","",VLOOKUP(A767&amp;B767,INSUMOS!C:G,3,0))</f>
        <v/>
      </c>
      <c r="F767" s="118"/>
      <c r="G767" s="122" t="str">
        <f>IF(A767&amp;B767="","",VLOOKUP(A767&amp;B767,INSUMOS!C:G,4,0))</f>
        <v/>
      </c>
      <c r="H767" s="119" t="str">
        <f t="shared" si="129"/>
        <v/>
      </c>
      <c r="I767" s="119" t="str">
        <f t="shared" si="130"/>
        <v/>
      </c>
      <c r="J767" s="115" t="str">
        <f t="shared" si="131"/>
        <v/>
      </c>
      <c r="K767" s="102" t="str">
        <f>IF(A767&amp;B767="","",VLOOKUP(A767&amp;B767,INSUMOS!C:G,5,0))</f>
        <v/>
      </c>
    </row>
    <row r="768" spans="1:11" ht="15" x14ac:dyDescent="0.25">
      <c r="A768" s="120"/>
      <c r="B768" s="121"/>
      <c r="C768" s="518" t="str">
        <f>IF(A768&amp;B768="","",VLOOKUP(A768&amp;B768,INSUMOS!C:G,2,0))</f>
        <v/>
      </c>
      <c r="D768" s="519"/>
      <c r="E768" s="117" t="str">
        <f>IF(A768&amp;B768="","",VLOOKUP(A768&amp;B768,INSUMOS!C:G,3,0))</f>
        <v/>
      </c>
      <c r="F768" s="118"/>
      <c r="G768" s="122" t="str">
        <f>IF(A768&amp;B768="","",VLOOKUP(A768&amp;B768,INSUMOS!C:G,4,0))</f>
        <v/>
      </c>
      <c r="H768" s="119" t="str">
        <f t="shared" si="129"/>
        <v/>
      </c>
      <c r="I768" s="119" t="str">
        <f t="shared" si="130"/>
        <v/>
      </c>
      <c r="J768" s="115" t="str">
        <f t="shared" si="131"/>
        <v/>
      </c>
      <c r="K768" s="102" t="str">
        <f>IF(A768&amp;B768="","",VLOOKUP(A768&amp;B768,INSUMOS!C:G,5,0))</f>
        <v/>
      </c>
    </row>
    <row r="769" spans="1:17" ht="15" x14ac:dyDescent="0.25">
      <c r="A769" s="123" t="s">
        <v>4399</v>
      </c>
      <c r="B769" s="520"/>
      <c r="C769" s="520"/>
      <c r="D769" s="520"/>
      <c r="E769" s="520"/>
      <c r="F769" s="521"/>
      <c r="G769" s="124" t="s">
        <v>50</v>
      </c>
      <c r="H769" s="125">
        <f>SUM(H756:H768)</f>
        <v>0</v>
      </c>
      <c r="I769" s="125">
        <f>SUM(I756:I768)</f>
        <v>2255.92</v>
      </c>
      <c r="J769" s="126">
        <f>SUM(J756:J768)</f>
        <v>0</v>
      </c>
    </row>
    <row r="770" spans="1:17" ht="15" x14ac:dyDescent="0.25">
      <c r="A770" s="127" t="s">
        <v>4400</v>
      </c>
      <c r="B770" s="128"/>
      <c r="C770" s="128"/>
      <c r="D770" s="127" t="s">
        <v>51</v>
      </c>
      <c r="E770" s="128"/>
      <c r="F770" s="129"/>
      <c r="G770" s="130" t="s">
        <v>55</v>
      </c>
      <c r="H770" s="131" t="s">
        <v>52</v>
      </c>
      <c r="I770" s="132"/>
      <c r="J770" s="125">
        <f>SUM(H769:J769)</f>
        <v>2255.92</v>
      </c>
    </row>
    <row r="771" spans="1:17" ht="15" x14ac:dyDescent="0.25">
      <c r="A771" s="313" t="str">
        <f>$I$3</f>
        <v>Carlos Wieck</v>
      </c>
      <c r="B771" s="133"/>
      <c r="C771" s="133"/>
      <c r="D771" s="134"/>
      <c r="E771" s="133"/>
      <c r="F771" s="135"/>
      <c r="G771" s="522">
        <f>$J$5</f>
        <v>43040</v>
      </c>
      <c r="H771" s="136" t="s">
        <v>53</v>
      </c>
      <c r="I771" s="137"/>
      <c r="J771" s="125">
        <f>TRUNC(I771*J770,2)</f>
        <v>0</v>
      </c>
    </row>
    <row r="772" spans="1:17" ht="15" x14ac:dyDescent="0.25">
      <c r="A772" s="138"/>
      <c r="B772" s="139"/>
      <c r="C772" s="139"/>
      <c r="D772" s="138"/>
      <c r="E772" s="139"/>
      <c r="F772" s="140"/>
      <c r="G772" s="523"/>
      <c r="H772" s="141" t="s">
        <v>54</v>
      </c>
      <c r="I772" s="142"/>
      <c r="J772" s="143">
        <f>J771+J770</f>
        <v>2255.92</v>
      </c>
      <c r="L772" s="102" t="str">
        <f>A753</f>
        <v>COMPOSIÇÃO</v>
      </c>
      <c r="M772" s="144" t="str">
        <f>B753</f>
        <v>FF-023</v>
      </c>
      <c r="N772" s="102" t="str">
        <f>L772&amp;M772</f>
        <v>COMPOSIÇÃOFF-023</v>
      </c>
      <c r="O772" s="103" t="str">
        <f>D752</f>
        <v>CX 01-B - Painel de policarbonato alveolar transparente de 40mm com acabamento em perfil de alumínio dim.1,80x2,85m. Fornecimento e instalação</v>
      </c>
      <c r="P772" s="145" t="str">
        <f>J753</f>
        <v>un</v>
      </c>
      <c r="Q772" s="145">
        <f>J772</f>
        <v>2255.92</v>
      </c>
    </row>
    <row r="773" spans="1:17" ht="15" customHeight="1" x14ac:dyDescent="0.25">
      <c r="A773" s="524" t="s">
        <v>40</v>
      </c>
      <c r="B773" s="525"/>
      <c r="C773" s="104" t="s">
        <v>41</v>
      </c>
      <c r="D773" s="526" t="str">
        <f>IF(B774="","",VLOOKUP(B774,SERVIÇOS!B:E,3,0))</f>
        <v>CX02 - Porta de madeira - estruturada com fechamento de chapa de compensado 6mm - tipo camarão em dois pares de duas folhas, suspensa por trilho superior e com guia inferior embutida no piso dim.3,50x2,85m. Fornecimento e instalação</v>
      </c>
      <c r="E773" s="526"/>
      <c r="F773" s="526"/>
      <c r="G773" s="526"/>
      <c r="H773" s="526"/>
      <c r="I773" s="527"/>
      <c r="J773" s="105" t="s">
        <v>42</v>
      </c>
    </row>
    <row r="774" spans="1:17" ht="15" x14ac:dyDescent="0.25">
      <c r="A774" s="230" t="s">
        <v>4715</v>
      </c>
      <c r="B774" s="230" t="s">
        <v>4904</v>
      </c>
      <c r="C774" s="106"/>
      <c r="D774" s="528"/>
      <c r="E774" s="528"/>
      <c r="F774" s="528"/>
      <c r="G774" s="528"/>
      <c r="H774" s="528"/>
      <c r="I774" s="529"/>
      <c r="J774" s="107" t="str">
        <f>IF(B774="","",VLOOKUP(B774,SERVIÇOS!B:E,4,0))</f>
        <v>un</v>
      </c>
    </row>
    <row r="775" spans="1:17" ht="15" x14ac:dyDescent="0.25">
      <c r="A775" s="530" t="s">
        <v>4397</v>
      </c>
      <c r="B775" s="531" t="s">
        <v>11</v>
      </c>
      <c r="C775" s="533" t="s">
        <v>43</v>
      </c>
      <c r="D775" s="534"/>
      <c r="E775" s="530" t="s">
        <v>13</v>
      </c>
      <c r="F775" s="530" t="s">
        <v>44</v>
      </c>
      <c r="G775" s="538" t="s">
        <v>45</v>
      </c>
      <c r="H775" s="108" t="s">
        <v>46</v>
      </c>
      <c r="I775" s="108"/>
      <c r="J775" s="108"/>
    </row>
    <row r="776" spans="1:17" ht="15" x14ac:dyDescent="0.25">
      <c r="A776" s="530"/>
      <c r="B776" s="532"/>
      <c r="C776" s="535"/>
      <c r="D776" s="536"/>
      <c r="E776" s="537"/>
      <c r="F776" s="537"/>
      <c r="G776" s="539"/>
      <c r="H776" s="108" t="s">
        <v>47</v>
      </c>
      <c r="I776" s="108" t="s">
        <v>48</v>
      </c>
      <c r="J776" s="108" t="s">
        <v>49</v>
      </c>
    </row>
    <row r="777" spans="1:17" ht="45" customHeight="1" x14ac:dyDescent="0.25">
      <c r="A777" s="109" t="s">
        <v>4717</v>
      </c>
      <c r="B777" s="116" t="s">
        <v>4875</v>
      </c>
      <c r="C777" s="540" t="str">
        <f>IF(A777&amp;B777="","",VLOOKUP(A777&amp;B777,INSUMOS!C:G,2,0))</f>
        <v>CX02 - Porta de madeira - estruturada com fechamento de chapa de compensado 6mm - tipo camarão em dois pares de duas folhas, suspensa por trilho superior e com guia inferior embutida no piso dim.3,50x2,85m. Fornecimento e instalação</v>
      </c>
      <c r="D777" s="541"/>
      <c r="E777" s="111" t="str">
        <f>IF(A777&amp;B777="","",VLOOKUP(A777&amp;B777,INSUMOS!C:G,3,0))</f>
        <v>un</v>
      </c>
      <c r="F777" s="112">
        <v>1</v>
      </c>
      <c r="G777" s="113">
        <f>IF(A777&amp;B777="","",VLOOKUP(A777&amp;B777,INSUMOS!C:G,4,0))</f>
        <v>5691.0151599999999</v>
      </c>
      <c r="H777" s="114" t="str">
        <f>IF(K777="MO",TRUNC(F777*G777,2),"")</f>
        <v/>
      </c>
      <c r="I777" s="114">
        <f>IF(K777="MT",TRUNC(F777*G777,2),"")</f>
        <v>5691.01</v>
      </c>
      <c r="J777" s="115" t="str">
        <f>IF(K777="EQ",TRUNC(F777*G777,2),"")</f>
        <v/>
      </c>
      <c r="K777" s="102" t="str">
        <f>IF(A777&amp;B777="","",VLOOKUP(A777&amp;B777,INSUMOS!C:G,5,0))</f>
        <v>MT</v>
      </c>
    </row>
    <row r="778" spans="1:17" ht="15" x14ac:dyDescent="0.25">
      <c r="A778" s="109"/>
      <c r="B778" s="116"/>
      <c r="C778" s="518" t="str">
        <f>IF(A778&amp;B778="","",VLOOKUP(A778&amp;B778,INSUMOS!C:G,2,0))</f>
        <v/>
      </c>
      <c r="D778" s="519"/>
      <c r="E778" s="117" t="str">
        <f>IF(A778&amp;B778="","",VLOOKUP(A778&amp;B778,INSUMOS!C:G,3,0))</f>
        <v/>
      </c>
      <c r="F778" s="118"/>
      <c r="G778" s="113" t="str">
        <f>IF(A778&amp;B778="","",VLOOKUP(A778&amp;B778,INSUMOS!C:G,4,0))</f>
        <v/>
      </c>
      <c r="H778" s="119" t="str">
        <f t="shared" ref="H778:H789" si="132">IF(K778="MO",TRUNC(F778*G778,2),"")</f>
        <v/>
      </c>
      <c r="I778" s="119" t="str">
        <f t="shared" ref="I778:I789" si="133">IF(K778="MT",TRUNC(F778*G778,2),"")</f>
        <v/>
      </c>
      <c r="J778" s="115" t="str">
        <f t="shared" ref="J778:J789" si="134">IF(K778="EQ",TRUNC(F778*G778,2),"")</f>
        <v/>
      </c>
      <c r="K778" s="102" t="str">
        <f>IF(A778&amp;B778="","",VLOOKUP(A778&amp;B778,INSUMOS!C:G,5,0))</f>
        <v/>
      </c>
    </row>
    <row r="779" spans="1:17" ht="15" x14ac:dyDescent="0.25">
      <c r="A779" s="109"/>
      <c r="B779" s="116"/>
      <c r="C779" s="518" t="str">
        <f>IF(A779&amp;B779="","",VLOOKUP(A779&amp;B779,INSUMOS!C:G,2,0))</f>
        <v/>
      </c>
      <c r="D779" s="519"/>
      <c r="E779" s="117" t="str">
        <f>IF(A779&amp;B779="","",VLOOKUP(A779&amp;B779,INSUMOS!C:G,3,0))</f>
        <v/>
      </c>
      <c r="F779" s="118"/>
      <c r="G779" s="113" t="str">
        <f>IF(A779&amp;B779="","",VLOOKUP(A779&amp;B779,INSUMOS!C:G,4,0))</f>
        <v/>
      </c>
      <c r="H779" s="119" t="str">
        <f t="shared" si="132"/>
        <v/>
      </c>
      <c r="I779" s="119" t="str">
        <f t="shared" si="133"/>
        <v/>
      </c>
      <c r="J779" s="115" t="str">
        <f t="shared" si="134"/>
        <v/>
      </c>
      <c r="K779" s="102" t="str">
        <f>IF(A779&amp;B779="","",VLOOKUP(A779&amp;B779,INSUMOS!C:G,5,0))</f>
        <v/>
      </c>
    </row>
    <row r="780" spans="1:17" ht="15" x14ac:dyDescent="0.25">
      <c r="A780" s="109"/>
      <c r="B780" s="116"/>
      <c r="C780" s="518" t="str">
        <f>IF(A780&amp;B780="","",VLOOKUP(A780&amp;B780,INSUMOS!C:G,2,0))</f>
        <v/>
      </c>
      <c r="D780" s="519"/>
      <c r="E780" s="117" t="str">
        <f>IF(A780&amp;B780="","",VLOOKUP(A780&amp;B780,INSUMOS!C:G,3,0))</f>
        <v/>
      </c>
      <c r="F780" s="118"/>
      <c r="G780" s="113" t="str">
        <f>IF(A780&amp;B780="","",VLOOKUP(A780&amp;B780,INSUMOS!C:G,4,0))</f>
        <v/>
      </c>
      <c r="H780" s="119" t="str">
        <f t="shared" si="132"/>
        <v/>
      </c>
      <c r="I780" s="119" t="str">
        <f t="shared" si="133"/>
        <v/>
      </c>
      <c r="J780" s="115" t="str">
        <f t="shared" si="134"/>
        <v/>
      </c>
      <c r="K780" s="102" t="str">
        <f>IF(A780&amp;B780="","",VLOOKUP(A780&amp;B780,INSUMOS!C:G,5,0))</f>
        <v/>
      </c>
    </row>
    <row r="781" spans="1:17" ht="15" x14ac:dyDescent="0.25">
      <c r="A781" s="109"/>
      <c r="B781" s="116"/>
      <c r="C781" s="518" t="str">
        <f>IF(A781&amp;B781="","",VLOOKUP(A781&amp;B781,INSUMOS!C:G,2,0))</f>
        <v/>
      </c>
      <c r="D781" s="519"/>
      <c r="E781" s="117" t="str">
        <f>IF(A781&amp;B781="","",VLOOKUP(A781&amp;B781,INSUMOS!C:G,3,0))</f>
        <v/>
      </c>
      <c r="F781" s="118"/>
      <c r="G781" s="113" t="str">
        <f>IF(A781&amp;B781="","",VLOOKUP(A781&amp;B781,INSUMOS!C:G,4,0))</f>
        <v/>
      </c>
      <c r="H781" s="119" t="str">
        <f t="shared" si="132"/>
        <v/>
      </c>
      <c r="I781" s="119" t="str">
        <f t="shared" si="133"/>
        <v/>
      </c>
      <c r="J781" s="115" t="str">
        <f t="shared" si="134"/>
        <v/>
      </c>
      <c r="K781" s="102" t="str">
        <f>IF(A781&amp;B781="","",VLOOKUP(A781&amp;B781,INSUMOS!C:G,5,0))</f>
        <v/>
      </c>
    </row>
    <row r="782" spans="1:17" ht="15" x14ac:dyDescent="0.25">
      <c r="A782" s="109"/>
      <c r="B782" s="116"/>
      <c r="C782" s="518" t="str">
        <f>IF(A782&amp;B782="","",VLOOKUP(A782&amp;B782,INSUMOS!C:G,2,0))</f>
        <v/>
      </c>
      <c r="D782" s="519"/>
      <c r="E782" s="117" t="str">
        <f>IF(A782&amp;B782="","",VLOOKUP(A782&amp;B782,INSUMOS!C:G,3,0))</f>
        <v/>
      </c>
      <c r="F782" s="118"/>
      <c r="G782" s="113" t="str">
        <f>IF(A782&amp;B782="","",VLOOKUP(A782&amp;B782,INSUMOS!C:G,4,0))</f>
        <v/>
      </c>
      <c r="H782" s="119" t="str">
        <f t="shared" si="132"/>
        <v/>
      </c>
      <c r="I782" s="119" t="str">
        <f t="shared" si="133"/>
        <v/>
      </c>
      <c r="J782" s="115" t="str">
        <f t="shared" si="134"/>
        <v/>
      </c>
      <c r="K782" s="102" t="str">
        <f>IF(A782&amp;B782="","",VLOOKUP(A782&amp;B782,INSUMOS!C:G,5,0))</f>
        <v/>
      </c>
    </row>
    <row r="783" spans="1:17" ht="15" x14ac:dyDescent="0.25">
      <c r="A783" s="109"/>
      <c r="B783" s="116"/>
      <c r="C783" s="518" t="str">
        <f>IF(A783&amp;B783="","",VLOOKUP(A783&amp;B783,INSUMOS!C:G,2,0))</f>
        <v/>
      </c>
      <c r="D783" s="519"/>
      <c r="E783" s="117" t="str">
        <f>IF(A783&amp;B783="","",VLOOKUP(A783&amp;B783,INSUMOS!C:G,3,0))</f>
        <v/>
      </c>
      <c r="F783" s="118"/>
      <c r="G783" s="113" t="str">
        <f>IF(A783&amp;B783="","",VLOOKUP(A783&amp;B783,INSUMOS!C:G,4,0))</f>
        <v/>
      </c>
      <c r="H783" s="119" t="str">
        <f t="shared" si="132"/>
        <v/>
      </c>
      <c r="I783" s="119" t="str">
        <f t="shared" si="133"/>
        <v/>
      </c>
      <c r="J783" s="115" t="str">
        <f t="shared" si="134"/>
        <v/>
      </c>
      <c r="K783" s="102" t="str">
        <f>IF(A783&amp;B783="","",VLOOKUP(A783&amp;B783,INSUMOS!C:G,5,0))</f>
        <v/>
      </c>
    </row>
    <row r="784" spans="1:17" ht="15" x14ac:dyDescent="0.25">
      <c r="A784" s="109"/>
      <c r="B784" s="116"/>
      <c r="C784" s="518" t="str">
        <f>IF(A784&amp;B784="","",VLOOKUP(A784&amp;B784,INSUMOS!C:G,2,0))</f>
        <v/>
      </c>
      <c r="D784" s="519"/>
      <c r="E784" s="117" t="str">
        <f>IF(A784&amp;B784="","",VLOOKUP(A784&amp;B784,INSUMOS!C:G,3,0))</f>
        <v/>
      </c>
      <c r="F784" s="118"/>
      <c r="G784" s="113" t="str">
        <f>IF(A784&amp;B784="","",VLOOKUP(A784&amp;B784,INSUMOS!C:G,4,0))</f>
        <v/>
      </c>
      <c r="H784" s="119" t="str">
        <f t="shared" si="132"/>
        <v/>
      </c>
      <c r="I784" s="119" t="str">
        <f t="shared" si="133"/>
        <v/>
      </c>
      <c r="J784" s="115" t="str">
        <f t="shared" si="134"/>
        <v/>
      </c>
      <c r="K784" s="102" t="str">
        <f>IF(A784&amp;B784="","",VLOOKUP(A784&amp;B784,INSUMOS!C:G,5,0))</f>
        <v/>
      </c>
    </row>
    <row r="785" spans="1:17" ht="15" x14ac:dyDescent="0.25">
      <c r="A785" s="109"/>
      <c r="B785" s="116"/>
      <c r="C785" s="518" t="str">
        <f>IF(A785&amp;B785="","",VLOOKUP(A785&amp;B785,INSUMOS!C:G,2,0))</f>
        <v/>
      </c>
      <c r="D785" s="519"/>
      <c r="E785" s="117" t="str">
        <f>IF(A785&amp;B785="","",VLOOKUP(A785&amp;B785,INSUMOS!C:G,3,0))</f>
        <v/>
      </c>
      <c r="F785" s="118"/>
      <c r="G785" s="113" t="str">
        <f>IF(A785&amp;B785="","",VLOOKUP(A785&amp;B785,INSUMOS!C:G,4,0))</f>
        <v/>
      </c>
      <c r="H785" s="119" t="str">
        <f t="shared" si="132"/>
        <v/>
      </c>
      <c r="I785" s="119" t="str">
        <f t="shared" si="133"/>
        <v/>
      </c>
      <c r="J785" s="115" t="str">
        <f t="shared" si="134"/>
        <v/>
      </c>
      <c r="K785" s="102" t="str">
        <f>IF(A785&amp;B785="","",VLOOKUP(A785&amp;B785,INSUMOS!C:G,5,0))</f>
        <v/>
      </c>
    </row>
    <row r="786" spans="1:17" ht="15" x14ac:dyDescent="0.25">
      <c r="A786" s="109"/>
      <c r="B786" s="116"/>
      <c r="C786" s="518" t="str">
        <f>IF(A786&amp;B786="","",VLOOKUP(A786&amp;B786,INSUMOS!C:G,2,0))</f>
        <v/>
      </c>
      <c r="D786" s="519"/>
      <c r="E786" s="117" t="str">
        <f>IF(A786&amp;B786="","",VLOOKUP(A786&amp;B786,INSUMOS!C:G,3,0))</f>
        <v/>
      </c>
      <c r="F786" s="118"/>
      <c r="G786" s="113" t="str">
        <f>IF(A786&amp;B786="","",VLOOKUP(A786&amp;B786,INSUMOS!C:G,4,0))</f>
        <v/>
      </c>
      <c r="H786" s="119" t="str">
        <f t="shared" si="132"/>
        <v/>
      </c>
      <c r="I786" s="119" t="str">
        <f t="shared" si="133"/>
        <v/>
      </c>
      <c r="J786" s="115" t="str">
        <f t="shared" si="134"/>
        <v/>
      </c>
      <c r="K786" s="102" t="str">
        <f>IF(A786&amp;B786="","",VLOOKUP(A786&amp;B786,INSUMOS!C:G,5,0))</f>
        <v/>
      </c>
    </row>
    <row r="787" spans="1:17" ht="15" x14ac:dyDescent="0.25">
      <c r="A787" s="120"/>
      <c r="B787" s="121"/>
      <c r="C787" s="518" t="str">
        <f>IF(A787&amp;B787="","",VLOOKUP(A787&amp;B787,INSUMOS!C:G,2,0))</f>
        <v/>
      </c>
      <c r="D787" s="519"/>
      <c r="E787" s="117" t="str">
        <f>IF(A787&amp;B787="","",VLOOKUP(A787&amp;B787,INSUMOS!C:G,3,0))</f>
        <v/>
      </c>
      <c r="F787" s="118"/>
      <c r="G787" s="122" t="str">
        <f>IF(A787&amp;B787="","",VLOOKUP(A787&amp;B787,INSUMOS!C:G,4,0))</f>
        <v/>
      </c>
      <c r="H787" s="119" t="str">
        <f t="shared" si="132"/>
        <v/>
      </c>
      <c r="I787" s="119" t="str">
        <f t="shared" si="133"/>
        <v/>
      </c>
      <c r="J787" s="115" t="str">
        <f t="shared" si="134"/>
        <v/>
      </c>
      <c r="K787" s="102" t="str">
        <f>IF(A787&amp;B787="","",VLOOKUP(A787&amp;B787,INSUMOS!C:G,5,0))</f>
        <v/>
      </c>
    </row>
    <row r="788" spans="1:17" ht="15" x14ac:dyDescent="0.25">
      <c r="A788" s="120"/>
      <c r="B788" s="121"/>
      <c r="C788" s="518" t="str">
        <f>IF(A788&amp;B788="","",VLOOKUP(A788&amp;B788,INSUMOS!C:G,2,0))</f>
        <v/>
      </c>
      <c r="D788" s="519"/>
      <c r="E788" s="117" t="str">
        <f>IF(A788&amp;B788="","",VLOOKUP(A788&amp;B788,INSUMOS!C:G,3,0))</f>
        <v/>
      </c>
      <c r="F788" s="118"/>
      <c r="G788" s="122" t="str">
        <f>IF(A788&amp;B788="","",VLOOKUP(A788&amp;B788,INSUMOS!C:G,4,0))</f>
        <v/>
      </c>
      <c r="H788" s="119" t="str">
        <f t="shared" si="132"/>
        <v/>
      </c>
      <c r="I788" s="119" t="str">
        <f t="shared" si="133"/>
        <v/>
      </c>
      <c r="J788" s="115" t="str">
        <f t="shared" si="134"/>
        <v/>
      </c>
      <c r="K788" s="102" t="str">
        <f>IF(A788&amp;B788="","",VLOOKUP(A788&amp;B788,INSUMOS!C:G,5,0))</f>
        <v/>
      </c>
    </row>
    <row r="789" spans="1:17" ht="15" x14ac:dyDescent="0.25">
      <c r="A789" s="120"/>
      <c r="B789" s="121"/>
      <c r="C789" s="518" t="str">
        <f>IF(A789&amp;B789="","",VLOOKUP(A789&amp;B789,INSUMOS!C:G,2,0))</f>
        <v/>
      </c>
      <c r="D789" s="519"/>
      <c r="E789" s="117" t="str">
        <f>IF(A789&amp;B789="","",VLOOKUP(A789&amp;B789,INSUMOS!C:G,3,0))</f>
        <v/>
      </c>
      <c r="F789" s="118"/>
      <c r="G789" s="122" t="str">
        <f>IF(A789&amp;B789="","",VLOOKUP(A789&amp;B789,INSUMOS!C:G,4,0))</f>
        <v/>
      </c>
      <c r="H789" s="119" t="str">
        <f t="shared" si="132"/>
        <v/>
      </c>
      <c r="I789" s="119" t="str">
        <f t="shared" si="133"/>
        <v/>
      </c>
      <c r="J789" s="115" t="str">
        <f t="shared" si="134"/>
        <v/>
      </c>
      <c r="K789" s="102" t="str">
        <f>IF(A789&amp;B789="","",VLOOKUP(A789&amp;B789,INSUMOS!C:G,5,0))</f>
        <v/>
      </c>
    </row>
    <row r="790" spans="1:17" ht="15" x14ac:dyDescent="0.25">
      <c r="A790" s="123" t="s">
        <v>4399</v>
      </c>
      <c r="B790" s="520"/>
      <c r="C790" s="520"/>
      <c r="D790" s="520"/>
      <c r="E790" s="520"/>
      <c r="F790" s="521"/>
      <c r="G790" s="124" t="s">
        <v>50</v>
      </c>
      <c r="H790" s="125">
        <f>SUM(H777:H789)</f>
        <v>0</v>
      </c>
      <c r="I790" s="125">
        <f>SUM(I777:I789)</f>
        <v>5691.01</v>
      </c>
      <c r="J790" s="126">
        <f>SUM(J777:J789)</f>
        <v>0</v>
      </c>
    </row>
    <row r="791" spans="1:17" ht="15" x14ac:dyDescent="0.25">
      <c r="A791" s="127" t="s">
        <v>4400</v>
      </c>
      <c r="B791" s="128"/>
      <c r="C791" s="128"/>
      <c r="D791" s="127" t="s">
        <v>51</v>
      </c>
      <c r="E791" s="128"/>
      <c r="F791" s="129"/>
      <c r="G791" s="130" t="s">
        <v>55</v>
      </c>
      <c r="H791" s="131" t="s">
        <v>52</v>
      </c>
      <c r="I791" s="132"/>
      <c r="J791" s="125">
        <f>SUM(H790:J790)</f>
        <v>5691.01</v>
      </c>
    </row>
    <row r="792" spans="1:17" ht="15" x14ac:dyDescent="0.25">
      <c r="A792" s="313" t="str">
        <f>$I$3</f>
        <v>Carlos Wieck</v>
      </c>
      <c r="B792" s="133"/>
      <c r="C792" s="133"/>
      <c r="D792" s="134"/>
      <c r="E792" s="133"/>
      <c r="F792" s="135"/>
      <c r="G792" s="522">
        <f>$J$5</f>
        <v>43040</v>
      </c>
      <c r="H792" s="136" t="s">
        <v>53</v>
      </c>
      <c r="I792" s="137"/>
      <c r="J792" s="125">
        <f>TRUNC(I792*J791,2)</f>
        <v>0</v>
      </c>
    </row>
    <row r="793" spans="1:17" ht="15" x14ac:dyDescent="0.25">
      <c r="A793" s="138"/>
      <c r="B793" s="139"/>
      <c r="C793" s="139"/>
      <c r="D793" s="138"/>
      <c r="E793" s="139"/>
      <c r="F793" s="140"/>
      <c r="G793" s="523"/>
      <c r="H793" s="141" t="s">
        <v>54</v>
      </c>
      <c r="I793" s="142"/>
      <c r="J793" s="143">
        <f>J792+J791</f>
        <v>5691.01</v>
      </c>
      <c r="L793" s="102" t="str">
        <f>A774</f>
        <v>COMPOSIÇÃO</v>
      </c>
      <c r="M793" s="144" t="str">
        <f>B774</f>
        <v>FF-024</v>
      </c>
      <c r="N793" s="102" t="str">
        <f>L793&amp;M793</f>
        <v>COMPOSIÇÃOFF-024</v>
      </c>
      <c r="O793" s="103" t="str">
        <f>D773</f>
        <v>CX02 - Porta de madeira - estruturada com fechamento de chapa de compensado 6mm - tipo camarão em dois pares de duas folhas, suspensa por trilho superior e com guia inferior embutida no piso dim.3,50x2,85m. Fornecimento e instalação</v>
      </c>
      <c r="P793" s="145" t="str">
        <f>J774</f>
        <v>un</v>
      </c>
      <c r="Q793" s="145">
        <f>J793</f>
        <v>5691.01</v>
      </c>
    </row>
    <row r="794" spans="1:17" ht="15" customHeight="1" x14ac:dyDescent="0.25">
      <c r="A794" s="524" t="s">
        <v>40</v>
      </c>
      <c r="B794" s="525"/>
      <c r="C794" s="104" t="s">
        <v>41</v>
      </c>
      <c r="D794" s="526" t="str">
        <f>IF(B795="","",VLOOKUP(B795,SERVIÇOS!B:E,3,0))</f>
        <v>CX 03 - Portão de madeira - estruturada com fechamento de chapa de compensado 6mm - de correr com trilho inferior e guia superior dim.3,60x2,71m. Fornecimento e instalação</v>
      </c>
      <c r="E794" s="526"/>
      <c r="F794" s="526"/>
      <c r="G794" s="526"/>
      <c r="H794" s="526"/>
      <c r="I794" s="527"/>
      <c r="J794" s="105" t="s">
        <v>42</v>
      </c>
    </row>
    <row r="795" spans="1:17" ht="15" x14ac:dyDescent="0.25">
      <c r="A795" s="230" t="s">
        <v>4715</v>
      </c>
      <c r="B795" s="230" t="s">
        <v>4905</v>
      </c>
      <c r="C795" s="106"/>
      <c r="D795" s="528"/>
      <c r="E795" s="528"/>
      <c r="F795" s="528"/>
      <c r="G795" s="528"/>
      <c r="H795" s="528"/>
      <c r="I795" s="529"/>
      <c r="J795" s="107" t="str">
        <f>IF(B795="","",VLOOKUP(B795,SERVIÇOS!B:E,4,0))</f>
        <v>un</v>
      </c>
    </row>
    <row r="796" spans="1:17" ht="15" x14ac:dyDescent="0.25">
      <c r="A796" s="530" t="s">
        <v>4397</v>
      </c>
      <c r="B796" s="531" t="s">
        <v>11</v>
      </c>
      <c r="C796" s="533" t="s">
        <v>43</v>
      </c>
      <c r="D796" s="534"/>
      <c r="E796" s="530" t="s">
        <v>13</v>
      </c>
      <c r="F796" s="530" t="s">
        <v>44</v>
      </c>
      <c r="G796" s="538" t="s">
        <v>45</v>
      </c>
      <c r="H796" s="108" t="s">
        <v>46</v>
      </c>
      <c r="I796" s="108"/>
      <c r="J796" s="108"/>
    </row>
    <row r="797" spans="1:17" ht="15" x14ac:dyDescent="0.25">
      <c r="A797" s="530"/>
      <c r="B797" s="532"/>
      <c r="C797" s="535"/>
      <c r="D797" s="536"/>
      <c r="E797" s="537"/>
      <c r="F797" s="537"/>
      <c r="G797" s="539"/>
      <c r="H797" s="108" t="s">
        <v>47</v>
      </c>
      <c r="I797" s="108" t="s">
        <v>48</v>
      </c>
      <c r="J797" s="108" t="s">
        <v>49</v>
      </c>
    </row>
    <row r="798" spans="1:17" ht="30" customHeight="1" x14ac:dyDescent="0.25">
      <c r="A798" s="109" t="s">
        <v>4717</v>
      </c>
      <c r="B798" s="116" t="s">
        <v>4876</v>
      </c>
      <c r="C798" s="540" t="str">
        <f>IF(A798&amp;B798="","",VLOOKUP(A798&amp;B798,INSUMOS!C:G,2,0))</f>
        <v>CX 03 - Portão de madeira - estruturada com fechamento de chapa de compensado 6mm - de correr com trilho inferior e guia superior dim.3,60x2,71m. Fornecimento e instalação</v>
      </c>
      <c r="D798" s="541"/>
      <c r="E798" s="111" t="str">
        <f>IF(A798&amp;B798="","",VLOOKUP(A798&amp;B798,INSUMOS!C:G,3,0))</f>
        <v>un</v>
      </c>
      <c r="F798" s="112">
        <v>1</v>
      </c>
      <c r="G798" s="113">
        <f>IF(A798&amp;B798="","",VLOOKUP(A798&amp;B798,INSUMOS!C:G,4,0))</f>
        <v>11419.275680000001</v>
      </c>
      <c r="H798" s="114" t="str">
        <f>IF(K798="MO",TRUNC(F798*G798,2),"")</f>
        <v/>
      </c>
      <c r="I798" s="114">
        <f>IF(K798="MT",TRUNC(F798*G798,2),"")</f>
        <v>11419.27</v>
      </c>
      <c r="J798" s="115" t="str">
        <f>IF(K798="EQ",TRUNC(F798*G798,2),"")</f>
        <v/>
      </c>
      <c r="K798" s="102" t="str">
        <f>IF(A798&amp;B798="","",VLOOKUP(A798&amp;B798,INSUMOS!C:G,5,0))</f>
        <v>MT</v>
      </c>
    </row>
    <row r="799" spans="1:17" ht="15" x14ac:dyDescent="0.25">
      <c r="A799" s="109"/>
      <c r="B799" s="116"/>
      <c r="C799" s="518" t="str">
        <f>IF(A799&amp;B799="","",VLOOKUP(A799&amp;B799,INSUMOS!C:G,2,0))</f>
        <v/>
      </c>
      <c r="D799" s="519"/>
      <c r="E799" s="117" t="str">
        <f>IF(A799&amp;B799="","",VLOOKUP(A799&amp;B799,INSUMOS!C:G,3,0))</f>
        <v/>
      </c>
      <c r="F799" s="118"/>
      <c r="G799" s="113" t="str">
        <f>IF(A799&amp;B799="","",VLOOKUP(A799&amp;B799,INSUMOS!C:G,4,0))</f>
        <v/>
      </c>
      <c r="H799" s="119" t="str">
        <f t="shared" ref="H799:H810" si="135">IF(K799="MO",TRUNC(F799*G799,2),"")</f>
        <v/>
      </c>
      <c r="I799" s="119" t="str">
        <f t="shared" ref="I799:I810" si="136">IF(K799="MT",TRUNC(F799*G799,2),"")</f>
        <v/>
      </c>
      <c r="J799" s="115" t="str">
        <f t="shared" ref="J799:J810" si="137">IF(K799="EQ",TRUNC(F799*G799,2),"")</f>
        <v/>
      </c>
      <c r="K799" s="102" t="str">
        <f>IF(A799&amp;B799="","",VLOOKUP(A799&amp;B799,INSUMOS!C:G,5,0))</f>
        <v/>
      </c>
    </row>
    <row r="800" spans="1:17" ht="15" x14ac:dyDescent="0.25">
      <c r="A800" s="109"/>
      <c r="B800" s="116"/>
      <c r="C800" s="518" t="str">
        <f>IF(A800&amp;B800="","",VLOOKUP(A800&amp;B800,INSUMOS!C:G,2,0))</f>
        <v/>
      </c>
      <c r="D800" s="519"/>
      <c r="E800" s="117" t="str">
        <f>IF(A800&amp;B800="","",VLOOKUP(A800&amp;B800,INSUMOS!C:G,3,0))</f>
        <v/>
      </c>
      <c r="F800" s="118"/>
      <c r="G800" s="113" t="str">
        <f>IF(A800&amp;B800="","",VLOOKUP(A800&amp;B800,INSUMOS!C:G,4,0))</f>
        <v/>
      </c>
      <c r="H800" s="119" t="str">
        <f t="shared" si="135"/>
        <v/>
      </c>
      <c r="I800" s="119" t="str">
        <f t="shared" si="136"/>
        <v/>
      </c>
      <c r="J800" s="115" t="str">
        <f t="shared" si="137"/>
        <v/>
      </c>
      <c r="K800" s="102" t="str">
        <f>IF(A800&amp;B800="","",VLOOKUP(A800&amp;B800,INSUMOS!C:G,5,0))</f>
        <v/>
      </c>
    </row>
    <row r="801" spans="1:17" ht="15" x14ac:dyDescent="0.25">
      <c r="A801" s="109"/>
      <c r="B801" s="116"/>
      <c r="C801" s="518" t="str">
        <f>IF(A801&amp;B801="","",VLOOKUP(A801&amp;B801,INSUMOS!C:G,2,0))</f>
        <v/>
      </c>
      <c r="D801" s="519"/>
      <c r="E801" s="117" t="str">
        <f>IF(A801&amp;B801="","",VLOOKUP(A801&amp;B801,INSUMOS!C:G,3,0))</f>
        <v/>
      </c>
      <c r="F801" s="118"/>
      <c r="G801" s="113" t="str">
        <f>IF(A801&amp;B801="","",VLOOKUP(A801&amp;B801,INSUMOS!C:G,4,0))</f>
        <v/>
      </c>
      <c r="H801" s="119" t="str">
        <f t="shared" si="135"/>
        <v/>
      </c>
      <c r="I801" s="119" t="str">
        <f t="shared" si="136"/>
        <v/>
      </c>
      <c r="J801" s="115" t="str">
        <f t="shared" si="137"/>
        <v/>
      </c>
      <c r="K801" s="102" t="str">
        <f>IF(A801&amp;B801="","",VLOOKUP(A801&amp;B801,INSUMOS!C:G,5,0))</f>
        <v/>
      </c>
    </row>
    <row r="802" spans="1:17" ht="15" x14ac:dyDescent="0.25">
      <c r="A802" s="109"/>
      <c r="B802" s="116"/>
      <c r="C802" s="518" t="str">
        <f>IF(A802&amp;B802="","",VLOOKUP(A802&amp;B802,INSUMOS!C:G,2,0))</f>
        <v/>
      </c>
      <c r="D802" s="519"/>
      <c r="E802" s="117" t="str">
        <f>IF(A802&amp;B802="","",VLOOKUP(A802&amp;B802,INSUMOS!C:G,3,0))</f>
        <v/>
      </c>
      <c r="F802" s="118"/>
      <c r="G802" s="113" t="str">
        <f>IF(A802&amp;B802="","",VLOOKUP(A802&amp;B802,INSUMOS!C:G,4,0))</f>
        <v/>
      </c>
      <c r="H802" s="119" t="str">
        <f t="shared" si="135"/>
        <v/>
      </c>
      <c r="I802" s="119" t="str">
        <f t="shared" si="136"/>
        <v/>
      </c>
      <c r="J802" s="115" t="str">
        <f t="shared" si="137"/>
        <v/>
      </c>
      <c r="K802" s="102" t="str">
        <f>IF(A802&amp;B802="","",VLOOKUP(A802&amp;B802,INSUMOS!C:G,5,0))</f>
        <v/>
      </c>
    </row>
    <row r="803" spans="1:17" ht="15" x14ac:dyDescent="0.25">
      <c r="A803" s="109"/>
      <c r="B803" s="116"/>
      <c r="C803" s="518" t="str">
        <f>IF(A803&amp;B803="","",VLOOKUP(A803&amp;B803,INSUMOS!C:G,2,0))</f>
        <v/>
      </c>
      <c r="D803" s="519"/>
      <c r="E803" s="117" t="str">
        <f>IF(A803&amp;B803="","",VLOOKUP(A803&amp;B803,INSUMOS!C:G,3,0))</f>
        <v/>
      </c>
      <c r="F803" s="118"/>
      <c r="G803" s="113" t="str">
        <f>IF(A803&amp;B803="","",VLOOKUP(A803&amp;B803,INSUMOS!C:G,4,0))</f>
        <v/>
      </c>
      <c r="H803" s="119" t="str">
        <f t="shared" si="135"/>
        <v/>
      </c>
      <c r="I803" s="119" t="str">
        <f t="shared" si="136"/>
        <v/>
      </c>
      <c r="J803" s="115" t="str">
        <f t="shared" si="137"/>
        <v/>
      </c>
      <c r="K803" s="102" t="str">
        <f>IF(A803&amp;B803="","",VLOOKUP(A803&amp;B803,INSUMOS!C:G,5,0))</f>
        <v/>
      </c>
    </row>
    <row r="804" spans="1:17" ht="15" x14ac:dyDescent="0.25">
      <c r="A804" s="109"/>
      <c r="B804" s="116"/>
      <c r="C804" s="518" t="str">
        <f>IF(A804&amp;B804="","",VLOOKUP(A804&amp;B804,INSUMOS!C:G,2,0))</f>
        <v/>
      </c>
      <c r="D804" s="519"/>
      <c r="E804" s="117" t="str">
        <f>IF(A804&amp;B804="","",VLOOKUP(A804&amp;B804,INSUMOS!C:G,3,0))</f>
        <v/>
      </c>
      <c r="F804" s="118"/>
      <c r="G804" s="113" t="str">
        <f>IF(A804&amp;B804="","",VLOOKUP(A804&amp;B804,INSUMOS!C:G,4,0))</f>
        <v/>
      </c>
      <c r="H804" s="119" t="str">
        <f t="shared" si="135"/>
        <v/>
      </c>
      <c r="I804" s="119" t="str">
        <f t="shared" si="136"/>
        <v/>
      </c>
      <c r="J804" s="115" t="str">
        <f t="shared" si="137"/>
        <v/>
      </c>
      <c r="K804" s="102" t="str">
        <f>IF(A804&amp;B804="","",VLOOKUP(A804&amp;B804,INSUMOS!C:G,5,0))</f>
        <v/>
      </c>
    </row>
    <row r="805" spans="1:17" ht="15" x14ac:dyDescent="0.25">
      <c r="A805" s="109"/>
      <c r="B805" s="116"/>
      <c r="C805" s="518" t="str">
        <f>IF(A805&amp;B805="","",VLOOKUP(A805&amp;B805,INSUMOS!C:G,2,0))</f>
        <v/>
      </c>
      <c r="D805" s="519"/>
      <c r="E805" s="117" t="str">
        <f>IF(A805&amp;B805="","",VLOOKUP(A805&amp;B805,INSUMOS!C:G,3,0))</f>
        <v/>
      </c>
      <c r="F805" s="118"/>
      <c r="G805" s="113" t="str">
        <f>IF(A805&amp;B805="","",VLOOKUP(A805&amp;B805,INSUMOS!C:G,4,0))</f>
        <v/>
      </c>
      <c r="H805" s="119" t="str">
        <f t="shared" si="135"/>
        <v/>
      </c>
      <c r="I805" s="119" t="str">
        <f t="shared" si="136"/>
        <v/>
      </c>
      <c r="J805" s="115" t="str">
        <f t="shared" si="137"/>
        <v/>
      </c>
      <c r="K805" s="102" t="str">
        <f>IF(A805&amp;B805="","",VLOOKUP(A805&amp;B805,INSUMOS!C:G,5,0))</f>
        <v/>
      </c>
    </row>
    <row r="806" spans="1:17" ht="15" x14ac:dyDescent="0.25">
      <c r="A806" s="109"/>
      <c r="B806" s="116"/>
      <c r="C806" s="518" t="str">
        <f>IF(A806&amp;B806="","",VLOOKUP(A806&amp;B806,INSUMOS!C:G,2,0))</f>
        <v/>
      </c>
      <c r="D806" s="519"/>
      <c r="E806" s="117" t="str">
        <f>IF(A806&amp;B806="","",VLOOKUP(A806&amp;B806,INSUMOS!C:G,3,0))</f>
        <v/>
      </c>
      <c r="F806" s="118"/>
      <c r="G806" s="113" t="str">
        <f>IF(A806&amp;B806="","",VLOOKUP(A806&amp;B806,INSUMOS!C:G,4,0))</f>
        <v/>
      </c>
      <c r="H806" s="119" t="str">
        <f t="shared" si="135"/>
        <v/>
      </c>
      <c r="I806" s="119" t="str">
        <f t="shared" si="136"/>
        <v/>
      </c>
      <c r="J806" s="115" t="str">
        <f t="shared" si="137"/>
        <v/>
      </c>
      <c r="K806" s="102" t="str">
        <f>IF(A806&amp;B806="","",VLOOKUP(A806&amp;B806,INSUMOS!C:G,5,0))</f>
        <v/>
      </c>
    </row>
    <row r="807" spans="1:17" ht="15" x14ac:dyDescent="0.25">
      <c r="A807" s="109"/>
      <c r="B807" s="116"/>
      <c r="C807" s="518" t="str">
        <f>IF(A807&amp;B807="","",VLOOKUP(A807&amp;B807,INSUMOS!C:G,2,0))</f>
        <v/>
      </c>
      <c r="D807" s="519"/>
      <c r="E807" s="117" t="str">
        <f>IF(A807&amp;B807="","",VLOOKUP(A807&amp;B807,INSUMOS!C:G,3,0))</f>
        <v/>
      </c>
      <c r="F807" s="118"/>
      <c r="G807" s="113" t="str">
        <f>IF(A807&amp;B807="","",VLOOKUP(A807&amp;B807,INSUMOS!C:G,4,0))</f>
        <v/>
      </c>
      <c r="H807" s="119" t="str">
        <f t="shared" si="135"/>
        <v/>
      </c>
      <c r="I807" s="119" t="str">
        <f t="shared" si="136"/>
        <v/>
      </c>
      <c r="J807" s="115" t="str">
        <f t="shared" si="137"/>
        <v/>
      </c>
      <c r="K807" s="102" t="str">
        <f>IF(A807&amp;B807="","",VLOOKUP(A807&amp;B807,INSUMOS!C:G,5,0))</f>
        <v/>
      </c>
    </row>
    <row r="808" spans="1:17" ht="15" x14ac:dyDescent="0.25">
      <c r="A808" s="120"/>
      <c r="B808" s="121"/>
      <c r="C808" s="518" t="str">
        <f>IF(A808&amp;B808="","",VLOOKUP(A808&amp;B808,INSUMOS!C:G,2,0))</f>
        <v/>
      </c>
      <c r="D808" s="519"/>
      <c r="E808" s="117" t="str">
        <f>IF(A808&amp;B808="","",VLOOKUP(A808&amp;B808,INSUMOS!C:G,3,0))</f>
        <v/>
      </c>
      <c r="F808" s="118"/>
      <c r="G808" s="122" t="str">
        <f>IF(A808&amp;B808="","",VLOOKUP(A808&amp;B808,INSUMOS!C:G,4,0))</f>
        <v/>
      </c>
      <c r="H808" s="119" t="str">
        <f t="shared" si="135"/>
        <v/>
      </c>
      <c r="I808" s="119" t="str">
        <f t="shared" si="136"/>
        <v/>
      </c>
      <c r="J808" s="115" t="str">
        <f t="shared" si="137"/>
        <v/>
      </c>
      <c r="K808" s="102" t="str">
        <f>IF(A808&amp;B808="","",VLOOKUP(A808&amp;B808,INSUMOS!C:G,5,0))</f>
        <v/>
      </c>
    </row>
    <row r="809" spans="1:17" ht="15" x14ac:dyDescent="0.25">
      <c r="A809" s="120"/>
      <c r="B809" s="121"/>
      <c r="C809" s="518" t="str">
        <f>IF(A809&amp;B809="","",VLOOKUP(A809&amp;B809,INSUMOS!C:G,2,0))</f>
        <v/>
      </c>
      <c r="D809" s="519"/>
      <c r="E809" s="117" t="str">
        <f>IF(A809&amp;B809="","",VLOOKUP(A809&amp;B809,INSUMOS!C:G,3,0))</f>
        <v/>
      </c>
      <c r="F809" s="118"/>
      <c r="G809" s="122" t="str">
        <f>IF(A809&amp;B809="","",VLOOKUP(A809&amp;B809,INSUMOS!C:G,4,0))</f>
        <v/>
      </c>
      <c r="H809" s="119" t="str">
        <f t="shared" si="135"/>
        <v/>
      </c>
      <c r="I809" s="119" t="str">
        <f t="shared" si="136"/>
        <v/>
      </c>
      <c r="J809" s="115" t="str">
        <f t="shared" si="137"/>
        <v/>
      </c>
      <c r="K809" s="102" t="str">
        <f>IF(A809&amp;B809="","",VLOOKUP(A809&amp;B809,INSUMOS!C:G,5,0))</f>
        <v/>
      </c>
    </row>
    <row r="810" spans="1:17" ht="15" x14ac:dyDescent="0.25">
      <c r="A810" s="120"/>
      <c r="B810" s="121"/>
      <c r="C810" s="518" t="str">
        <f>IF(A810&amp;B810="","",VLOOKUP(A810&amp;B810,INSUMOS!C:G,2,0))</f>
        <v/>
      </c>
      <c r="D810" s="519"/>
      <c r="E810" s="117" t="str">
        <f>IF(A810&amp;B810="","",VLOOKUP(A810&amp;B810,INSUMOS!C:G,3,0))</f>
        <v/>
      </c>
      <c r="F810" s="118"/>
      <c r="G810" s="122" t="str">
        <f>IF(A810&amp;B810="","",VLOOKUP(A810&amp;B810,INSUMOS!C:G,4,0))</f>
        <v/>
      </c>
      <c r="H810" s="119" t="str">
        <f t="shared" si="135"/>
        <v/>
      </c>
      <c r="I810" s="119" t="str">
        <f t="shared" si="136"/>
        <v/>
      </c>
      <c r="J810" s="115" t="str">
        <f t="shared" si="137"/>
        <v/>
      </c>
      <c r="K810" s="102" t="str">
        <f>IF(A810&amp;B810="","",VLOOKUP(A810&amp;B810,INSUMOS!C:G,5,0))</f>
        <v/>
      </c>
    </row>
    <row r="811" spans="1:17" ht="15" x14ac:dyDescent="0.25">
      <c r="A811" s="123" t="s">
        <v>4399</v>
      </c>
      <c r="B811" s="520"/>
      <c r="C811" s="520"/>
      <c r="D811" s="520"/>
      <c r="E811" s="520"/>
      <c r="F811" s="521"/>
      <c r="G811" s="124" t="s">
        <v>50</v>
      </c>
      <c r="H811" s="125">
        <f>SUM(H798:H810)</f>
        <v>0</v>
      </c>
      <c r="I811" s="125">
        <f>SUM(I798:I810)</f>
        <v>11419.27</v>
      </c>
      <c r="J811" s="126">
        <f>SUM(J798:J810)</f>
        <v>0</v>
      </c>
    </row>
    <row r="812" spans="1:17" ht="15" x14ac:dyDescent="0.25">
      <c r="A812" s="127" t="s">
        <v>4400</v>
      </c>
      <c r="B812" s="128"/>
      <c r="C812" s="128"/>
      <c r="D812" s="127" t="s">
        <v>51</v>
      </c>
      <c r="E812" s="128"/>
      <c r="F812" s="129"/>
      <c r="G812" s="130" t="s">
        <v>55</v>
      </c>
      <c r="H812" s="131" t="s">
        <v>52</v>
      </c>
      <c r="I812" s="132"/>
      <c r="J812" s="125">
        <f>SUM(H811:J811)</f>
        <v>11419.27</v>
      </c>
    </row>
    <row r="813" spans="1:17" ht="15" x14ac:dyDescent="0.25">
      <c r="A813" s="313" t="str">
        <f>$I$3</f>
        <v>Carlos Wieck</v>
      </c>
      <c r="B813" s="133"/>
      <c r="C813" s="133"/>
      <c r="D813" s="134"/>
      <c r="E813" s="133"/>
      <c r="F813" s="135"/>
      <c r="G813" s="522">
        <f>$J$5</f>
        <v>43040</v>
      </c>
      <c r="H813" s="136" t="s">
        <v>53</v>
      </c>
      <c r="I813" s="137"/>
      <c r="J813" s="125">
        <f>TRUNC(I813*J812,2)</f>
        <v>0</v>
      </c>
    </row>
    <row r="814" spans="1:17" ht="15" x14ac:dyDescent="0.25">
      <c r="A814" s="138"/>
      <c r="B814" s="139"/>
      <c r="C814" s="139"/>
      <c r="D814" s="138"/>
      <c r="E814" s="139"/>
      <c r="F814" s="140"/>
      <c r="G814" s="523"/>
      <c r="H814" s="141" t="s">
        <v>54</v>
      </c>
      <c r="I814" s="142"/>
      <c r="J814" s="143">
        <f>J813+J812</f>
        <v>11419.27</v>
      </c>
      <c r="L814" s="102" t="str">
        <f>A795</f>
        <v>COMPOSIÇÃO</v>
      </c>
      <c r="M814" s="144" t="str">
        <f>B795</f>
        <v>FF-025</v>
      </c>
      <c r="N814" s="102" t="str">
        <f>L814&amp;M814</f>
        <v>COMPOSIÇÃOFF-025</v>
      </c>
      <c r="O814" s="103" t="str">
        <f>D794</f>
        <v>CX 03 - Portão de madeira - estruturada com fechamento de chapa de compensado 6mm - de correr com trilho inferior e guia superior dim.3,60x2,71m. Fornecimento e instalação</v>
      </c>
      <c r="P814" s="145" t="str">
        <f>J795</f>
        <v>un</v>
      </c>
      <c r="Q814" s="145">
        <f>J814</f>
        <v>11419.27</v>
      </c>
    </row>
    <row r="815" spans="1:17" ht="15" customHeight="1" x14ac:dyDescent="0.25">
      <c r="A815" s="524" t="s">
        <v>40</v>
      </c>
      <c r="B815" s="525"/>
      <c r="C815" s="104" t="s">
        <v>41</v>
      </c>
      <c r="D815" s="526" t="str">
        <f>IF(B816="","",VLOOKUP(B816,SERVIÇOS!B:E,3,0))</f>
        <v>CX 04-A - Porta com três folhas separadas, com moldura de madeira e fechamento em policarbonato alveolar transparente de 40mm dim.1,36x3,00m. Fornecimento e instalação</v>
      </c>
      <c r="E815" s="526"/>
      <c r="F815" s="526"/>
      <c r="G815" s="526"/>
      <c r="H815" s="526"/>
      <c r="I815" s="527"/>
      <c r="J815" s="105" t="s">
        <v>42</v>
      </c>
    </row>
    <row r="816" spans="1:17" ht="15" x14ac:dyDescent="0.25">
      <c r="A816" s="230" t="s">
        <v>4715</v>
      </c>
      <c r="B816" s="230" t="s">
        <v>4906</v>
      </c>
      <c r="C816" s="106"/>
      <c r="D816" s="528"/>
      <c r="E816" s="528"/>
      <c r="F816" s="528"/>
      <c r="G816" s="528"/>
      <c r="H816" s="528"/>
      <c r="I816" s="529"/>
      <c r="J816" s="107" t="str">
        <f>IF(B816="","",VLOOKUP(B816,SERVIÇOS!B:E,4,0))</f>
        <v>un</v>
      </c>
    </row>
    <row r="817" spans="1:11" ht="15" x14ac:dyDescent="0.25">
      <c r="A817" s="530" t="s">
        <v>4397</v>
      </c>
      <c r="B817" s="531" t="s">
        <v>11</v>
      </c>
      <c r="C817" s="533" t="s">
        <v>43</v>
      </c>
      <c r="D817" s="534"/>
      <c r="E817" s="530" t="s">
        <v>13</v>
      </c>
      <c r="F817" s="530" t="s">
        <v>44</v>
      </c>
      <c r="G817" s="538" t="s">
        <v>45</v>
      </c>
      <c r="H817" s="108" t="s">
        <v>46</v>
      </c>
      <c r="I817" s="108"/>
      <c r="J817" s="108"/>
    </row>
    <row r="818" spans="1:11" ht="15" x14ac:dyDescent="0.25">
      <c r="A818" s="530"/>
      <c r="B818" s="532"/>
      <c r="C818" s="535"/>
      <c r="D818" s="536"/>
      <c r="E818" s="537"/>
      <c r="F818" s="537"/>
      <c r="G818" s="539"/>
      <c r="H818" s="108" t="s">
        <v>47</v>
      </c>
      <c r="I818" s="108" t="s">
        <v>48</v>
      </c>
      <c r="J818" s="108" t="s">
        <v>49</v>
      </c>
    </row>
    <row r="819" spans="1:11" ht="30" customHeight="1" x14ac:dyDescent="0.25">
      <c r="A819" s="109" t="s">
        <v>4717</v>
      </c>
      <c r="B819" s="116" t="s">
        <v>4877</v>
      </c>
      <c r="C819" s="540" t="str">
        <f>IF(A819&amp;B819="","",VLOOKUP(A819&amp;B819,INSUMOS!C:G,2,0))</f>
        <v>CX 04-A - Porta com três folhas separadas, com moldura de madeira e fechamento em policarbonato alveolar transparente de 40mm dim.1,36x3,00m. Fornecimento e instalação</v>
      </c>
      <c r="D819" s="541"/>
      <c r="E819" s="111" t="str">
        <f>IF(A819&amp;B819="","",VLOOKUP(A819&amp;B819,INSUMOS!C:G,3,0))</f>
        <v>un</v>
      </c>
      <c r="F819" s="112">
        <v>1</v>
      </c>
      <c r="G819" s="113">
        <f>IF(A819&amp;B819="","",VLOOKUP(A819&amp;B819,INSUMOS!C:G,4,0))</f>
        <v>2441.4473200000002</v>
      </c>
      <c r="H819" s="114" t="str">
        <f>IF(K819="MO",TRUNC(F819*G819,2),"")</f>
        <v/>
      </c>
      <c r="I819" s="114">
        <f>IF(K819="MT",TRUNC(F819*G819,2),"")</f>
        <v>2441.44</v>
      </c>
      <c r="J819" s="115" t="str">
        <f>IF(K819="EQ",TRUNC(F819*G819,2),"")</f>
        <v/>
      </c>
      <c r="K819" s="102" t="str">
        <f>IF(A819&amp;B819="","",VLOOKUP(A819&amp;B819,INSUMOS!C:G,5,0))</f>
        <v>MT</v>
      </c>
    </row>
    <row r="820" spans="1:11" ht="15" x14ac:dyDescent="0.25">
      <c r="A820" s="109" t="s">
        <v>4717</v>
      </c>
      <c r="B820" s="116" t="s">
        <v>4873</v>
      </c>
      <c r="C820" s="518" t="str">
        <f>IF(A820&amp;B820="","",VLOOKUP(A820&amp;B820,INSUMOS!C:G,2,0))</f>
        <v>Policarbonato 10mm, sistema TOPGAL da Arkos ou equivalente técnico</v>
      </c>
      <c r="D820" s="519"/>
      <c r="E820" s="117" t="str">
        <f>IF(A820&amp;B820="","",VLOOKUP(A820&amp;B820,INSUMOS!C:G,3,0))</f>
        <v>m²</v>
      </c>
      <c r="F820" s="118">
        <f>1.36*3</f>
        <v>4.08</v>
      </c>
      <c r="G820" s="113">
        <f>IF(A820&amp;B820="","",VLOOKUP(A820&amp;B820,INSUMOS!C:G,4,0))</f>
        <v>126</v>
      </c>
      <c r="H820" s="119" t="str">
        <f t="shared" ref="H820:H831" si="138">IF(K820="MO",TRUNC(F820*G820,2),"")</f>
        <v/>
      </c>
      <c r="I820" s="119">
        <f t="shared" ref="I820:I831" si="139">IF(K820="MT",TRUNC(F820*G820,2),"")</f>
        <v>514.08000000000004</v>
      </c>
      <c r="J820" s="115" t="str">
        <f t="shared" ref="J820:J831" si="140">IF(K820="EQ",TRUNC(F820*G820,2),"")</f>
        <v/>
      </c>
      <c r="K820" s="102" t="str">
        <f>IF(A820&amp;B820="","",VLOOKUP(A820&amp;B820,INSUMOS!C:G,5,0))</f>
        <v>MT</v>
      </c>
    </row>
    <row r="821" spans="1:11" ht="15" x14ac:dyDescent="0.25">
      <c r="A821" s="109" t="s">
        <v>4717</v>
      </c>
      <c r="B821" s="116" t="s">
        <v>4979</v>
      </c>
      <c r="C821" s="518" t="str">
        <f>IF(A821&amp;B821="","",VLOOKUP(A821&amp;B821,INSUMOS!C:G,2,0))</f>
        <v>Acessórios e instalações do sistema de policarbonato</v>
      </c>
      <c r="D821" s="519"/>
      <c r="E821" s="117" t="str">
        <f>IF(A821&amp;B821="","",VLOOKUP(A821&amp;B821,INSUMOS!C:G,3,0))</f>
        <v>m²</v>
      </c>
      <c r="F821" s="118">
        <f>F820</f>
        <v>4.08</v>
      </c>
      <c r="G821" s="113">
        <f>IF(A821&amp;B821="","",VLOOKUP(A821&amp;B821,INSUMOS!C:G,4,0))</f>
        <v>313.75124</v>
      </c>
      <c r="H821" s="119" t="str">
        <f t="shared" si="138"/>
        <v/>
      </c>
      <c r="I821" s="119">
        <f t="shared" si="139"/>
        <v>1280.0999999999999</v>
      </c>
      <c r="J821" s="115" t="str">
        <f t="shared" si="140"/>
        <v/>
      </c>
      <c r="K821" s="102" t="str">
        <f>IF(A821&amp;B821="","",VLOOKUP(A821&amp;B821,INSUMOS!C:G,5,0))</f>
        <v>MT</v>
      </c>
    </row>
    <row r="822" spans="1:11" ht="15" x14ac:dyDescent="0.25">
      <c r="A822" s="109"/>
      <c r="B822" s="116"/>
      <c r="C822" s="518" t="str">
        <f>IF(A822&amp;B822="","",VLOOKUP(A822&amp;B822,INSUMOS!C:G,2,0))</f>
        <v/>
      </c>
      <c r="D822" s="519"/>
      <c r="E822" s="117" t="str">
        <f>IF(A822&amp;B822="","",VLOOKUP(A822&amp;B822,INSUMOS!C:G,3,0))</f>
        <v/>
      </c>
      <c r="F822" s="118"/>
      <c r="G822" s="113" t="str">
        <f>IF(A822&amp;B822="","",VLOOKUP(A822&amp;B822,INSUMOS!C:G,4,0))</f>
        <v/>
      </c>
      <c r="H822" s="119" t="str">
        <f t="shared" si="138"/>
        <v/>
      </c>
      <c r="I822" s="119" t="str">
        <f t="shared" si="139"/>
        <v/>
      </c>
      <c r="J822" s="115" t="str">
        <f t="shared" si="140"/>
        <v/>
      </c>
      <c r="K822" s="102" t="str">
        <f>IF(A822&amp;B822="","",VLOOKUP(A822&amp;B822,INSUMOS!C:G,5,0))</f>
        <v/>
      </c>
    </row>
    <row r="823" spans="1:11" ht="15" x14ac:dyDescent="0.25">
      <c r="A823" s="109"/>
      <c r="B823" s="116"/>
      <c r="C823" s="518" t="str">
        <f>IF(A823&amp;B823="","",VLOOKUP(A823&amp;B823,INSUMOS!C:G,2,0))</f>
        <v/>
      </c>
      <c r="D823" s="519"/>
      <c r="E823" s="117" t="str">
        <f>IF(A823&amp;B823="","",VLOOKUP(A823&amp;B823,INSUMOS!C:G,3,0))</f>
        <v/>
      </c>
      <c r="F823" s="118"/>
      <c r="G823" s="113" t="str">
        <f>IF(A823&amp;B823="","",VLOOKUP(A823&amp;B823,INSUMOS!C:G,4,0))</f>
        <v/>
      </c>
      <c r="H823" s="119" t="str">
        <f t="shared" si="138"/>
        <v/>
      </c>
      <c r="I823" s="119" t="str">
        <f t="shared" si="139"/>
        <v/>
      </c>
      <c r="J823" s="115" t="str">
        <f t="shared" si="140"/>
        <v/>
      </c>
      <c r="K823" s="102" t="str">
        <f>IF(A823&amp;B823="","",VLOOKUP(A823&amp;B823,INSUMOS!C:G,5,0))</f>
        <v/>
      </c>
    </row>
    <row r="824" spans="1:11" ht="15" x14ac:dyDescent="0.25">
      <c r="A824" s="109"/>
      <c r="B824" s="116"/>
      <c r="C824" s="518" t="str">
        <f>IF(A824&amp;B824="","",VLOOKUP(A824&amp;B824,INSUMOS!C:G,2,0))</f>
        <v/>
      </c>
      <c r="D824" s="519"/>
      <c r="E824" s="117" t="str">
        <f>IF(A824&amp;B824="","",VLOOKUP(A824&amp;B824,INSUMOS!C:G,3,0))</f>
        <v/>
      </c>
      <c r="F824" s="118"/>
      <c r="G824" s="113" t="str">
        <f>IF(A824&amp;B824="","",VLOOKUP(A824&amp;B824,INSUMOS!C:G,4,0))</f>
        <v/>
      </c>
      <c r="H824" s="119" t="str">
        <f t="shared" si="138"/>
        <v/>
      </c>
      <c r="I824" s="119" t="str">
        <f t="shared" si="139"/>
        <v/>
      </c>
      <c r="J824" s="115" t="str">
        <f t="shared" si="140"/>
        <v/>
      </c>
      <c r="K824" s="102" t="str">
        <f>IF(A824&amp;B824="","",VLOOKUP(A824&amp;B824,INSUMOS!C:G,5,0))</f>
        <v/>
      </c>
    </row>
    <row r="825" spans="1:11" ht="15" x14ac:dyDescent="0.25">
      <c r="A825" s="109"/>
      <c r="B825" s="116"/>
      <c r="C825" s="518" t="str">
        <f>IF(A825&amp;B825="","",VLOOKUP(A825&amp;B825,INSUMOS!C:G,2,0))</f>
        <v/>
      </c>
      <c r="D825" s="519"/>
      <c r="E825" s="117" t="str">
        <f>IF(A825&amp;B825="","",VLOOKUP(A825&amp;B825,INSUMOS!C:G,3,0))</f>
        <v/>
      </c>
      <c r="F825" s="118"/>
      <c r="G825" s="113" t="str">
        <f>IF(A825&amp;B825="","",VLOOKUP(A825&amp;B825,INSUMOS!C:G,4,0))</f>
        <v/>
      </c>
      <c r="H825" s="119" t="str">
        <f t="shared" si="138"/>
        <v/>
      </c>
      <c r="I825" s="119" t="str">
        <f t="shared" si="139"/>
        <v/>
      </c>
      <c r="J825" s="115" t="str">
        <f t="shared" si="140"/>
        <v/>
      </c>
      <c r="K825" s="102" t="str">
        <f>IF(A825&amp;B825="","",VLOOKUP(A825&amp;B825,INSUMOS!C:G,5,0))</f>
        <v/>
      </c>
    </row>
    <row r="826" spans="1:11" ht="15" x14ac:dyDescent="0.25">
      <c r="A826" s="109"/>
      <c r="B826" s="116"/>
      <c r="C826" s="518" t="str">
        <f>IF(A826&amp;B826="","",VLOOKUP(A826&amp;B826,INSUMOS!C:G,2,0))</f>
        <v/>
      </c>
      <c r="D826" s="519"/>
      <c r="E826" s="117" t="str">
        <f>IF(A826&amp;B826="","",VLOOKUP(A826&amp;B826,INSUMOS!C:G,3,0))</f>
        <v/>
      </c>
      <c r="F826" s="118"/>
      <c r="G826" s="113" t="str">
        <f>IF(A826&amp;B826="","",VLOOKUP(A826&amp;B826,INSUMOS!C:G,4,0))</f>
        <v/>
      </c>
      <c r="H826" s="119" t="str">
        <f t="shared" si="138"/>
        <v/>
      </c>
      <c r="I826" s="119" t="str">
        <f t="shared" si="139"/>
        <v/>
      </c>
      <c r="J826" s="115" t="str">
        <f t="shared" si="140"/>
        <v/>
      </c>
      <c r="K826" s="102" t="str">
        <f>IF(A826&amp;B826="","",VLOOKUP(A826&amp;B826,INSUMOS!C:G,5,0))</f>
        <v/>
      </c>
    </row>
    <row r="827" spans="1:11" ht="15" x14ac:dyDescent="0.25">
      <c r="A827" s="109"/>
      <c r="B827" s="116"/>
      <c r="C827" s="518" t="str">
        <f>IF(A827&amp;B827="","",VLOOKUP(A827&amp;B827,INSUMOS!C:G,2,0))</f>
        <v/>
      </c>
      <c r="D827" s="519"/>
      <c r="E827" s="117" t="str">
        <f>IF(A827&amp;B827="","",VLOOKUP(A827&amp;B827,INSUMOS!C:G,3,0))</f>
        <v/>
      </c>
      <c r="F827" s="118"/>
      <c r="G827" s="113" t="str">
        <f>IF(A827&amp;B827="","",VLOOKUP(A827&amp;B827,INSUMOS!C:G,4,0))</f>
        <v/>
      </c>
      <c r="H827" s="119" t="str">
        <f t="shared" si="138"/>
        <v/>
      </c>
      <c r="I827" s="119" t="str">
        <f t="shared" si="139"/>
        <v/>
      </c>
      <c r="J827" s="115" t="str">
        <f t="shared" si="140"/>
        <v/>
      </c>
      <c r="K827" s="102" t="str">
        <f>IF(A827&amp;B827="","",VLOOKUP(A827&amp;B827,INSUMOS!C:G,5,0))</f>
        <v/>
      </c>
    </row>
    <row r="828" spans="1:11" ht="15" x14ac:dyDescent="0.25">
      <c r="A828" s="109"/>
      <c r="B828" s="116"/>
      <c r="C828" s="518" t="str">
        <f>IF(A828&amp;B828="","",VLOOKUP(A828&amp;B828,INSUMOS!C:G,2,0))</f>
        <v/>
      </c>
      <c r="D828" s="519"/>
      <c r="E828" s="117" t="str">
        <f>IF(A828&amp;B828="","",VLOOKUP(A828&amp;B828,INSUMOS!C:G,3,0))</f>
        <v/>
      </c>
      <c r="F828" s="118"/>
      <c r="G828" s="113" t="str">
        <f>IF(A828&amp;B828="","",VLOOKUP(A828&amp;B828,INSUMOS!C:G,4,0))</f>
        <v/>
      </c>
      <c r="H828" s="119" t="str">
        <f t="shared" si="138"/>
        <v/>
      </c>
      <c r="I828" s="119" t="str">
        <f t="shared" si="139"/>
        <v/>
      </c>
      <c r="J828" s="115" t="str">
        <f t="shared" si="140"/>
        <v/>
      </c>
      <c r="K828" s="102" t="str">
        <f>IF(A828&amp;B828="","",VLOOKUP(A828&amp;B828,INSUMOS!C:G,5,0))</f>
        <v/>
      </c>
    </row>
    <row r="829" spans="1:11" ht="15" x14ac:dyDescent="0.25">
      <c r="A829" s="120"/>
      <c r="B829" s="121"/>
      <c r="C829" s="518" t="str">
        <f>IF(A829&amp;B829="","",VLOOKUP(A829&amp;B829,INSUMOS!C:G,2,0))</f>
        <v/>
      </c>
      <c r="D829" s="519"/>
      <c r="E829" s="117" t="str">
        <f>IF(A829&amp;B829="","",VLOOKUP(A829&amp;B829,INSUMOS!C:G,3,0))</f>
        <v/>
      </c>
      <c r="F829" s="118"/>
      <c r="G829" s="122" t="str">
        <f>IF(A829&amp;B829="","",VLOOKUP(A829&amp;B829,INSUMOS!C:G,4,0))</f>
        <v/>
      </c>
      <c r="H829" s="119" t="str">
        <f t="shared" si="138"/>
        <v/>
      </c>
      <c r="I829" s="119" t="str">
        <f t="shared" si="139"/>
        <v/>
      </c>
      <c r="J829" s="115" t="str">
        <f t="shared" si="140"/>
        <v/>
      </c>
      <c r="K829" s="102" t="str">
        <f>IF(A829&amp;B829="","",VLOOKUP(A829&amp;B829,INSUMOS!C:G,5,0))</f>
        <v/>
      </c>
    </row>
    <row r="830" spans="1:11" ht="15" x14ac:dyDescent="0.25">
      <c r="A830" s="120"/>
      <c r="B830" s="121"/>
      <c r="C830" s="518" t="str">
        <f>IF(A830&amp;B830="","",VLOOKUP(A830&amp;B830,INSUMOS!C:G,2,0))</f>
        <v/>
      </c>
      <c r="D830" s="519"/>
      <c r="E830" s="117" t="str">
        <f>IF(A830&amp;B830="","",VLOOKUP(A830&amp;B830,INSUMOS!C:G,3,0))</f>
        <v/>
      </c>
      <c r="F830" s="118"/>
      <c r="G830" s="122" t="str">
        <f>IF(A830&amp;B830="","",VLOOKUP(A830&amp;B830,INSUMOS!C:G,4,0))</f>
        <v/>
      </c>
      <c r="H830" s="119" t="str">
        <f t="shared" si="138"/>
        <v/>
      </c>
      <c r="I830" s="119" t="str">
        <f t="shared" si="139"/>
        <v/>
      </c>
      <c r="J830" s="115" t="str">
        <f t="shared" si="140"/>
        <v/>
      </c>
      <c r="K830" s="102" t="str">
        <f>IF(A830&amp;B830="","",VLOOKUP(A830&amp;B830,INSUMOS!C:G,5,0))</f>
        <v/>
      </c>
    </row>
    <row r="831" spans="1:11" ht="15" x14ac:dyDescent="0.25">
      <c r="A831" s="120"/>
      <c r="B831" s="121"/>
      <c r="C831" s="518" t="str">
        <f>IF(A831&amp;B831="","",VLOOKUP(A831&amp;B831,INSUMOS!C:G,2,0))</f>
        <v/>
      </c>
      <c r="D831" s="519"/>
      <c r="E831" s="117" t="str">
        <f>IF(A831&amp;B831="","",VLOOKUP(A831&amp;B831,INSUMOS!C:G,3,0))</f>
        <v/>
      </c>
      <c r="F831" s="118"/>
      <c r="G831" s="122" t="str">
        <f>IF(A831&amp;B831="","",VLOOKUP(A831&amp;B831,INSUMOS!C:G,4,0))</f>
        <v/>
      </c>
      <c r="H831" s="119" t="str">
        <f t="shared" si="138"/>
        <v/>
      </c>
      <c r="I831" s="119" t="str">
        <f t="shared" si="139"/>
        <v/>
      </c>
      <c r="J831" s="115" t="str">
        <f t="shared" si="140"/>
        <v/>
      </c>
      <c r="K831" s="102" t="str">
        <f>IF(A831&amp;B831="","",VLOOKUP(A831&amp;B831,INSUMOS!C:G,5,0))</f>
        <v/>
      </c>
    </row>
    <row r="832" spans="1:11" ht="15" x14ac:dyDescent="0.25">
      <c r="A832" s="123" t="s">
        <v>4399</v>
      </c>
      <c r="B832" s="520"/>
      <c r="C832" s="520"/>
      <c r="D832" s="520"/>
      <c r="E832" s="520"/>
      <c r="F832" s="521"/>
      <c r="G832" s="124" t="s">
        <v>50</v>
      </c>
      <c r="H832" s="125">
        <f>SUM(H819:H831)</f>
        <v>0</v>
      </c>
      <c r="I832" s="125">
        <f>SUM(I819:I831)</f>
        <v>4235.62</v>
      </c>
      <c r="J832" s="126">
        <f>SUM(J819:J831)</f>
        <v>0</v>
      </c>
    </row>
    <row r="833" spans="1:17" ht="15" x14ac:dyDescent="0.25">
      <c r="A833" s="127" t="s">
        <v>4400</v>
      </c>
      <c r="B833" s="128"/>
      <c r="C833" s="128"/>
      <c r="D833" s="127" t="s">
        <v>51</v>
      </c>
      <c r="E833" s="128"/>
      <c r="F833" s="129"/>
      <c r="G833" s="130" t="s">
        <v>55</v>
      </c>
      <c r="H833" s="131" t="s">
        <v>52</v>
      </c>
      <c r="I833" s="132"/>
      <c r="J833" s="125">
        <f>SUM(H832:J832)</f>
        <v>4235.62</v>
      </c>
    </row>
    <row r="834" spans="1:17" ht="15" x14ac:dyDescent="0.25">
      <c r="A834" s="313" t="str">
        <f>$I$3</f>
        <v>Carlos Wieck</v>
      </c>
      <c r="B834" s="133"/>
      <c r="C834" s="133"/>
      <c r="D834" s="134"/>
      <c r="E834" s="133"/>
      <c r="F834" s="135"/>
      <c r="G834" s="522">
        <f>$J$5</f>
        <v>43040</v>
      </c>
      <c r="H834" s="136" t="s">
        <v>53</v>
      </c>
      <c r="I834" s="137"/>
      <c r="J834" s="125">
        <f>TRUNC(I834*J833,2)</f>
        <v>0</v>
      </c>
    </row>
    <row r="835" spans="1:17" ht="15" x14ac:dyDescent="0.25">
      <c r="A835" s="138"/>
      <c r="B835" s="139"/>
      <c r="C835" s="139"/>
      <c r="D835" s="138"/>
      <c r="E835" s="139"/>
      <c r="F835" s="140"/>
      <c r="G835" s="523"/>
      <c r="H835" s="141" t="s">
        <v>54</v>
      </c>
      <c r="I835" s="142"/>
      <c r="J835" s="143">
        <f>J834+J833</f>
        <v>4235.62</v>
      </c>
      <c r="L835" s="102" t="str">
        <f>A816</f>
        <v>COMPOSIÇÃO</v>
      </c>
      <c r="M835" s="144" t="str">
        <f>B816</f>
        <v>FF-026</v>
      </c>
      <c r="N835" s="102" t="str">
        <f>L835&amp;M835</f>
        <v>COMPOSIÇÃOFF-026</v>
      </c>
      <c r="O835" s="103" t="str">
        <f>D815</f>
        <v>CX 04-A - Porta com três folhas separadas, com moldura de madeira e fechamento em policarbonato alveolar transparente de 40mm dim.1,36x3,00m. Fornecimento e instalação</v>
      </c>
      <c r="P835" s="145" t="str">
        <f>J816</f>
        <v>un</v>
      </c>
      <c r="Q835" s="145">
        <f>J835</f>
        <v>4235.62</v>
      </c>
    </row>
    <row r="836" spans="1:17" ht="15" customHeight="1" x14ac:dyDescent="0.25">
      <c r="A836" s="524" t="s">
        <v>40</v>
      </c>
      <c r="B836" s="525"/>
      <c r="C836" s="104" t="s">
        <v>41</v>
      </c>
      <c r="D836" s="526" t="str">
        <f>IF(B837="","",VLOOKUP(B837,SERVIÇOS!B:E,3,0))</f>
        <v>CX 04-B - Painéis com moldura de madeira, fechamento em policarbonato alveolar transparente de 40mm e vidro fixo temperado de 8mm dim.1,50x3,00 (CADA PAINEL, ENTRE EIXOS). Fornecimento e instalação</v>
      </c>
      <c r="E836" s="526"/>
      <c r="F836" s="526"/>
      <c r="G836" s="526"/>
      <c r="H836" s="526"/>
      <c r="I836" s="527"/>
      <c r="J836" s="105" t="s">
        <v>42</v>
      </c>
    </row>
    <row r="837" spans="1:17" ht="15" x14ac:dyDescent="0.25">
      <c r="A837" s="230" t="s">
        <v>4715</v>
      </c>
      <c r="B837" s="230" t="s">
        <v>4907</v>
      </c>
      <c r="C837" s="106"/>
      <c r="D837" s="528"/>
      <c r="E837" s="528"/>
      <c r="F837" s="528"/>
      <c r="G837" s="528"/>
      <c r="H837" s="528"/>
      <c r="I837" s="529"/>
      <c r="J837" s="107" t="str">
        <f>IF(B837="","",VLOOKUP(B837,SERVIÇOS!B:E,4,0))</f>
        <v>un</v>
      </c>
    </row>
    <row r="838" spans="1:17" ht="15" x14ac:dyDescent="0.25">
      <c r="A838" s="530" t="s">
        <v>4397</v>
      </c>
      <c r="B838" s="531" t="s">
        <v>11</v>
      </c>
      <c r="C838" s="533" t="s">
        <v>43</v>
      </c>
      <c r="D838" s="534"/>
      <c r="E838" s="530" t="s">
        <v>13</v>
      </c>
      <c r="F838" s="530" t="s">
        <v>44</v>
      </c>
      <c r="G838" s="538" t="s">
        <v>45</v>
      </c>
      <c r="H838" s="108" t="s">
        <v>46</v>
      </c>
      <c r="I838" s="108"/>
      <c r="J838" s="108"/>
    </row>
    <row r="839" spans="1:17" ht="15" x14ac:dyDescent="0.25">
      <c r="A839" s="530"/>
      <c r="B839" s="532"/>
      <c r="C839" s="535"/>
      <c r="D839" s="536"/>
      <c r="E839" s="537"/>
      <c r="F839" s="537"/>
      <c r="G839" s="539"/>
      <c r="H839" s="108" t="s">
        <v>47</v>
      </c>
      <c r="I839" s="108" t="s">
        <v>48</v>
      </c>
      <c r="J839" s="108" t="s">
        <v>49</v>
      </c>
    </row>
    <row r="840" spans="1:17" ht="45" customHeight="1" x14ac:dyDescent="0.25">
      <c r="A840" s="109" t="s">
        <v>4717</v>
      </c>
      <c r="B840" s="116" t="s">
        <v>4878</v>
      </c>
      <c r="C840" s="540" t="str">
        <f>IF(A840&amp;B840="","",VLOOKUP(A840&amp;B840,INSUMOS!C:G,2,0))</f>
        <v>CX 04-B - Painéis com moldura de madeira, fechamento em policarbonato alveolar transparente de 40mm e vidro fixo temperado de 8mm dim.1,50x3,00 (CADA PAINEL, ENTRE EIXOS). Fornecimento e instalação</v>
      </c>
      <c r="D840" s="541"/>
      <c r="E840" s="111" t="str">
        <f>IF(A840&amp;B840="","",VLOOKUP(A840&amp;B840,INSUMOS!C:G,3,0))</f>
        <v>un</v>
      </c>
      <c r="F840" s="112">
        <v>1</v>
      </c>
      <c r="G840" s="113">
        <f>IF(A840&amp;B840="","",VLOOKUP(A840&amp;B840,INSUMOS!C:G,4,0))</f>
        <v>2478.9621399999996</v>
      </c>
      <c r="H840" s="114" t="str">
        <f>IF(K840="MO",TRUNC(F840*G840,2),"")</f>
        <v/>
      </c>
      <c r="I840" s="114">
        <f>IF(K840="MT",TRUNC(F840*G840,2),"")</f>
        <v>2478.96</v>
      </c>
      <c r="J840" s="115" t="str">
        <f>IF(K840="EQ",TRUNC(F840*G840,2),"")</f>
        <v/>
      </c>
      <c r="K840" s="102" t="str">
        <f>IF(A840&amp;B840="","",VLOOKUP(A840&amp;B840,INSUMOS!C:G,5,0))</f>
        <v>MT</v>
      </c>
    </row>
    <row r="841" spans="1:17" ht="15" x14ac:dyDescent="0.25">
      <c r="A841" s="109"/>
      <c r="B841" s="116"/>
      <c r="C841" s="518" t="str">
        <f>IF(A841&amp;B841="","",VLOOKUP(A841&amp;B841,INSUMOS!C:G,2,0))</f>
        <v/>
      </c>
      <c r="D841" s="519"/>
      <c r="E841" s="117" t="str">
        <f>IF(A841&amp;B841="","",VLOOKUP(A841&amp;B841,INSUMOS!C:G,3,0))</f>
        <v/>
      </c>
      <c r="F841" s="118"/>
      <c r="G841" s="113" t="str">
        <f>IF(A841&amp;B841="","",VLOOKUP(A841&amp;B841,INSUMOS!C:G,4,0))</f>
        <v/>
      </c>
      <c r="H841" s="119" t="str">
        <f t="shared" ref="H841:H852" si="141">IF(K841="MO",TRUNC(F841*G841,2),"")</f>
        <v/>
      </c>
      <c r="I841" s="119" t="str">
        <f t="shared" ref="I841:I852" si="142">IF(K841="MT",TRUNC(F841*G841,2),"")</f>
        <v/>
      </c>
      <c r="J841" s="115" t="str">
        <f t="shared" ref="J841:J852" si="143">IF(K841="EQ",TRUNC(F841*G841,2),"")</f>
        <v/>
      </c>
      <c r="K841" s="102" t="str">
        <f>IF(A841&amp;B841="","",VLOOKUP(A841&amp;B841,INSUMOS!C:G,5,0))</f>
        <v/>
      </c>
    </row>
    <row r="842" spans="1:17" ht="15" x14ac:dyDescent="0.25">
      <c r="A842" s="109"/>
      <c r="B842" s="116"/>
      <c r="C842" s="518" t="str">
        <f>IF(A842&amp;B842="","",VLOOKUP(A842&amp;B842,INSUMOS!C:G,2,0))</f>
        <v/>
      </c>
      <c r="D842" s="519"/>
      <c r="E842" s="117" t="str">
        <f>IF(A842&amp;B842="","",VLOOKUP(A842&amp;B842,INSUMOS!C:G,3,0))</f>
        <v/>
      </c>
      <c r="F842" s="118"/>
      <c r="G842" s="113" t="str">
        <f>IF(A842&amp;B842="","",VLOOKUP(A842&amp;B842,INSUMOS!C:G,4,0))</f>
        <v/>
      </c>
      <c r="H842" s="119" t="str">
        <f t="shared" si="141"/>
        <v/>
      </c>
      <c r="I842" s="119" t="str">
        <f t="shared" si="142"/>
        <v/>
      </c>
      <c r="J842" s="115" t="str">
        <f t="shared" si="143"/>
        <v/>
      </c>
      <c r="K842" s="102" t="str">
        <f>IF(A842&amp;B842="","",VLOOKUP(A842&amp;B842,INSUMOS!C:G,5,0))</f>
        <v/>
      </c>
    </row>
    <row r="843" spans="1:17" ht="15" x14ac:dyDescent="0.25">
      <c r="A843" s="109"/>
      <c r="B843" s="116"/>
      <c r="C843" s="518" t="str">
        <f>IF(A843&amp;B843="","",VLOOKUP(A843&amp;B843,INSUMOS!C:G,2,0))</f>
        <v/>
      </c>
      <c r="D843" s="519"/>
      <c r="E843" s="117" t="str">
        <f>IF(A843&amp;B843="","",VLOOKUP(A843&amp;B843,INSUMOS!C:G,3,0))</f>
        <v/>
      </c>
      <c r="F843" s="118"/>
      <c r="G843" s="113" t="str">
        <f>IF(A843&amp;B843="","",VLOOKUP(A843&amp;B843,INSUMOS!C:G,4,0))</f>
        <v/>
      </c>
      <c r="H843" s="119" t="str">
        <f t="shared" si="141"/>
        <v/>
      </c>
      <c r="I843" s="119" t="str">
        <f t="shared" si="142"/>
        <v/>
      </c>
      <c r="J843" s="115" t="str">
        <f t="shared" si="143"/>
        <v/>
      </c>
      <c r="K843" s="102" t="str">
        <f>IF(A843&amp;B843="","",VLOOKUP(A843&amp;B843,INSUMOS!C:G,5,0))</f>
        <v/>
      </c>
    </row>
    <row r="844" spans="1:17" ht="15" x14ac:dyDescent="0.25">
      <c r="A844" s="109"/>
      <c r="B844" s="116"/>
      <c r="C844" s="518" t="str">
        <f>IF(A844&amp;B844="","",VLOOKUP(A844&amp;B844,INSUMOS!C:G,2,0))</f>
        <v/>
      </c>
      <c r="D844" s="519"/>
      <c r="E844" s="117" t="str">
        <f>IF(A844&amp;B844="","",VLOOKUP(A844&amp;B844,INSUMOS!C:G,3,0))</f>
        <v/>
      </c>
      <c r="F844" s="118"/>
      <c r="G844" s="113" t="str">
        <f>IF(A844&amp;B844="","",VLOOKUP(A844&amp;B844,INSUMOS!C:G,4,0))</f>
        <v/>
      </c>
      <c r="H844" s="119" t="str">
        <f t="shared" si="141"/>
        <v/>
      </c>
      <c r="I844" s="119" t="str">
        <f t="shared" si="142"/>
        <v/>
      </c>
      <c r="J844" s="115" t="str">
        <f t="shared" si="143"/>
        <v/>
      </c>
      <c r="K844" s="102" t="str">
        <f>IF(A844&amp;B844="","",VLOOKUP(A844&amp;B844,INSUMOS!C:G,5,0))</f>
        <v/>
      </c>
    </row>
    <row r="845" spans="1:17" ht="15" x14ac:dyDescent="0.25">
      <c r="A845" s="109"/>
      <c r="B845" s="116"/>
      <c r="C845" s="518" t="str">
        <f>IF(A845&amp;B845="","",VLOOKUP(A845&amp;B845,INSUMOS!C:G,2,0))</f>
        <v/>
      </c>
      <c r="D845" s="519"/>
      <c r="E845" s="117" t="str">
        <f>IF(A845&amp;B845="","",VLOOKUP(A845&amp;B845,INSUMOS!C:G,3,0))</f>
        <v/>
      </c>
      <c r="F845" s="118"/>
      <c r="G845" s="113" t="str">
        <f>IF(A845&amp;B845="","",VLOOKUP(A845&amp;B845,INSUMOS!C:G,4,0))</f>
        <v/>
      </c>
      <c r="H845" s="119" t="str">
        <f t="shared" si="141"/>
        <v/>
      </c>
      <c r="I845" s="119" t="str">
        <f t="shared" si="142"/>
        <v/>
      </c>
      <c r="J845" s="115" t="str">
        <f t="shared" si="143"/>
        <v/>
      </c>
      <c r="K845" s="102" t="str">
        <f>IF(A845&amp;B845="","",VLOOKUP(A845&amp;B845,INSUMOS!C:G,5,0))</f>
        <v/>
      </c>
    </row>
    <row r="846" spans="1:17" ht="15" x14ac:dyDescent="0.25">
      <c r="A846" s="109"/>
      <c r="B846" s="116"/>
      <c r="C846" s="518" t="str">
        <f>IF(A846&amp;B846="","",VLOOKUP(A846&amp;B846,INSUMOS!C:G,2,0))</f>
        <v/>
      </c>
      <c r="D846" s="519"/>
      <c r="E846" s="117" t="str">
        <f>IF(A846&amp;B846="","",VLOOKUP(A846&amp;B846,INSUMOS!C:G,3,0))</f>
        <v/>
      </c>
      <c r="F846" s="118"/>
      <c r="G846" s="113" t="str">
        <f>IF(A846&amp;B846="","",VLOOKUP(A846&amp;B846,INSUMOS!C:G,4,0))</f>
        <v/>
      </c>
      <c r="H846" s="119" t="str">
        <f t="shared" si="141"/>
        <v/>
      </c>
      <c r="I846" s="119" t="str">
        <f t="shared" si="142"/>
        <v/>
      </c>
      <c r="J846" s="115" t="str">
        <f t="shared" si="143"/>
        <v/>
      </c>
      <c r="K846" s="102" t="str">
        <f>IF(A846&amp;B846="","",VLOOKUP(A846&amp;B846,INSUMOS!C:G,5,0))</f>
        <v/>
      </c>
    </row>
    <row r="847" spans="1:17" ht="15" x14ac:dyDescent="0.25">
      <c r="A847" s="109"/>
      <c r="B847" s="116"/>
      <c r="C847" s="518" t="str">
        <f>IF(A847&amp;B847="","",VLOOKUP(A847&amp;B847,INSUMOS!C:G,2,0))</f>
        <v/>
      </c>
      <c r="D847" s="519"/>
      <c r="E847" s="117" t="str">
        <f>IF(A847&amp;B847="","",VLOOKUP(A847&amp;B847,INSUMOS!C:G,3,0))</f>
        <v/>
      </c>
      <c r="F847" s="118"/>
      <c r="G847" s="113" t="str">
        <f>IF(A847&amp;B847="","",VLOOKUP(A847&amp;B847,INSUMOS!C:G,4,0))</f>
        <v/>
      </c>
      <c r="H847" s="119" t="str">
        <f t="shared" si="141"/>
        <v/>
      </c>
      <c r="I847" s="119" t="str">
        <f t="shared" si="142"/>
        <v/>
      </c>
      <c r="J847" s="115" t="str">
        <f t="shared" si="143"/>
        <v/>
      </c>
      <c r="K847" s="102" t="str">
        <f>IF(A847&amp;B847="","",VLOOKUP(A847&amp;B847,INSUMOS!C:G,5,0))</f>
        <v/>
      </c>
    </row>
    <row r="848" spans="1:17" ht="15" x14ac:dyDescent="0.25">
      <c r="A848" s="109"/>
      <c r="B848" s="116"/>
      <c r="C848" s="518" t="str">
        <f>IF(A848&amp;B848="","",VLOOKUP(A848&amp;B848,INSUMOS!C:G,2,0))</f>
        <v/>
      </c>
      <c r="D848" s="519"/>
      <c r="E848" s="117" t="str">
        <f>IF(A848&amp;B848="","",VLOOKUP(A848&amp;B848,INSUMOS!C:G,3,0))</f>
        <v/>
      </c>
      <c r="F848" s="118"/>
      <c r="G848" s="113" t="str">
        <f>IF(A848&amp;B848="","",VLOOKUP(A848&amp;B848,INSUMOS!C:G,4,0))</f>
        <v/>
      </c>
      <c r="H848" s="119" t="str">
        <f t="shared" si="141"/>
        <v/>
      </c>
      <c r="I848" s="119" t="str">
        <f t="shared" si="142"/>
        <v/>
      </c>
      <c r="J848" s="115" t="str">
        <f t="shared" si="143"/>
        <v/>
      </c>
      <c r="K848" s="102" t="str">
        <f>IF(A848&amp;B848="","",VLOOKUP(A848&amp;B848,INSUMOS!C:G,5,0))</f>
        <v/>
      </c>
    </row>
    <row r="849" spans="1:17" ht="15" x14ac:dyDescent="0.25">
      <c r="A849" s="109"/>
      <c r="B849" s="116"/>
      <c r="C849" s="518" t="str">
        <f>IF(A849&amp;B849="","",VLOOKUP(A849&amp;B849,INSUMOS!C:G,2,0))</f>
        <v/>
      </c>
      <c r="D849" s="519"/>
      <c r="E849" s="117" t="str">
        <f>IF(A849&amp;B849="","",VLOOKUP(A849&amp;B849,INSUMOS!C:G,3,0))</f>
        <v/>
      </c>
      <c r="F849" s="118"/>
      <c r="G849" s="113" t="str">
        <f>IF(A849&amp;B849="","",VLOOKUP(A849&amp;B849,INSUMOS!C:G,4,0))</f>
        <v/>
      </c>
      <c r="H849" s="119" t="str">
        <f t="shared" si="141"/>
        <v/>
      </c>
      <c r="I849" s="119" t="str">
        <f t="shared" si="142"/>
        <v/>
      </c>
      <c r="J849" s="115" t="str">
        <f t="shared" si="143"/>
        <v/>
      </c>
      <c r="K849" s="102" t="str">
        <f>IF(A849&amp;B849="","",VLOOKUP(A849&amp;B849,INSUMOS!C:G,5,0))</f>
        <v/>
      </c>
    </row>
    <row r="850" spans="1:17" ht="15" x14ac:dyDescent="0.25">
      <c r="A850" s="120"/>
      <c r="B850" s="121"/>
      <c r="C850" s="518" t="str">
        <f>IF(A850&amp;B850="","",VLOOKUP(A850&amp;B850,INSUMOS!C:G,2,0))</f>
        <v/>
      </c>
      <c r="D850" s="519"/>
      <c r="E850" s="117" t="str">
        <f>IF(A850&amp;B850="","",VLOOKUP(A850&amp;B850,INSUMOS!C:G,3,0))</f>
        <v/>
      </c>
      <c r="F850" s="118"/>
      <c r="G850" s="122" t="str">
        <f>IF(A850&amp;B850="","",VLOOKUP(A850&amp;B850,INSUMOS!C:G,4,0))</f>
        <v/>
      </c>
      <c r="H850" s="119" t="str">
        <f t="shared" si="141"/>
        <v/>
      </c>
      <c r="I850" s="119" t="str">
        <f t="shared" si="142"/>
        <v/>
      </c>
      <c r="J850" s="115" t="str">
        <f t="shared" si="143"/>
        <v/>
      </c>
      <c r="K850" s="102" t="str">
        <f>IF(A850&amp;B850="","",VLOOKUP(A850&amp;B850,INSUMOS!C:G,5,0))</f>
        <v/>
      </c>
    </row>
    <row r="851" spans="1:17" ht="15" x14ac:dyDescent="0.25">
      <c r="A851" s="120"/>
      <c r="B851" s="121"/>
      <c r="C851" s="518" t="str">
        <f>IF(A851&amp;B851="","",VLOOKUP(A851&amp;B851,INSUMOS!C:G,2,0))</f>
        <v/>
      </c>
      <c r="D851" s="519"/>
      <c r="E851" s="117" t="str">
        <f>IF(A851&amp;B851="","",VLOOKUP(A851&amp;B851,INSUMOS!C:G,3,0))</f>
        <v/>
      </c>
      <c r="F851" s="118"/>
      <c r="G851" s="122" t="str">
        <f>IF(A851&amp;B851="","",VLOOKUP(A851&amp;B851,INSUMOS!C:G,4,0))</f>
        <v/>
      </c>
      <c r="H851" s="119" t="str">
        <f t="shared" si="141"/>
        <v/>
      </c>
      <c r="I851" s="119" t="str">
        <f t="shared" si="142"/>
        <v/>
      </c>
      <c r="J851" s="115" t="str">
        <f t="shared" si="143"/>
        <v/>
      </c>
      <c r="K851" s="102" t="str">
        <f>IF(A851&amp;B851="","",VLOOKUP(A851&amp;B851,INSUMOS!C:G,5,0))</f>
        <v/>
      </c>
    </row>
    <row r="852" spans="1:17" ht="15" x14ac:dyDescent="0.25">
      <c r="A852" s="120"/>
      <c r="B852" s="121"/>
      <c r="C852" s="518" t="str">
        <f>IF(A852&amp;B852="","",VLOOKUP(A852&amp;B852,INSUMOS!C:G,2,0))</f>
        <v/>
      </c>
      <c r="D852" s="519"/>
      <c r="E852" s="117" t="str">
        <f>IF(A852&amp;B852="","",VLOOKUP(A852&amp;B852,INSUMOS!C:G,3,0))</f>
        <v/>
      </c>
      <c r="F852" s="118"/>
      <c r="G852" s="122" t="str">
        <f>IF(A852&amp;B852="","",VLOOKUP(A852&amp;B852,INSUMOS!C:G,4,0))</f>
        <v/>
      </c>
      <c r="H852" s="119" t="str">
        <f t="shared" si="141"/>
        <v/>
      </c>
      <c r="I852" s="119" t="str">
        <f t="shared" si="142"/>
        <v/>
      </c>
      <c r="J852" s="115" t="str">
        <f t="shared" si="143"/>
        <v/>
      </c>
      <c r="K852" s="102" t="str">
        <f>IF(A852&amp;B852="","",VLOOKUP(A852&amp;B852,INSUMOS!C:G,5,0))</f>
        <v/>
      </c>
    </row>
    <row r="853" spans="1:17" ht="15" x14ac:dyDescent="0.25">
      <c r="A853" s="123" t="s">
        <v>4399</v>
      </c>
      <c r="B853" s="520"/>
      <c r="C853" s="520"/>
      <c r="D853" s="520"/>
      <c r="E853" s="520"/>
      <c r="F853" s="521"/>
      <c r="G853" s="124" t="s">
        <v>50</v>
      </c>
      <c r="H853" s="125">
        <f>SUM(H840:H852)</f>
        <v>0</v>
      </c>
      <c r="I853" s="125">
        <f>SUM(I840:I852)</f>
        <v>2478.96</v>
      </c>
      <c r="J853" s="126">
        <f>SUM(J840:J852)</f>
        <v>0</v>
      </c>
    </row>
    <row r="854" spans="1:17" ht="15" x14ac:dyDescent="0.25">
      <c r="A854" s="127" t="s">
        <v>4400</v>
      </c>
      <c r="B854" s="128"/>
      <c r="C854" s="128"/>
      <c r="D854" s="127" t="s">
        <v>51</v>
      </c>
      <c r="E854" s="128"/>
      <c r="F854" s="129"/>
      <c r="G854" s="130" t="s">
        <v>55</v>
      </c>
      <c r="H854" s="131" t="s">
        <v>52</v>
      </c>
      <c r="I854" s="132"/>
      <c r="J854" s="125">
        <f>SUM(H853:J853)</f>
        <v>2478.96</v>
      </c>
    </row>
    <row r="855" spans="1:17" ht="15" x14ac:dyDescent="0.25">
      <c r="A855" s="313" t="str">
        <f>$I$3</f>
        <v>Carlos Wieck</v>
      </c>
      <c r="B855" s="133"/>
      <c r="C855" s="133"/>
      <c r="D855" s="134"/>
      <c r="E855" s="133"/>
      <c r="F855" s="135"/>
      <c r="G855" s="522">
        <f>$J$5</f>
        <v>43040</v>
      </c>
      <c r="H855" s="136" t="s">
        <v>53</v>
      </c>
      <c r="I855" s="137"/>
      <c r="J855" s="125">
        <f>TRUNC(I855*J854,2)</f>
        <v>0</v>
      </c>
    </row>
    <row r="856" spans="1:17" ht="15" x14ac:dyDescent="0.25">
      <c r="A856" s="138"/>
      <c r="B856" s="139"/>
      <c r="C856" s="139"/>
      <c r="D856" s="138"/>
      <c r="E856" s="139"/>
      <c r="F856" s="140"/>
      <c r="G856" s="523"/>
      <c r="H856" s="141" t="s">
        <v>54</v>
      </c>
      <c r="I856" s="142"/>
      <c r="J856" s="143">
        <f>J855+J854</f>
        <v>2478.96</v>
      </c>
      <c r="L856" s="102" t="str">
        <f>A837</f>
        <v>COMPOSIÇÃO</v>
      </c>
      <c r="M856" s="144" t="str">
        <f>B837</f>
        <v>FF-027</v>
      </c>
      <c r="N856" s="102" t="str">
        <f>L856&amp;M856</f>
        <v>COMPOSIÇÃOFF-027</v>
      </c>
      <c r="O856" s="103" t="str">
        <f>D836</f>
        <v>CX 04-B - Painéis com moldura de madeira, fechamento em policarbonato alveolar transparente de 40mm e vidro fixo temperado de 8mm dim.1,50x3,00 (CADA PAINEL, ENTRE EIXOS). Fornecimento e instalação</v>
      </c>
      <c r="P856" s="145" t="str">
        <f>J837</f>
        <v>un</v>
      </c>
      <c r="Q856" s="145">
        <f>J856</f>
        <v>2478.96</v>
      </c>
    </row>
    <row r="857" spans="1:17" ht="15" customHeight="1" x14ac:dyDescent="0.25">
      <c r="A857" s="524" t="s">
        <v>40</v>
      </c>
      <c r="B857" s="525"/>
      <c r="C857" s="104" t="s">
        <v>41</v>
      </c>
      <c r="D857" s="526" t="str">
        <f>IF(B858="","",VLOOKUP(B858,SERVIÇOS!B:E,3,0))</f>
        <v>CX 05 - Par de painéis fixos e de esquadrias basculantes com moldura de madeira e fechamento em policarbonato alveolar transparente de 40mm dim.3,40x0,74m (TOTAL). Fornecimento e instalação</v>
      </c>
      <c r="E857" s="526"/>
      <c r="F857" s="526"/>
      <c r="G857" s="526"/>
      <c r="H857" s="526"/>
      <c r="I857" s="527"/>
      <c r="J857" s="105" t="s">
        <v>42</v>
      </c>
    </row>
    <row r="858" spans="1:17" ht="15" x14ac:dyDescent="0.25">
      <c r="A858" s="230" t="s">
        <v>4715</v>
      </c>
      <c r="B858" s="230" t="s">
        <v>4908</v>
      </c>
      <c r="C858" s="106"/>
      <c r="D858" s="528"/>
      <c r="E858" s="528"/>
      <c r="F858" s="528"/>
      <c r="G858" s="528"/>
      <c r="H858" s="528"/>
      <c r="I858" s="529"/>
      <c r="J858" s="107" t="str">
        <f>IF(B858="","",VLOOKUP(B858,SERVIÇOS!B:E,4,0))</f>
        <v>un</v>
      </c>
    </row>
    <row r="859" spans="1:17" ht="15" x14ac:dyDescent="0.25">
      <c r="A859" s="530" t="s">
        <v>4397</v>
      </c>
      <c r="B859" s="531" t="s">
        <v>11</v>
      </c>
      <c r="C859" s="533" t="s">
        <v>43</v>
      </c>
      <c r="D859" s="534"/>
      <c r="E859" s="530" t="s">
        <v>13</v>
      </c>
      <c r="F859" s="530" t="s">
        <v>44</v>
      </c>
      <c r="G859" s="538" t="s">
        <v>45</v>
      </c>
      <c r="H859" s="108" t="s">
        <v>46</v>
      </c>
      <c r="I859" s="108"/>
      <c r="J859" s="108"/>
    </row>
    <row r="860" spans="1:17" ht="15" x14ac:dyDescent="0.25">
      <c r="A860" s="530"/>
      <c r="B860" s="532"/>
      <c r="C860" s="535"/>
      <c r="D860" s="536"/>
      <c r="E860" s="537"/>
      <c r="F860" s="537"/>
      <c r="G860" s="539"/>
      <c r="H860" s="108" t="s">
        <v>47</v>
      </c>
      <c r="I860" s="108" t="s">
        <v>48</v>
      </c>
      <c r="J860" s="108" t="s">
        <v>49</v>
      </c>
    </row>
    <row r="861" spans="1:17" ht="30" customHeight="1" x14ac:dyDescent="0.25">
      <c r="A861" s="109" t="s">
        <v>4717</v>
      </c>
      <c r="B861" s="116" t="s">
        <v>4879</v>
      </c>
      <c r="C861" s="540" t="str">
        <f>IF(A861&amp;B861="","",VLOOKUP(A861&amp;B861,INSUMOS!C:G,2,0))</f>
        <v>CX 05 - Par de painéis fixos e de esquadrias basculantes com moldura de madeira e fechamento em policarbonato alveolar transparente de 40mm dim.3,40x0,74m (TOTAL). Fornecimento e instalação</v>
      </c>
      <c r="D861" s="541"/>
      <c r="E861" s="111" t="str">
        <f>IF(A861&amp;B861="","",VLOOKUP(A861&amp;B861,INSUMOS!C:G,3,0))</f>
        <v>un</v>
      </c>
      <c r="F861" s="112">
        <v>1</v>
      </c>
      <c r="G861" s="113">
        <f>IF(A861&amp;B861="","",VLOOKUP(A861&amp;B861,INSUMOS!C:G,4,0))</f>
        <v>1724.7036800000001</v>
      </c>
      <c r="H861" s="114" t="str">
        <f>IF(K861="MO",TRUNC(F861*G861,2),"")</f>
        <v/>
      </c>
      <c r="I861" s="114">
        <f>IF(K861="MT",TRUNC(F861*G861,2),"")</f>
        <v>1724.7</v>
      </c>
      <c r="J861" s="115" t="str">
        <f>IF(K861="EQ",TRUNC(F861*G861,2),"")</f>
        <v/>
      </c>
      <c r="K861" s="102" t="str">
        <f>IF(A861&amp;B861="","",VLOOKUP(A861&amp;B861,INSUMOS!C:G,5,0))</f>
        <v>MT</v>
      </c>
    </row>
    <row r="862" spans="1:17" ht="15" x14ac:dyDescent="0.25">
      <c r="A862" s="109" t="s">
        <v>4717</v>
      </c>
      <c r="B862" s="116" t="s">
        <v>4873</v>
      </c>
      <c r="C862" s="518" t="str">
        <f>IF(A862&amp;B862="","",VLOOKUP(A862&amp;B862,INSUMOS!C:G,2,0))</f>
        <v>Policarbonato 10mm, sistema TOPGAL da Arkos ou equivalente técnico</v>
      </c>
      <c r="D862" s="519"/>
      <c r="E862" s="117" t="str">
        <f>IF(A862&amp;B862="","",VLOOKUP(A862&amp;B862,INSUMOS!C:G,3,0))</f>
        <v>m²</v>
      </c>
      <c r="F862" s="118">
        <f>3.4*0.74</f>
        <v>2.516</v>
      </c>
      <c r="G862" s="113">
        <f>IF(A862&amp;B862="","",VLOOKUP(A862&amp;B862,INSUMOS!C:G,4,0))</f>
        <v>126</v>
      </c>
      <c r="H862" s="119" t="str">
        <f t="shared" ref="H862:H873" si="144">IF(K862="MO",TRUNC(F862*G862,2),"")</f>
        <v/>
      </c>
      <c r="I862" s="119">
        <f t="shared" ref="I862:I873" si="145">IF(K862="MT",TRUNC(F862*G862,2),"")</f>
        <v>317.01</v>
      </c>
      <c r="J862" s="115" t="str">
        <f t="shared" ref="J862:J873" si="146">IF(K862="EQ",TRUNC(F862*G862,2),"")</f>
        <v/>
      </c>
      <c r="K862" s="102" t="str">
        <f>IF(A862&amp;B862="","",VLOOKUP(A862&amp;B862,INSUMOS!C:G,5,0))</f>
        <v>MT</v>
      </c>
    </row>
    <row r="863" spans="1:17" ht="15" x14ac:dyDescent="0.25">
      <c r="A863" s="109" t="s">
        <v>4717</v>
      </c>
      <c r="B863" s="116" t="s">
        <v>4979</v>
      </c>
      <c r="C863" s="518" t="str">
        <f>IF(A863&amp;B863="","",VLOOKUP(A863&amp;B863,INSUMOS!C:G,2,0))</f>
        <v>Acessórios e instalações do sistema de policarbonato</v>
      </c>
      <c r="D863" s="519"/>
      <c r="E863" s="117" t="str">
        <f>IF(A863&amp;B863="","",VLOOKUP(A863&amp;B863,INSUMOS!C:G,3,0))</f>
        <v>m²</v>
      </c>
      <c r="F863" s="118">
        <f>F862</f>
        <v>2.516</v>
      </c>
      <c r="G863" s="113">
        <f>IF(A863&amp;B863="","",VLOOKUP(A863&amp;B863,INSUMOS!C:G,4,0))</f>
        <v>313.75124</v>
      </c>
      <c r="H863" s="119" t="str">
        <f t="shared" si="144"/>
        <v/>
      </c>
      <c r="I863" s="119">
        <f t="shared" si="145"/>
        <v>789.39</v>
      </c>
      <c r="J863" s="115" t="str">
        <f t="shared" si="146"/>
        <v/>
      </c>
      <c r="K863" s="102" t="str">
        <f>IF(A863&amp;B863="","",VLOOKUP(A863&amp;B863,INSUMOS!C:G,5,0))</f>
        <v>MT</v>
      </c>
    </row>
    <row r="864" spans="1:17" ht="15" x14ac:dyDescent="0.25">
      <c r="A864" s="109"/>
      <c r="B864" s="116"/>
      <c r="C864" s="518" t="str">
        <f>IF(A864&amp;B864="","",VLOOKUP(A864&amp;B864,INSUMOS!C:G,2,0))</f>
        <v/>
      </c>
      <c r="D864" s="519"/>
      <c r="E864" s="117" t="str">
        <f>IF(A864&amp;B864="","",VLOOKUP(A864&amp;B864,INSUMOS!C:G,3,0))</f>
        <v/>
      </c>
      <c r="F864" s="118"/>
      <c r="G864" s="113" t="str">
        <f>IF(A864&amp;B864="","",VLOOKUP(A864&amp;B864,INSUMOS!C:G,4,0))</f>
        <v/>
      </c>
      <c r="H864" s="119" t="str">
        <f t="shared" si="144"/>
        <v/>
      </c>
      <c r="I864" s="119" t="str">
        <f t="shared" si="145"/>
        <v/>
      </c>
      <c r="J864" s="115" t="str">
        <f t="shared" si="146"/>
        <v/>
      </c>
      <c r="K864" s="102" t="str">
        <f>IF(A864&amp;B864="","",VLOOKUP(A864&amp;B864,INSUMOS!C:G,5,0))</f>
        <v/>
      </c>
    </row>
    <row r="865" spans="1:17" ht="15" x14ac:dyDescent="0.25">
      <c r="A865" s="109"/>
      <c r="B865" s="116"/>
      <c r="C865" s="518" t="str">
        <f>IF(A865&amp;B865="","",VLOOKUP(A865&amp;B865,INSUMOS!C:G,2,0))</f>
        <v/>
      </c>
      <c r="D865" s="519"/>
      <c r="E865" s="117" t="str">
        <f>IF(A865&amp;B865="","",VLOOKUP(A865&amp;B865,INSUMOS!C:G,3,0))</f>
        <v/>
      </c>
      <c r="F865" s="118"/>
      <c r="G865" s="113" t="str">
        <f>IF(A865&amp;B865="","",VLOOKUP(A865&amp;B865,INSUMOS!C:G,4,0))</f>
        <v/>
      </c>
      <c r="H865" s="119" t="str">
        <f t="shared" si="144"/>
        <v/>
      </c>
      <c r="I865" s="119" t="str">
        <f t="shared" si="145"/>
        <v/>
      </c>
      <c r="J865" s="115" t="str">
        <f t="shared" si="146"/>
        <v/>
      </c>
      <c r="K865" s="102" t="str">
        <f>IF(A865&amp;B865="","",VLOOKUP(A865&amp;B865,INSUMOS!C:G,5,0))</f>
        <v/>
      </c>
    </row>
    <row r="866" spans="1:17" ht="15" x14ac:dyDescent="0.25">
      <c r="A866" s="109"/>
      <c r="B866" s="116"/>
      <c r="C866" s="518" t="str">
        <f>IF(A866&amp;B866="","",VLOOKUP(A866&amp;B866,INSUMOS!C:G,2,0))</f>
        <v/>
      </c>
      <c r="D866" s="519"/>
      <c r="E866" s="117" t="str">
        <f>IF(A866&amp;B866="","",VLOOKUP(A866&amp;B866,INSUMOS!C:G,3,0))</f>
        <v/>
      </c>
      <c r="F866" s="118"/>
      <c r="G866" s="113" t="str">
        <f>IF(A866&amp;B866="","",VLOOKUP(A866&amp;B866,INSUMOS!C:G,4,0))</f>
        <v/>
      </c>
      <c r="H866" s="119" t="str">
        <f t="shared" si="144"/>
        <v/>
      </c>
      <c r="I866" s="119" t="str">
        <f t="shared" si="145"/>
        <v/>
      </c>
      <c r="J866" s="115" t="str">
        <f t="shared" si="146"/>
        <v/>
      </c>
      <c r="K866" s="102" t="str">
        <f>IF(A866&amp;B866="","",VLOOKUP(A866&amp;B866,INSUMOS!C:G,5,0))</f>
        <v/>
      </c>
    </row>
    <row r="867" spans="1:17" ht="15" x14ac:dyDescent="0.25">
      <c r="A867" s="109"/>
      <c r="B867" s="116"/>
      <c r="C867" s="518" t="str">
        <f>IF(A867&amp;B867="","",VLOOKUP(A867&amp;B867,INSUMOS!C:G,2,0))</f>
        <v/>
      </c>
      <c r="D867" s="519"/>
      <c r="E867" s="117" t="str">
        <f>IF(A867&amp;B867="","",VLOOKUP(A867&amp;B867,INSUMOS!C:G,3,0))</f>
        <v/>
      </c>
      <c r="F867" s="118"/>
      <c r="G867" s="113" t="str">
        <f>IF(A867&amp;B867="","",VLOOKUP(A867&amp;B867,INSUMOS!C:G,4,0))</f>
        <v/>
      </c>
      <c r="H867" s="119" t="str">
        <f t="shared" si="144"/>
        <v/>
      </c>
      <c r="I867" s="119" t="str">
        <f t="shared" si="145"/>
        <v/>
      </c>
      <c r="J867" s="115" t="str">
        <f t="shared" si="146"/>
        <v/>
      </c>
      <c r="K867" s="102" t="str">
        <f>IF(A867&amp;B867="","",VLOOKUP(A867&amp;B867,INSUMOS!C:G,5,0))</f>
        <v/>
      </c>
    </row>
    <row r="868" spans="1:17" ht="15" x14ac:dyDescent="0.25">
      <c r="A868" s="109"/>
      <c r="B868" s="116"/>
      <c r="C868" s="518" t="str">
        <f>IF(A868&amp;B868="","",VLOOKUP(A868&amp;B868,INSUMOS!C:G,2,0))</f>
        <v/>
      </c>
      <c r="D868" s="519"/>
      <c r="E868" s="117" t="str">
        <f>IF(A868&amp;B868="","",VLOOKUP(A868&amp;B868,INSUMOS!C:G,3,0))</f>
        <v/>
      </c>
      <c r="F868" s="118"/>
      <c r="G868" s="113" t="str">
        <f>IF(A868&amp;B868="","",VLOOKUP(A868&amp;B868,INSUMOS!C:G,4,0))</f>
        <v/>
      </c>
      <c r="H868" s="119" t="str">
        <f t="shared" si="144"/>
        <v/>
      </c>
      <c r="I868" s="119" t="str">
        <f t="shared" si="145"/>
        <v/>
      </c>
      <c r="J868" s="115" t="str">
        <f t="shared" si="146"/>
        <v/>
      </c>
      <c r="K868" s="102" t="str">
        <f>IF(A868&amp;B868="","",VLOOKUP(A868&amp;B868,INSUMOS!C:G,5,0))</f>
        <v/>
      </c>
    </row>
    <row r="869" spans="1:17" ht="15" x14ac:dyDescent="0.25">
      <c r="A869" s="109"/>
      <c r="B869" s="116"/>
      <c r="C869" s="518" t="str">
        <f>IF(A869&amp;B869="","",VLOOKUP(A869&amp;B869,INSUMOS!C:G,2,0))</f>
        <v/>
      </c>
      <c r="D869" s="519"/>
      <c r="E869" s="117" t="str">
        <f>IF(A869&amp;B869="","",VLOOKUP(A869&amp;B869,INSUMOS!C:G,3,0))</f>
        <v/>
      </c>
      <c r="F869" s="118"/>
      <c r="G869" s="113" t="str">
        <f>IF(A869&amp;B869="","",VLOOKUP(A869&amp;B869,INSUMOS!C:G,4,0))</f>
        <v/>
      </c>
      <c r="H869" s="119" t="str">
        <f t="shared" si="144"/>
        <v/>
      </c>
      <c r="I869" s="119" t="str">
        <f t="shared" si="145"/>
        <v/>
      </c>
      <c r="J869" s="115" t="str">
        <f t="shared" si="146"/>
        <v/>
      </c>
      <c r="K869" s="102" t="str">
        <f>IF(A869&amp;B869="","",VLOOKUP(A869&amp;B869,INSUMOS!C:G,5,0))</f>
        <v/>
      </c>
    </row>
    <row r="870" spans="1:17" ht="15" x14ac:dyDescent="0.25">
      <c r="A870" s="109"/>
      <c r="B870" s="116"/>
      <c r="C870" s="518" t="str">
        <f>IF(A870&amp;B870="","",VLOOKUP(A870&amp;B870,INSUMOS!C:G,2,0))</f>
        <v/>
      </c>
      <c r="D870" s="519"/>
      <c r="E870" s="117" t="str">
        <f>IF(A870&amp;B870="","",VLOOKUP(A870&amp;B870,INSUMOS!C:G,3,0))</f>
        <v/>
      </c>
      <c r="F870" s="118"/>
      <c r="G870" s="113" t="str">
        <f>IF(A870&amp;B870="","",VLOOKUP(A870&amp;B870,INSUMOS!C:G,4,0))</f>
        <v/>
      </c>
      <c r="H870" s="119" t="str">
        <f t="shared" si="144"/>
        <v/>
      </c>
      <c r="I870" s="119" t="str">
        <f t="shared" si="145"/>
        <v/>
      </c>
      <c r="J870" s="115" t="str">
        <f t="shared" si="146"/>
        <v/>
      </c>
      <c r="K870" s="102" t="str">
        <f>IF(A870&amp;B870="","",VLOOKUP(A870&amp;B870,INSUMOS!C:G,5,0))</f>
        <v/>
      </c>
    </row>
    <row r="871" spans="1:17" ht="15" x14ac:dyDescent="0.25">
      <c r="A871" s="120"/>
      <c r="B871" s="121"/>
      <c r="C871" s="518" t="str">
        <f>IF(A871&amp;B871="","",VLOOKUP(A871&amp;B871,INSUMOS!C:G,2,0))</f>
        <v/>
      </c>
      <c r="D871" s="519"/>
      <c r="E871" s="117" t="str">
        <f>IF(A871&amp;B871="","",VLOOKUP(A871&amp;B871,INSUMOS!C:G,3,0))</f>
        <v/>
      </c>
      <c r="F871" s="118"/>
      <c r="G871" s="122" t="str">
        <f>IF(A871&amp;B871="","",VLOOKUP(A871&amp;B871,INSUMOS!C:G,4,0))</f>
        <v/>
      </c>
      <c r="H871" s="119" t="str">
        <f t="shared" si="144"/>
        <v/>
      </c>
      <c r="I871" s="119" t="str">
        <f t="shared" si="145"/>
        <v/>
      </c>
      <c r="J871" s="115" t="str">
        <f t="shared" si="146"/>
        <v/>
      </c>
      <c r="K871" s="102" t="str">
        <f>IF(A871&amp;B871="","",VLOOKUP(A871&amp;B871,INSUMOS!C:G,5,0))</f>
        <v/>
      </c>
    </row>
    <row r="872" spans="1:17" ht="15" x14ac:dyDescent="0.25">
      <c r="A872" s="120"/>
      <c r="B872" s="121"/>
      <c r="C872" s="518" t="str">
        <f>IF(A872&amp;B872="","",VLOOKUP(A872&amp;B872,INSUMOS!C:G,2,0))</f>
        <v/>
      </c>
      <c r="D872" s="519"/>
      <c r="E872" s="117" t="str">
        <f>IF(A872&amp;B872="","",VLOOKUP(A872&amp;B872,INSUMOS!C:G,3,0))</f>
        <v/>
      </c>
      <c r="F872" s="118"/>
      <c r="G872" s="122" t="str">
        <f>IF(A872&amp;B872="","",VLOOKUP(A872&amp;B872,INSUMOS!C:G,4,0))</f>
        <v/>
      </c>
      <c r="H872" s="119" t="str">
        <f t="shared" si="144"/>
        <v/>
      </c>
      <c r="I872" s="119" t="str">
        <f t="shared" si="145"/>
        <v/>
      </c>
      <c r="J872" s="115" t="str">
        <f t="shared" si="146"/>
        <v/>
      </c>
      <c r="K872" s="102" t="str">
        <f>IF(A872&amp;B872="","",VLOOKUP(A872&amp;B872,INSUMOS!C:G,5,0))</f>
        <v/>
      </c>
    </row>
    <row r="873" spans="1:17" ht="15" x14ac:dyDescent="0.25">
      <c r="A873" s="120"/>
      <c r="B873" s="121"/>
      <c r="C873" s="518" t="str">
        <f>IF(A873&amp;B873="","",VLOOKUP(A873&amp;B873,INSUMOS!C:G,2,0))</f>
        <v/>
      </c>
      <c r="D873" s="519"/>
      <c r="E873" s="117" t="str">
        <f>IF(A873&amp;B873="","",VLOOKUP(A873&amp;B873,INSUMOS!C:G,3,0))</f>
        <v/>
      </c>
      <c r="F873" s="118"/>
      <c r="G873" s="122" t="str">
        <f>IF(A873&amp;B873="","",VLOOKUP(A873&amp;B873,INSUMOS!C:G,4,0))</f>
        <v/>
      </c>
      <c r="H873" s="119" t="str">
        <f t="shared" si="144"/>
        <v/>
      </c>
      <c r="I873" s="119" t="str">
        <f t="shared" si="145"/>
        <v/>
      </c>
      <c r="J873" s="115" t="str">
        <f t="shared" si="146"/>
        <v/>
      </c>
      <c r="K873" s="102" t="str">
        <f>IF(A873&amp;B873="","",VLOOKUP(A873&amp;B873,INSUMOS!C:G,5,0))</f>
        <v/>
      </c>
    </row>
    <row r="874" spans="1:17" ht="15" x14ac:dyDescent="0.25">
      <c r="A874" s="123" t="s">
        <v>4399</v>
      </c>
      <c r="B874" s="520"/>
      <c r="C874" s="520"/>
      <c r="D874" s="520"/>
      <c r="E874" s="520"/>
      <c r="F874" s="521"/>
      <c r="G874" s="124" t="s">
        <v>50</v>
      </c>
      <c r="H874" s="125">
        <f>SUM(H861:H873)</f>
        <v>0</v>
      </c>
      <c r="I874" s="125">
        <f>SUM(I861:I873)</f>
        <v>2831.1</v>
      </c>
      <c r="J874" s="126">
        <f>SUM(J861:J873)</f>
        <v>0</v>
      </c>
    </row>
    <row r="875" spans="1:17" ht="15" x14ac:dyDescent="0.25">
      <c r="A875" s="127" t="s">
        <v>4400</v>
      </c>
      <c r="B875" s="128"/>
      <c r="C875" s="128"/>
      <c r="D875" s="127" t="s">
        <v>51</v>
      </c>
      <c r="E875" s="128"/>
      <c r="F875" s="129"/>
      <c r="G875" s="130" t="s">
        <v>55</v>
      </c>
      <c r="H875" s="131" t="s">
        <v>52</v>
      </c>
      <c r="I875" s="132"/>
      <c r="J875" s="125">
        <f>SUM(H874:J874)</f>
        <v>2831.1</v>
      </c>
    </row>
    <row r="876" spans="1:17" ht="15" x14ac:dyDescent="0.25">
      <c r="A876" s="313" t="str">
        <f>$I$3</f>
        <v>Carlos Wieck</v>
      </c>
      <c r="B876" s="133"/>
      <c r="C876" s="133"/>
      <c r="D876" s="134"/>
      <c r="E876" s="133"/>
      <c r="F876" s="135"/>
      <c r="G876" s="522">
        <f>$J$5</f>
        <v>43040</v>
      </c>
      <c r="H876" s="136" t="s">
        <v>53</v>
      </c>
      <c r="I876" s="137"/>
      <c r="J876" s="125">
        <f>TRUNC(I876*J875,2)</f>
        <v>0</v>
      </c>
    </row>
    <row r="877" spans="1:17" ht="15" x14ac:dyDescent="0.25">
      <c r="A877" s="138"/>
      <c r="B877" s="139"/>
      <c r="C877" s="139"/>
      <c r="D877" s="138"/>
      <c r="E877" s="139"/>
      <c r="F877" s="140"/>
      <c r="G877" s="523"/>
      <c r="H877" s="141" t="s">
        <v>54</v>
      </c>
      <c r="I877" s="142"/>
      <c r="J877" s="143">
        <f>J876+J875</f>
        <v>2831.1</v>
      </c>
      <c r="L877" s="102" t="str">
        <f>A858</f>
        <v>COMPOSIÇÃO</v>
      </c>
      <c r="M877" s="144" t="str">
        <f>B858</f>
        <v>FF-028</v>
      </c>
      <c r="N877" s="102" t="str">
        <f>L877&amp;M877</f>
        <v>COMPOSIÇÃOFF-028</v>
      </c>
      <c r="O877" s="103" t="str">
        <f>D857</f>
        <v>CX 05 - Par de painéis fixos e de esquadrias basculantes com moldura de madeira e fechamento em policarbonato alveolar transparente de 40mm dim.3,40x0,74m (TOTAL). Fornecimento e instalação</v>
      </c>
      <c r="P877" s="145" t="str">
        <f>J858</f>
        <v>un</v>
      </c>
      <c r="Q877" s="145">
        <f>J877</f>
        <v>2831.1</v>
      </c>
    </row>
    <row r="878" spans="1:17" ht="15" customHeight="1" x14ac:dyDescent="0.25">
      <c r="A878" s="524" t="s">
        <v>40</v>
      </c>
      <c r="B878" s="525"/>
      <c r="C878" s="104" t="s">
        <v>41</v>
      </c>
      <c r="D878" s="526" t="str">
        <f>IF(B879="","",VLOOKUP(B879,SERVIÇOS!B:E,3,0))</f>
        <v>CX 06 (A+B)- Painel de policarbonato alveolar transparente de 40mm com acabamento em perfil de alumínio, para fechamento da treliça dim.. Fornecimento e instalação</v>
      </c>
      <c r="E878" s="526"/>
      <c r="F878" s="526"/>
      <c r="G878" s="526"/>
      <c r="H878" s="526"/>
      <c r="I878" s="527"/>
      <c r="J878" s="105" t="s">
        <v>42</v>
      </c>
    </row>
    <row r="879" spans="1:17" ht="15" x14ac:dyDescent="0.25">
      <c r="A879" s="230" t="s">
        <v>4715</v>
      </c>
      <c r="B879" s="230" t="s">
        <v>4909</v>
      </c>
      <c r="C879" s="106"/>
      <c r="D879" s="528"/>
      <c r="E879" s="528"/>
      <c r="F879" s="528"/>
      <c r="G879" s="528"/>
      <c r="H879" s="528"/>
      <c r="I879" s="529"/>
      <c r="J879" s="107" t="str">
        <f>IF(B879="","",VLOOKUP(B879,SERVIÇOS!B:E,4,0))</f>
        <v>un</v>
      </c>
    </row>
    <row r="880" spans="1:17" ht="15" x14ac:dyDescent="0.25">
      <c r="A880" s="530" t="s">
        <v>4397</v>
      </c>
      <c r="B880" s="531" t="s">
        <v>11</v>
      </c>
      <c r="C880" s="533" t="s">
        <v>43</v>
      </c>
      <c r="D880" s="534"/>
      <c r="E880" s="530" t="s">
        <v>13</v>
      </c>
      <c r="F880" s="530" t="s">
        <v>44</v>
      </c>
      <c r="G880" s="538" t="s">
        <v>45</v>
      </c>
      <c r="H880" s="108" t="s">
        <v>46</v>
      </c>
      <c r="I880" s="108"/>
      <c r="J880" s="108"/>
    </row>
    <row r="881" spans="1:11" ht="15" x14ac:dyDescent="0.25">
      <c r="A881" s="530"/>
      <c r="B881" s="532"/>
      <c r="C881" s="535"/>
      <c r="D881" s="536"/>
      <c r="E881" s="537"/>
      <c r="F881" s="537"/>
      <c r="G881" s="539"/>
      <c r="H881" s="108" t="s">
        <v>47</v>
      </c>
      <c r="I881" s="108" t="s">
        <v>48</v>
      </c>
      <c r="J881" s="108" t="s">
        <v>49</v>
      </c>
    </row>
    <row r="882" spans="1:11" ht="30" customHeight="1" x14ac:dyDescent="0.25">
      <c r="A882" s="109" t="s">
        <v>4717</v>
      </c>
      <c r="B882" s="116" t="s">
        <v>4880</v>
      </c>
      <c r="C882" s="540" t="str">
        <f>IF(A882&amp;B882="","",VLOOKUP(A882&amp;B882,INSUMOS!C:G,2,0))</f>
        <v>CX 06 - Painel de policarbonato alveolar transparente de 40mm com acabamento em perfil de alumínio, para fechamento da treliça dim.. Fornecimento e instalação</v>
      </c>
      <c r="D882" s="541"/>
      <c r="E882" s="111" t="str">
        <f>IF(A882&amp;B882="","",VLOOKUP(A882&amp;B882,INSUMOS!C:G,3,0))</f>
        <v>un</v>
      </c>
      <c r="F882" s="112">
        <v>1</v>
      </c>
      <c r="G882" s="113">
        <f>IF(A882&amp;B882="","",VLOOKUP(A882&amp;B882,INSUMOS!C:G,4,0))</f>
        <v>2478.9621399999996</v>
      </c>
      <c r="H882" s="114" t="str">
        <f>IF(K882="MO",TRUNC(F882*G882,2),"")</f>
        <v/>
      </c>
      <c r="I882" s="114">
        <f>IF(K882="MT",TRUNC(F882*G882,2),"")</f>
        <v>2478.96</v>
      </c>
      <c r="J882" s="115" t="str">
        <f>IF(K882="EQ",TRUNC(F882*G882,2),"")</f>
        <v/>
      </c>
      <c r="K882" s="102" t="str">
        <f>IF(A882&amp;B882="","",VLOOKUP(A882&amp;B882,INSUMOS!C:G,5,0))</f>
        <v>MT</v>
      </c>
    </row>
    <row r="883" spans="1:11" ht="15" x14ac:dyDescent="0.25">
      <c r="A883" s="109" t="s">
        <v>4717</v>
      </c>
      <c r="B883" s="116" t="s">
        <v>4873</v>
      </c>
      <c r="C883" s="518" t="str">
        <f>IF(A883&amp;B883="","",VLOOKUP(A883&amp;B883,INSUMOS!C:G,2,0))</f>
        <v>Policarbonato 10mm, sistema TOPGAL da Arkos ou equivalente técnico</v>
      </c>
      <c r="D883" s="519"/>
      <c r="E883" s="117" t="str">
        <f>IF(A883&amp;B883="","",VLOOKUP(A883&amp;B883,INSUMOS!C:G,3,0))</f>
        <v>m²</v>
      </c>
      <c r="F883" s="118">
        <v>6.76</v>
      </c>
      <c r="G883" s="113">
        <f>IF(A883&amp;B883="","",VLOOKUP(A883&amp;B883,INSUMOS!C:G,4,0))</f>
        <v>126</v>
      </c>
      <c r="H883" s="119" t="str">
        <f t="shared" ref="H883:H894" si="147">IF(K883="MO",TRUNC(F883*G883,2),"")</f>
        <v/>
      </c>
      <c r="I883" s="119">
        <f t="shared" ref="I883:I894" si="148">IF(K883="MT",TRUNC(F883*G883,2),"")</f>
        <v>851.76</v>
      </c>
      <c r="J883" s="115" t="str">
        <f t="shared" ref="J883:J894" si="149">IF(K883="EQ",TRUNC(F883*G883,2),"")</f>
        <v/>
      </c>
      <c r="K883" s="102" t="str">
        <f>IF(A883&amp;B883="","",VLOOKUP(A883&amp;B883,INSUMOS!C:G,5,0))</f>
        <v>MT</v>
      </c>
    </row>
    <row r="884" spans="1:11" ht="15" x14ac:dyDescent="0.25">
      <c r="A884" s="109" t="s">
        <v>4717</v>
      </c>
      <c r="B884" s="116" t="s">
        <v>4979</v>
      </c>
      <c r="C884" s="518" t="str">
        <f>IF(A884&amp;B884="","",VLOOKUP(A884&amp;B884,INSUMOS!C:G,2,0))</f>
        <v>Acessórios e instalações do sistema de policarbonato</v>
      </c>
      <c r="D884" s="519"/>
      <c r="E884" s="117" t="str">
        <f>IF(A884&amp;B884="","",VLOOKUP(A884&amp;B884,INSUMOS!C:G,3,0))</f>
        <v>m²</v>
      </c>
      <c r="F884" s="118">
        <f>F883</f>
        <v>6.76</v>
      </c>
      <c r="G884" s="113">
        <f>IF(A884&amp;B884="","",VLOOKUP(A884&amp;B884,INSUMOS!C:G,4,0))</f>
        <v>313.75124</v>
      </c>
      <c r="H884" s="119" t="str">
        <f t="shared" si="147"/>
        <v/>
      </c>
      <c r="I884" s="119">
        <f t="shared" si="148"/>
        <v>2120.9499999999998</v>
      </c>
      <c r="J884" s="115" t="str">
        <f t="shared" si="149"/>
        <v/>
      </c>
      <c r="K884" s="102" t="str">
        <f>IF(A884&amp;B884="","",VLOOKUP(A884&amp;B884,INSUMOS!C:G,5,0))</f>
        <v>MT</v>
      </c>
    </row>
    <row r="885" spans="1:11" ht="15" x14ac:dyDescent="0.25">
      <c r="A885" s="109"/>
      <c r="B885" s="116"/>
      <c r="C885" s="518" t="str">
        <f>IF(A885&amp;B885="","",VLOOKUP(A885&amp;B885,INSUMOS!C:G,2,0))</f>
        <v/>
      </c>
      <c r="D885" s="519"/>
      <c r="E885" s="117" t="str">
        <f>IF(A885&amp;B885="","",VLOOKUP(A885&amp;B885,INSUMOS!C:G,3,0))</f>
        <v/>
      </c>
      <c r="F885" s="118"/>
      <c r="G885" s="113" t="str">
        <f>IF(A885&amp;B885="","",VLOOKUP(A885&amp;B885,INSUMOS!C:G,4,0))</f>
        <v/>
      </c>
      <c r="H885" s="119" t="str">
        <f t="shared" si="147"/>
        <v/>
      </c>
      <c r="I885" s="119" t="str">
        <f t="shared" si="148"/>
        <v/>
      </c>
      <c r="J885" s="115" t="str">
        <f t="shared" si="149"/>
        <v/>
      </c>
      <c r="K885" s="102" t="str">
        <f>IF(A885&amp;B885="","",VLOOKUP(A885&amp;B885,INSUMOS!C:G,5,0))</f>
        <v/>
      </c>
    </row>
    <row r="886" spans="1:11" ht="15" x14ac:dyDescent="0.25">
      <c r="A886" s="109"/>
      <c r="B886" s="116"/>
      <c r="C886" s="518" t="str">
        <f>IF(A886&amp;B886="","",VLOOKUP(A886&amp;B886,INSUMOS!C:G,2,0))</f>
        <v/>
      </c>
      <c r="D886" s="519"/>
      <c r="E886" s="117" t="str">
        <f>IF(A886&amp;B886="","",VLOOKUP(A886&amp;B886,INSUMOS!C:G,3,0))</f>
        <v/>
      </c>
      <c r="F886" s="118"/>
      <c r="G886" s="113" t="str">
        <f>IF(A886&amp;B886="","",VLOOKUP(A886&amp;B886,INSUMOS!C:G,4,0))</f>
        <v/>
      </c>
      <c r="H886" s="119" t="str">
        <f t="shared" si="147"/>
        <v/>
      </c>
      <c r="I886" s="119" t="str">
        <f t="shared" si="148"/>
        <v/>
      </c>
      <c r="J886" s="115" t="str">
        <f t="shared" si="149"/>
        <v/>
      </c>
      <c r="K886" s="102" t="str">
        <f>IF(A886&amp;B886="","",VLOOKUP(A886&amp;B886,INSUMOS!C:G,5,0))</f>
        <v/>
      </c>
    </row>
    <row r="887" spans="1:11" ht="15" x14ac:dyDescent="0.25">
      <c r="A887" s="109"/>
      <c r="B887" s="116"/>
      <c r="C887" s="518" t="str">
        <f>IF(A887&amp;B887="","",VLOOKUP(A887&amp;B887,INSUMOS!C:G,2,0))</f>
        <v/>
      </c>
      <c r="D887" s="519"/>
      <c r="E887" s="117" t="str">
        <f>IF(A887&amp;B887="","",VLOOKUP(A887&amp;B887,INSUMOS!C:G,3,0))</f>
        <v/>
      </c>
      <c r="F887" s="118"/>
      <c r="G887" s="113" t="str">
        <f>IF(A887&amp;B887="","",VLOOKUP(A887&amp;B887,INSUMOS!C:G,4,0))</f>
        <v/>
      </c>
      <c r="H887" s="119" t="str">
        <f t="shared" si="147"/>
        <v/>
      </c>
      <c r="I887" s="119" t="str">
        <f t="shared" si="148"/>
        <v/>
      </c>
      <c r="J887" s="115" t="str">
        <f t="shared" si="149"/>
        <v/>
      </c>
      <c r="K887" s="102" t="str">
        <f>IF(A887&amp;B887="","",VLOOKUP(A887&amp;B887,INSUMOS!C:G,5,0))</f>
        <v/>
      </c>
    </row>
    <row r="888" spans="1:11" ht="15" x14ac:dyDescent="0.25">
      <c r="A888" s="109"/>
      <c r="B888" s="116"/>
      <c r="C888" s="518" t="str">
        <f>IF(A888&amp;B888="","",VLOOKUP(A888&amp;B888,INSUMOS!C:G,2,0))</f>
        <v/>
      </c>
      <c r="D888" s="519"/>
      <c r="E888" s="117" t="str">
        <f>IF(A888&amp;B888="","",VLOOKUP(A888&amp;B888,INSUMOS!C:G,3,0))</f>
        <v/>
      </c>
      <c r="F888" s="118"/>
      <c r="G888" s="113" t="str">
        <f>IF(A888&amp;B888="","",VLOOKUP(A888&amp;B888,INSUMOS!C:G,4,0))</f>
        <v/>
      </c>
      <c r="H888" s="119" t="str">
        <f t="shared" si="147"/>
        <v/>
      </c>
      <c r="I888" s="119" t="str">
        <f t="shared" si="148"/>
        <v/>
      </c>
      <c r="J888" s="115" t="str">
        <f t="shared" si="149"/>
        <v/>
      </c>
      <c r="K888" s="102" t="str">
        <f>IF(A888&amp;B888="","",VLOOKUP(A888&amp;B888,INSUMOS!C:G,5,0))</f>
        <v/>
      </c>
    </row>
    <row r="889" spans="1:11" ht="15" x14ac:dyDescent="0.25">
      <c r="A889" s="109"/>
      <c r="B889" s="116"/>
      <c r="C889" s="518" t="str">
        <f>IF(A889&amp;B889="","",VLOOKUP(A889&amp;B889,INSUMOS!C:G,2,0))</f>
        <v/>
      </c>
      <c r="D889" s="519"/>
      <c r="E889" s="117" t="str">
        <f>IF(A889&amp;B889="","",VLOOKUP(A889&amp;B889,INSUMOS!C:G,3,0))</f>
        <v/>
      </c>
      <c r="F889" s="118"/>
      <c r="G889" s="113" t="str">
        <f>IF(A889&amp;B889="","",VLOOKUP(A889&amp;B889,INSUMOS!C:G,4,0))</f>
        <v/>
      </c>
      <c r="H889" s="119" t="str">
        <f t="shared" si="147"/>
        <v/>
      </c>
      <c r="I889" s="119" t="str">
        <f t="shared" si="148"/>
        <v/>
      </c>
      <c r="J889" s="115" t="str">
        <f t="shared" si="149"/>
        <v/>
      </c>
      <c r="K889" s="102" t="str">
        <f>IF(A889&amp;B889="","",VLOOKUP(A889&amp;B889,INSUMOS!C:G,5,0))</f>
        <v/>
      </c>
    </row>
    <row r="890" spans="1:11" ht="15" x14ac:dyDescent="0.25">
      <c r="A890" s="109"/>
      <c r="B890" s="116"/>
      <c r="C890" s="518" t="str">
        <f>IF(A890&amp;B890="","",VLOOKUP(A890&amp;B890,INSUMOS!C:G,2,0))</f>
        <v/>
      </c>
      <c r="D890" s="519"/>
      <c r="E890" s="117" t="str">
        <f>IF(A890&amp;B890="","",VLOOKUP(A890&amp;B890,INSUMOS!C:G,3,0))</f>
        <v/>
      </c>
      <c r="F890" s="118"/>
      <c r="G890" s="113" t="str">
        <f>IF(A890&amp;B890="","",VLOOKUP(A890&amp;B890,INSUMOS!C:G,4,0))</f>
        <v/>
      </c>
      <c r="H890" s="119" t="str">
        <f t="shared" si="147"/>
        <v/>
      </c>
      <c r="I890" s="119" t="str">
        <f t="shared" si="148"/>
        <v/>
      </c>
      <c r="J890" s="115" t="str">
        <f t="shared" si="149"/>
        <v/>
      </c>
      <c r="K890" s="102" t="str">
        <f>IF(A890&amp;B890="","",VLOOKUP(A890&amp;B890,INSUMOS!C:G,5,0))</f>
        <v/>
      </c>
    </row>
    <row r="891" spans="1:11" ht="15" x14ac:dyDescent="0.25">
      <c r="A891" s="109"/>
      <c r="B891" s="116"/>
      <c r="C891" s="518" t="str">
        <f>IF(A891&amp;B891="","",VLOOKUP(A891&amp;B891,INSUMOS!C:G,2,0))</f>
        <v/>
      </c>
      <c r="D891" s="519"/>
      <c r="E891" s="117" t="str">
        <f>IF(A891&amp;B891="","",VLOOKUP(A891&amp;B891,INSUMOS!C:G,3,0))</f>
        <v/>
      </c>
      <c r="F891" s="118"/>
      <c r="G891" s="113" t="str">
        <f>IF(A891&amp;B891="","",VLOOKUP(A891&amp;B891,INSUMOS!C:G,4,0))</f>
        <v/>
      </c>
      <c r="H891" s="119" t="str">
        <f t="shared" si="147"/>
        <v/>
      </c>
      <c r="I891" s="119" t="str">
        <f t="shared" si="148"/>
        <v/>
      </c>
      <c r="J891" s="115" t="str">
        <f t="shared" si="149"/>
        <v/>
      </c>
      <c r="K891" s="102" t="str">
        <f>IF(A891&amp;B891="","",VLOOKUP(A891&amp;B891,INSUMOS!C:G,5,0))</f>
        <v/>
      </c>
    </row>
    <row r="892" spans="1:11" ht="15" x14ac:dyDescent="0.25">
      <c r="A892" s="120"/>
      <c r="B892" s="121"/>
      <c r="C892" s="518" t="str">
        <f>IF(A892&amp;B892="","",VLOOKUP(A892&amp;B892,INSUMOS!C:G,2,0))</f>
        <v/>
      </c>
      <c r="D892" s="519"/>
      <c r="E892" s="117" t="str">
        <f>IF(A892&amp;B892="","",VLOOKUP(A892&amp;B892,INSUMOS!C:G,3,0))</f>
        <v/>
      </c>
      <c r="F892" s="118"/>
      <c r="G892" s="122" t="str">
        <f>IF(A892&amp;B892="","",VLOOKUP(A892&amp;B892,INSUMOS!C:G,4,0))</f>
        <v/>
      </c>
      <c r="H892" s="119" t="str">
        <f t="shared" si="147"/>
        <v/>
      </c>
      <c r="I892" s="119" t="str">
        <f t="shared" si="148"/>
        <v/>
      </c>
      <c r="J892" s="115" t="str">
        <f t="shared" si="149"/>
        <v/>
      </c>
      <c r="K892" s="102" t="str">
        <f>IF(A892&amp;B892="","",VLOOKUP(A892&amp;B892,INSUMOS!C:G,5,0))</f>
        <v/>
      </c>
    </row>
    <row r="893" spans="1:11" ht="15" x14ac:dyDescent="0.25">
      <c r="A893" s="120"/>
      <c r="B893" s="121"/>
      <c r="C893" s="518" t="str">
        <f>IF(A893&amp;B893="","",VLOOKUP(A893&amp;B893,INSUMOS!C:G,2,0))</f>
        <v/>
      </c>
      <c r="D893" s="519"/>
      <c r="E893" s="117" t="str">
        <f>IF(A893&amp;B893="","",VLOOKUP(A893&amp;B893,INSUMOS!C:G,3,0))</f>
        <v/>
      </c>
      <c r="F893" s="118"/>
      <c r="G893" s="122" t="str">
        <f>IF(A893&amp;B893="","",VLOOKUP(A893&amp;B893,INSUMOS!C:G,4,0))</f>
        <v/>
      </c>
      <c r="H893" s="119" t="str">
        <f t="shared" si="147"/>
        <v/>
      </c>
      <c r="I893" s="119" t="str">
        <f t="shared" si="148"/>
        <v/>
      </c>
      <c r="J893" s="115" t="str">
        <f t="shared" si="149"/>
        <v/>
      </c>
      <c r="K893" s="102" t="str">
        <f>IF(A893&amp;B893="","",VLOOKUP(A893&amp;B893,INSUMOS!C:G,5,0))</f>
        <v/>
      </c>
    </row>
    <row r="894" spans="1:11" ht="15" x14ac:dyDescent="0.25">
      <c r="A894" s="120"/>
      <c r="B894" s="121"/>
      <c r="C894" s="518" t="str">
        <f>IF(A894&amp;B894="","",VLOOKUP(A894&amp;B894,INSUMOS!C:G,2,0))</f>
        <v/>
      </c>
      <c r="D894" s="519"/>
      <c r="E894" s="117" t="str">
        <f>IF(A894&amp;B894="","",VLOOKUP(A894&amp;B894,INSUMOS!C:G,3,0))</f>
        <v/>
      </c>
      <c r="F894" s="118"/>
      <c r="G894" s="122" t="str">
        <f>IF(A894&amp;B894="","",VLOOKUP(A894&amp;B894,INSUMOS!C:G,4,0))</f>
        <v/>
      </c>
      <c r="H894" s="119" t="str">
        <f t="shared" si="147"/>
        <v/>
      </c>
      <c r="I894" s="119" t="str">
        <f t="shared" si="148"/>
        <v/>
      </c>
      <c r="J894" s="115" t="str">
        <f t="shared" si="149"/>
        <v/>
      </c>
      <c r="K894" s="102" t="str">
        <f>IF(A894&amp;B894="","",VLOOKUP(A894&amp;B894,INSUMOS!C:G,5,0))</f>
        <v/>
      </c>
    </row>
    <row r="895" spans="1:11" ht="15" x14ac:dyDescent="0.25">
      <c r="A895" s="123" t="s">
        <v>4399</v>
      </c>
      <c r="B895" s="520"/>
      <c r="C895" s="520"/>
      <c r="D895" s="520"/>
      <c r="E895" s="520"/>
      <c r="F895" s="521"/>
      <c r="G895" s="124" t="s">
        <v>50</v>
      </c>
      <c r="H895" s="125">
        <f>SUM(H882:H894)</f>
        <v>0</v>
      </c>
      <c r="I895" s="125">
        <f>SUM(I882:I894)</f>
        <v>5451.67</v>
      </c>
      <c r="J895" s="126">
        <f>SUM(J882:J894)</f>
        <v>0</v>
      </c>
    </row>
    <row r="896" spans="1:11" ht="15" x14ac:dyDescent="0.25">
      <c r="A896" s="127" t="s">
        <v>4400</v>
      </c>
      <c r="B896" s="128"/>
      <c r="C896" s="128"/>
      <c r="D896" s="127" t="s">
        <v>51</v>
      </c>
      <c r="E896" s="128"/>
      <c r="F896" s="129"/>
      <c r="G896" s="130" t="s">
        <v>55</v>
      </c>
      <c r="H896" s="131" t="s">
        <v>52</v>
      </c>
      <c r="I896" s="132"/>
      <c r="J896" s="125">
        <f>SUM(H895:J895)</f>
        <v>5451.67</v>
      </c>
    </row>
    <row r="897" spans="1:17" ht="15" x14ac:dyDescent="0.25">
      <c r="A897" s="313" t="str">
        <f>$I$3</f>
        <v>Carlos Wieck</v>
      </c>
      <c r="B897" s="133"/>
      <c r="C897" s="133"/>
      <c r="D897" s="134"/>
      <c r="E897" s="133"/>
      <c r="F897" s="135"/>
      <c r="G897" s="522">
        <f>$J$5</f>
        <v>43040</v>
      </c>
      <c r="H897" s="136" t="s">
        <v>53</v>
      </c>
      <c r="I897" s="137"/>
      <c r="J897" s="125">
        <f>TRUNC(I897*J896,2)</f>
        <v>0</v>
      </c>
    </row>
    <row r="898" spans="1:17" ht="15" x14ac:dyDescent="0.25">
      <c r="A898" s="138"/>
      <c r="B898" s="139"/>
      <c r="C898" s="139"/>
      <c r="D898" s="138"/>
      <c r="E898" s="139"/>
      <c r="F898" s="140"/>
      <c r="G898" s="523"/>
      <c r="H898" s="141" t="s">
        <v>54</v>
      </c>
      <c r="I898" s="142"/>
      <c r="J898" s="143">
        <f>J897+J896</f>
        <v>5451.67</v>
      </c>
      <c r="L898" s="102" t="str">
        <f>A879</f>
        <v>COMPOSIÇÃO</v>
      </c>
      <c r="M898" s="144" t="str">
        <f>B879</f>
        <v>FF-029</v>
      </c>
      <c r="N898" s="102" t="str">
        <f>L898&amp;M898</f>
        <v>COMPOSIÇÃOFF-029</v>
      </c>
      <c r="O898" s="103" t="str">
        <f>D878</f>
        <v>CX 06 (A+B)- Painel de policarbonato alveolar transparente de 40mm com acabamento em perfil de alumínio, para fechamento da treliça dim.. Fornecimento e instalação</v>
      </c>
      <c r="P898" s="145" t="str">
        <f>J879</f>
        <v>un</v>
      </c>
      <c r="Q898" s="145">
        <f>J898</f>
        <v>5451.67</v>
      </c>
    </row>
    <row r="899" spans="1:17" ht="15" customHeight="1" x14ac:dyDescent="0.25">
      <c r="A899" s="524" t="s">
        <v>40</v>
      </c>
      <c r="B899" s="525"/>
      <c r="C899" s="104" t="s">
        <v>41</v>
      </c>
      <c r="D899" s="526" t="str">
        <f>IF(B900="","",VLOOKUP(B900,SERVIÇOS!B:E,3,0))</f>
        <v>Fornecimento e plantio de Hibiscus pernambucensis - Algodão da praia</v>
      </c>
      <c r="E899" s="526"/>
      <c r="F899" s="526"/>
      <c r="G899" s="526"/>
      <c r="H899" s="526"/>
      <c r="I899" s="527"/>
      <c r="J899" s="105" t="s">
        <v>42</v>
      </c>
    </row>
    <row r="900" spans="1:17" ht="15" x14ac:dyDescent="0.25">
      <c r="A900" s="230" t="s">
        <v>4715</v>
      </c>
      <c r="B900" s="230" t="s">
        <v>4910</v>
      </c>
      <c r="C900" s="106"/>
      <c r="D900" s="528"/>
      <c r="E900" s="528"/>
      <c r="F900" s="528"/>
      <c r="G900" s="528"/>
      <c r="H900" s="528"/>
      <c r="I900" s="529"/>
      <c r="J900" s="107" t="str">
        <f>IF(B900="","",VLOOKUP(B900,SERVIÇOS!B:E,4,0))</f>
        <v>un</v>
      </c>
    </row>
    <row r="901" spans="1:17" ht="15" x14ac:dyDescent="0.25">
      <c r="A901" s="530" t="s">
        <v>4397</v>
      </c>
      <c r="B901" s="531" t="s">
        <v>11</v>
      </c>
      <c r="C901" s="533" t="s">
        <v>43</v>
      </c>
      <c r="D901" s="534"/>
      <c r="E901" s="530" t="s">
        <v>13</v>
      </c>
      <c r="F901" s="530" t="s">
        <v>44</v>
      </c>
      <c r="G901" s="538" t="s">
        <v>45</v>
      </c>
      <c r="H901" s="108" t="s">
        <v>46</v>
      </c>
      <c r="I901" s="108"/>
      <c r="J901" s="108"/>
    </row>
    <row r="902" spans="1:17" ht="15" x14ac:dyDescent="0.25">
      <c r="A902" s="530"/>
      <c r="B902" s="532"/>
      <c r="C902" s="535"/>
      <c r="D902" s="536"/>
      <c r="E902" s="537"/>
      <c r="F902" s="537"/>
      <c r="G902" s="539"/>
      <c r="H902" s="108" t="s">
        <v>47</v>
      </c>
      <c r="I902" s="108" t="s">
        <v>48</v>
      </c>
      <c r="J902" s="108" t="s">
        <v>49</v>
      </c>
    </row>
    <row r="903" spans="1:17" ht="15" x14ac:dyDescent="0.25">
      <c r="A903" s="109" t="s">
        <v>4717</v>
      </c>
      <c r="B903" s="116" t="s">
        <v>4881</v>
      </c>
      <c r="C903" s="540" t="str">
        <f>IF(A903&amp;B903="","",VLOOKUP(A903&amp;B903,INSUMOS!C:G,2,0))</f>
        <v>Fornecimento e plantio de Hibiscus pernambucensis - Algodão da praia</v>
      </c>
      <c r="D903" s="541"/>
      <c r="E903" s="111" t="str">
        <f>IF(A903&amp;B903="","",VLOOKUP(A903&amp;B903,INSUMOS!C:G,3,0))</f>
        <v>un</v>
      </c>
      <c r="F903" s="112">
        <v>1</v>
      </c>
      <c r="G903" s="113">
        <f>IF(A903&amp;B903="","",VLOOKUP(A903&amp;B903,INSUMOS!C:G,4,0))</f>
        <v>104.79</v>
      </c>
      <c r="H903" s="114" t="str">
        <f>IF(K903="MO",TRUNC(F903*G903,2),"")</f>
        <v/>
      </c>
      <c r="I903" s="114">
        <f>IF(K903="MT",TRUNC(F903*G903,2),"")</f>
        <v>104.79</v>
      </c>
      <c r="J903" s="115" t="str">
        <f>IF(K903="EQ",TRUNC(F903*G903,2),"")</f>
        <v/>
      </c>
      <c r="K903" s="102" t="str">
        <f>IF(A903&amp;B903="","",VLOOKUP(A903&amp;B903,INSUMOS!C:G,5,0))</f>
        <v>MT</v>
      </c>
    </row>
    <row r="904" spans="1:17" ht="15" x14ac:dyDescent="0.25">
      <c r="A904" s="109" t="s">
        <v>4398</v>
      </c>
      <c r="B904" s="116">
        <v>10101</v>
      </c>
      <c r="C904" s="518" t="str">
        <f>IF(A904&amp;B904="","",VLOOKUP(A904&amp;B904,INSUMOS!C:G,2,0))</f>
        <v>Ajudante geral</v>
      </c>
      <c r="D904" s="519"/>
      <c r="E904" s="117" t="str">
        <f>IF(A904&amp;B904="","",VLOOKUP(A904&amp;B904,INSUMOS!C:G,3,0))</f>
        <v>h</v>
      </c>
      <c r="F904" s="118">
        <v>1</v>
      </c>
      <c r="G904" s="113">
        <f>IF(A904&amp;B904="","",VLOOKUP(A904&amp;B904,INSUMOS!C:G,4,0))</f>
        <v>11.238228999999999</v>
      </c>
      <c r="H904" s="119">
        <f t="shared" ref="H904:H915" si="150">IF(K904="MO",TRUNC(F904*G904,2),"")</f>
        <v>11.23</v>
      </c>
      <c r="I904" s="119" t="str">
        <f t="shared" ref="I904:I915" si="151">IF(K904="MT",TRUNC(F904*G904,2),"")</f>
        <v/>
      </c>
      <c r="J904" s="115" t="str">
        <f t="shared" ref="J904:J915" si="152">IF(K904="EQ",TRUNC(F904*G904,2),"")</f>
        <v/>
      </c>
      <c r="K904" s="102" t="str">
        <f>IF(A904&amp;B904="","",VLOOKUP(A904&amp;B904,INSUMOS!C:G,5,0))</f>
        <v>MO</v>
      </c>
    </row>
    <row r="905" spans="1:17" ht="15" x14ac:dyDescent="0.25">
      <c r="A905" s="109" t="s">
        <v>4398</v>
      </c>
      <c r="B905" s="116">
        <v>10126</v>
      </c>
      <c r="C905" s="518" t="str">
        <f>IF(A905&amp;B905="","",VLOOKUP(A905&amp;B905,INSUMOS!C:G,2,0))</f>
        <v>Jardineiro</v>
      </c>
      <c r="D905" s="519"/>
      <c r="E905" s="117" t="str">
        <f>IF(A905&amp;B905="","",VLOOKUP(A905&amp;B905,INSUMOS!C:G,3,0))</f>
        <v>h</v>
      </c>
      <c r="F905" s="118">
        <v>0.5</v>
      </c>
      <c r="G905" s="113">
        <f>IF(A905&amp;B905="","",VLOOKUP(A905&amp;B905,INSUMOS!C:G,4,0))</f>
        <v>12.07574</v>
      </c>
      <c r="H905" s="119">
        <f t="shared" si="150"/>
        <v>6.03</v>
      </c>
      <c r="I905" s="119" t="str">
        <f t="shared" si="151"/>
        <v/>
      </c>
      <c r="J905" s="115" t="str">
        <f t="shared" si="152"/>
        <v/>
      </c>
      <c r="K905" s="102" t="str">
        <f>IF(A905&amp;B905="","",VLOOKUP(A905&amp;B905,INSUMOS!C:G,5,0))</f>
        <v>MO</v>
      </c>
    </row>
    <row r="906" spans="1:17" ht="15" x14ac:dyDescent="0.25">
      <c r="A906" s="109" t="s">
        <v>4398</v>
      </c>
      <c r="B906" s="116">
        <v>38511</v>
      </c>
      <c r="C906" s="518" t="str">
        <f>IF(A906&amp;B906="","",VLOOKUP(A906&amp;B906,INSUMOS!C:G,2,0))</f>
        <v>Terra vegetal orgânica comum</v>
      </c>
      <c r="D906" s="519"/>
      <c r="E906" s="117" t="str">
        <f>IF(A906&amp;B906="","",VLOOKUP(A906&amp;B906,INSUMOS!C:G,3,0))</f>
        <v>m³</v>
      </c>
      <c r="F906" s="118">
        <v>0.1</v>
      </c>
      <c r="G906" s="113">
        <f>IF(A906&amp;B906="","",VLOOKUP(A906&amp;B906,INSUMOS!C:G,4,0))</f>
        <v>92.46</v>
      </c>
      <c r="H906" s="119" t="str">
        <f t="shared" si="150"/>
        <v/>
      </c>
      <c r="I906" s="119">
        <f t="shared" si="151"/>
        <v>9.24</v>
      </c>
      <c r="J906" s="115" t="str">
        <f t="shared" si="152"/>
        <v/>
      </c>
      <c r="K906" s="102" t="str">
        <f>IF(A906&amp;B906="","",VLOOKUP(A906&amp;B906,INSUMOS!C:G,5,0))</f>
        <v>MT</v>
      </c>
    </row>
    <row r="907" spans="1:17" ht="15" x14ac:dyDescent="0.25">
      <c r="A907" s="109"/>
      <c r="B907" s="116"/>
      <c r="C907" s="518" t="str">
        <f>IF(A907&amp;B907="","",VLOOKUP(A907&amp;B907,INSUMOS!C:G,2,0))</f>
        <v/>
      </c>
      <c r="D907" s="519"/>
      <c r="E907" s="117" t="str">
        <f>IF(A907&amp;B907="","",VLOOKUP(A907&amp;B907,INSUMOS!C:G,3,0))</f>
        <v/>
      </c>
      <c r="F907" s="118"/>
      <c r="G907" s="113" t="str">
        <f>IF(A907&amp;B907="","",VLOOKUP(A907&amp;B907,INSUMOS!C:G,4,0))</f>
        <v/>
      </c>
      <c r="H907" s="119" t="str">
        <f t="shared" si="150"/>
        <v/>
      </c>
      <c r="I907" s="119" t="str">
        <f t="shared" si="151"/>
        <v/>
      </c>
      <c r="J907" s="115" t="str">
        <f t="shared" si="152"/>
        <v/>
      </c>
      <c r="K907" s="102" t="str">
        <f>IF(A907&amp;B907="","",VLOOKUP(A907&amp;B907,INSUMOS!C:G,5,0))</f>
        <v/>
      </c>
    </row>
    <row r="908" spans="1:17" ht="15" x14ac:dyDescent="0.25">
      <c r="A908" s="109"/>
      <c r="B908" s="116"/>
      <c r="C908" s="518" t="str">
        <f>IF(A908&amp;B908="","",VLOOKUP(A908&amp;B908,INSUMOS!C:G,2,0))</f>
        <v/>
      </c>
      <c r="D908" s="519"/>
      <c r="E908" s="117" t="str">
        <f>IF(A908&amp;B908="","",VLOOKUP(A908&amp;B908,INSUMOS!C:G,3,0))</f>
        <v/>
      </c>
      <c r="F908" s="118"/>
      <c r="G908" s="113" t="str">
        <f>IF(A908&amp;B908="","",VLOOKUP(A908&amp;B908,INSUMOS!C:G,4,0))</f>
        <v/>
      </c>
      <c r="H908" s="119" t="str">
        <f t="shared" si="150"/>
        <v/>
      </c>
      <c r="I908" s="119" t="str">
        <f t="shared" si="151"/>
        <v/>
      </c>
      <c r="J908" s="115" t="str">
        <f t="shared" si="152"/>
        <v/>
      </c>
      <c r="K908" s="102" t="str">
        <f>IF(A908&amp;B908="","",VLOOKUP(A908&amp;B908,INSUMOS!C:G,5,0))</f>
        <v/>
      </c>
    </row>
    <row r="909" spans="1:17" ht="15" x14ac:dyDescent="0.25">
      <c r="A909" s="109"/>
      <c r="B909" s="116"/>
      <c r="C909" s="518" t="str">
        <f>IF(A909&amp;B909="","",VLOOKUP(A909&amp;B909,INSUMOS!C:G,2,0))</f>
        <v/>
      </c>
      <c r="D909" s="519"/>
      <c r="E909" s="117" t="str">
        <f>IF(A909&amp;B909="","",VLOOKUP(A909&amp;B909,INSUMOS!C:G,3,0))</f>
        <v/>
      </c>
      <c r="F909" s="118"/>
      <c r="G909" s="113" t="str">
        <f>IF(A909&amp;B909="","",VLOOKUP(A909&amp;B909,INSUMOS!C:G,4,0))</f>
        <v/>
      </c>
      <c r="H909" s="119" t="str">
        <f t="shared" si="150"/>
        <v/>
      </c>
      <c r="I909" s="119" t="str">
        <f t="shared" si="151"/>
        <v/>
      </c>
      <c r="J909" s="115" t="str">
        <f t="shared" si="152"/>
        <v/>
      </c>
      <c r="K909" s="102" t="str">
        <f>IF(A909&amp;B909="","",VLOOKUP(A909&amp;B909,INSUMOS!C:G,5,0))</f>
        <v/>
      </c>
    </row>
    <row r="910" spans="1:17" ht="15" x14ac:dyDescent="0.25">
      <c r="A910" s="109"/>
      <c r="B910" s="116"/>
      <c r="C910" s="518" t="str">
        <f>IF(A910&amp;B910="","",VLOOKUP(A910&amp;B910,INSUMOS!C:G,2,0))</f>
        <v/>
      </c>
      <c r="D910" s="519"/>
      <c r="E910" s="117" t="str">
        <f>IF(A910&amp;B910="","",VLOOKUP(A910&amp;B910,INSUMOS!C:G,3,0))</f>
        <v/>
      </c>
      <c r="F910" s="118"/>
      <c r="G910" s="113" t="str">
        <f>IF(A910&amp;B910="","",VLOOKUP(A910&amp;B910,INSUMOS!C:G,4,0))</f>
        <v/>
      </c>
      <c r="H910" s="119" t="str">
        <f t="shared" si="150"/>
        <v/>
      </c>
      <c r="I910" s="119" t="str">
        <f t="shared" si="151"/>
        <v/>
      </c>
      <c r="J910" s="115" t="str">
        <f t="shared" si="152"/>
        <v/>
      </c>
      <c r="K910" s="102" t="str">
        <f>IF(A910&amp;B910="","",VLOOKUP(A910&amp;B910,INSUMOS!C:G,5,0))</f>
        <v/>
      </c>
    </row>
    <row r="911" spans="1:17" ht="15" x14ac:dyDescent="0.25">
      <c r="A911" s="109"/>
      <c r="B911" s="116"/>
      <c r="C911" s="518" t="str">
        <f>IF(A911&amp;B911="","",VLOOKUP(A911&amp;B911,INSUMOS!C:G,2,0))</f>
        <v/>
      </c>
      <c r="D911" s="519"/>
      <c r="E911" s="117" t="str">
        <f>IF(A911&amp;B911="","",VLOOKUP(A911&amp;B911,INSUMOS!C:G,3,0))</f>
        <v/>
      </c>
      <c r="F911" s="118"/>
      <c r="G911" s="113" t="str">
        <f>IF(A911&amp;B911="","",VLOOKUP(A911&amp;B911,INSUMOS!C:G,4,0))</f>
        <v/>
      </c>
      <c r="H911" s="119" t="str">
        <f t="shared" si="150"/>
        <v/>
      </c>
      <c r="I911" s="119" t="str">
        <f t="shared" si="151"/>
        <v/>
      </c>
      <c r="J911" s="115" t="str">
        <f t="shared" si="152"/>
        <v/>
      </c>
      <c r="K911" s="102" t="str">
        <f>IF(A911&amp;B911="","",VLOOKUP(A911&amp;B911,INSUMOS!C:G,5,0))</f>
        <v/>
      </c>
    </row>
    <row r="912" spans="1:17" ht="15" x14ac:dyDescent="0.25">
      <c r="A912" s="109"/>
      <c r="B912" s="116"/>
      <c r="C912" s="518" t="str">
        <f>IF(A912&amp;B912="","",VLOOKUP(A912&amp;B912,INSUMOS!C:G,2,0))</f>
        <v/>
      </c>
      <c r="D912" s="519"/>
      <c r="E912" s="117" t="str">
        <f>IF(A912&amp;B912="","",VLOOKUP(A912&amp;B912,INSUMOS!C:G,3,0))</f>
        <v/>
      </c>
      <c r="F912" s="118"/>
      <c r="G912" s="113" t="str">
        <f>IF(A912&amp;B912="","",VLOOKUP(A912&amp;B912,INSUMOS!C:G,4,0))</f>
        <v/>
      </c>
      <c r="H912" s="119" t="str">
        <f t="shared" si="150"/>
        <v/>
      </c>
      <c r="I912" s="119" t="str">
        <f t="shared" si="151"/>
        <v/>
      </c>
      <c r="J912" s="115" t="str">
        <f t="shared" si="152"/>
        <v/>
      </c>
      <c r="K912" s="102" t="str">
        <f>IF(A912&amp;B912="","",VLOOKUP(A912&amp;B912,INSUMOS!C:G,5,0))</f>
        <v/>
      </c>
    </row>
    <row r="913" spans="1:17" ht="15" x14ac:dyDescent="0.25">
      <c r="A913" s="120"/>
      <c r="B913" s="121"/>
      <c r="C913" s="518" t="str">
        <f>IF(A913&amp;B913="","",VLOOKUP(A913&amp;B913,INSUMOS!C:G,2,0))</f>
        <v/>
      </c>
      <c r="D913" s="519"/>
      <c r="E913" s="117" t="str">
        <f>IF(A913&amp;B913="","",VLOOKUP(A913&amp;B913,INSUMOS!C:G,3,0))</f>
        <v/>
      </c>
      <c r="F913" s="118"/>
      <c r="G913" s="122" t="str">
        <f>IF(A913&amp;B913="","",VLOOKUP(A913&amp;B913,INSUMOS!C:G,4,0))</f>
        <v/>
      </c>
      <c r="H913" s="119" t="str">
        <f t="shared" si="150"/>
        <v/>
      </c>
      <c r="I913" s="119" t="str">
        <f t="shared" si="151"/>
        <v/>
      </c>
      <c r="J913" s="115" t="str">
        <f t="shared" si="152"/>
        <v/>
      </c>
      <c r="K913" s="102" t="str">
        <f>IF(A913&amp;B913="","",VLOOKUP(A913&amp;B913,INSUMOS!C:G,5,0))</f>
        <v/>
      </c>
    </row>
    <row r="914" spans="1:17" ht="15" x14ac:dyDescent="0.25">
      <c r="A914" s="120"/>
      <c r="B914" s="121"/>
      <c r="C914" s="518" t="str">
        <f>IF(A914&amp;B914="","",VLOOKUP(A914&amp;B914,INSUMOS!C:G,2,0))</f>
        <v/>
      </c>
      <c r="D914" s="519"/>
      <c r="E914" s="117" t="str">
        <f>IF(A914&amp;B914="","",VLOOKUP(A914&amp;B914,INSUMOS!C:G,3,0))</f>
        <v/>
      </c>
      <c r="F914" s="118"/>
      <c r="G914" s="122" t="str">
        <f>IF(A914&amp;B914="","",VLOOKUP(A914&amp;B914,INSUMOS!C:G,4,0))</f>
        <v/>
      </c>
      <c r="H914" s="119" t="str">
        <f t="shared" si="150"/>
        <v/>
      </c>
      <c r="I914" s="119" t="str">
        <f t="shared" si="151"/>
        <v/>
      </c>
      <c r="J914" s="115" t="str">
        <f t="shared" si="152"/>
        <v/>
      </c>
      <c r="K914" s="102" t="str">
        <f>IF(A914&amp;B914="","",VLOOKUP(A914&amp;B914,INSUMOS!C:G,5,0))</f>
        <v/>
      </c>
    </row>
    <row r="915" spans="1:17" ht="15" x14ac:dyDescent="0.25">
      <c r="A915" s="120"/>
      <c r="B915" s="121"/>
      <c r="C915" s="518" t="str">
        <f>IF(A915&amp;B915="","",VLOOKUP(A915&amp;B915,INSUMOS!C:G,2,0))</f>
        <v/>
      </c>
      <c r="D915" s="519"/>
      <c r="E915" s="117" t="str">
        <f>IF(A915&amp;B915="","",VLOOKUP(A915&amp;B915,INSUMOS!C:G,3,0))</f>
        <v/>
      </c>
      <c r="F915" s="118"/>
      <c r="G915" s="122" t="str">
        <f>IF(A915&amp;B915="","",VLOOKUP(A915&amp;B915,INSUMOS!C:G,4,0))</f>
        <v/>
      </c>
      <c r="H915" s="119" t="str">
        <f t="shared" si="150"/>
        <v/>
      </c>
      <c r="I915" s="119" t="str">
        <f t="shared" si="151"/>
        <v/>
      </c>
      <c r="J915" s="115" t="str">
        <f t="shared" si="152"/>
        <v/>
      </c>
      <c r="K915" s="102" t="str">
        <f>IF(A915&amp;B915="","",VLOOKUP(A915&amp;B915,INSUMOS!C:G,5,0))</f>
        <v/>
      </c>
    </row>
    <row r="916" spans="1:17" ht="15" x14ac:dyDescent="0.25">
      <c r="A916" s="123" t="s">
        <v>4399</v>
      </c>
      <c r="B916" s="520"/>
      <c r="C916" s="520"/>
      <c r="D916" s="520"/>
      <c r="E916" s="520"/>
      <c r="F916" s="521"/>
      <c r="G916" s="124" t="s">
        <v>50</v>
      </c>
      <c r="H916" s="125">
        <f>SUM(H903:H915)</f>
        <v>17.260000000000002</v>
      </c>
      <c r="I916" s="125">
        <f>SUM(I903:I915)</f>
        <v>114.03</v>
      </c>
      <c r="J916" s="126">
        <f>SUM(J903:J915)</f>
        <v>0</v>
      </c>
    </row>
    <row r="917" spans="1:17" ht="15" x14ac:dyDescent="0.25">
      <c r="A917" s="127" t="s">
        <v>4400</v>
      </c>
      <c r="B917" s="128"/>
      <c r="C917" s="128"/>
      <c r="D917" s="127" t="s">
        <v>51</v>
      </c>
      <c r="E917" s="128"/>
      <c r="F917" s="129"/>
      <c r="G917" s="130" t="s">
        <v>55</v>
      </c>
      <c r="H917" s="131" t="s">
        <v>52</v>
      </c>
      <c r="I917" s="132"/>
      <c r="J917" s="125">
        <f>SUM(H916:J916)</f>
        <v>131.29</v>
      </c>
    </row>
    <row r="918" spans="1:17" ht="15" x14ac:dyDescent="0.25">
      <c r="A918" s="313" t="str">
        <f>$I$3</f>
        <v>Carlos Wieck</v>
      </c>
      <c r="B918" s="133"/>
      <c r="C918" s="133"/>
      <c r="D918" s="134"/>
      <c r="E918" s="133"/>
      <c r="F918" s="135"/>
      <c r="G918" s="522">
        <f>$J$5</f>
        <v>43040</v>
      </c>
      <c r="H918" s="136" t="s">
        <v>53</v>
      </c>
      <c r="I918" s="137"/>
      <c r="J918" s="125">
        <f>TRUNC(I918*J917,2)</f>
        <v>0</v>
      </c>
    </row>
    <row r="919" spans="1:17" ht="15" x14ac:dyDescent="0.25">
      <c r="A919" s="138"/>
      <c r="B919" s="139"/>
      <c r="C919" s="139"/>
      <c r="D919" s="138"/>
      <c r="E919" s="139"/>
      <c r="F919" s="140"/>
      <c r="G919" s="523"/>
      <c r="H919" s="141" t="s">
        <v>54</v>
      </c>
      <c r="I919" s="142"/>
      <c r="J919" s="143">
        <f>J918+J917</f>
        <v>131.29</v>
      </c>
      <c r="L919" s="102" t="str">
        <f>A900</f>
        <v>COMPOSIÇÃO</v>
      </c>
      <c r="M919" s="144" t="str">
        <f>B900</f>
        <v>FF-031</v>
      </c>
      <c r="N919" s="102" t="str">
        <f>L919&amp;M919</f>
        <v>COMPOSIÇÃOFF-031</v>
      </c>
      <c r="O919" s="103" t="str">
        <f>D899</f>
        <v>Fornecimento e plantio de Hibiscus pernambucensis - Algodão da praia</v>
      </c>
      <c r="P919" s="145" t="str">
        <f>J900</f>
        <v>un</v>
      </c>
      <c r="Q919" s="145">
        <f>J919</f>
        <v>131.29</v>
      </c>
    </row>
    <row r="920" spans="1:17" ht="15" customHeight="1" x14ac:dyDescent="0.25">
      <c r="A920" s="524" t="s">
        <v>40</v>
      </c>
      <c r="B920" s="525"/>
      <c r="C920" s="104" t="s">
        <v>41</v>
      </c>
      <c r="D920" s="526" t="str">
        <f>IF(B921="","",VLOOKUP(B921,SERVIÇOS!B:E,3,0))</f>
        <v>Fornecimento e plantio de Schinus terebinthifolius - Aroeira da praia</v>
      </c>
      <c r="E920" s="526"/>
      <c r="F920" s="526"/>
      <c r="G920" s="526"/>
      <c r="H920" s="526"/>
      <c r="I920" s="527"/>
      <c r="J920" s="105" t="s">
        <v>42</v>
      </c>
    </row>
    <row r="921" spans="1:17" ht="15" x14ac:dyDescent="0.25">
      <c r="A921" s="230" t="s">
        <v>4715</v>
      </c>
      <c r="B921" s="230" t="s">
        <v>4911</v>
      </c>
      <c r="C921" s="106"/>
      <c r="D921" s="528"/>
      <c r="E921" s="528"/>
      <c r="F921" s="528"/>
      <c r="G921" s="528"/>
      <c r="H921" s="528"/>
      <c r="I921" s="529"/>
      <c r="J921" s="107" t="str">
        <f>IF(B921="","",VLOOKUP(B921,SERVIÇOS!B:E,4,0))</f>
        <v>un</v>
      </c>
    </row>
    <row r="922" spans="1:17" ht="15" x14ac:dyDescent="0.25">
      <c r="A922" s="530" t="s">
        <v>4397</v>
      </c>
      <c r="B922" s="531" t="s">
        <v>11</v>
      </c>
      <c r="C922" s="533" t="s">
        <v>43</v>
      </c>
      <c r="D922" s="534"/>
      <c r="E922" s="530" t="s">
        <v>13</v>
      </c>
      <c r="F922" s="530" t="s">
        <v>44</v>
      </c>
      <c r="G922" s="538" t="s">
        <v>45</v>
      </c>
      <c r="H922" s="108" t="s">
        <v>46</v>
      </c>
      <c r="I922" s="108"/>
      <c r="J922" s="108"/>
    </row>
    <row r="923" spans="1:17" ht="15" x14ac:dyDescent="0.25">
      <c r="A923" s="530"/>
      <c r="B923" s="532"/>
      <c r="C923" s="535"/>
      <c r="D923" s="536"/>
      <c r="E923" s="537"/>
      <c r="F923" s="537"/>
      <c r="G923" s="539"/>
      <c r="H923" s="108" t="s">
        <v>47</v>
      </c>
      <c r="I923" s="108" t="s">
        <v>48</v>
      </c>
      <c r="J923" s="108" t="s">
        <v>49</v>
      </c>
    </row>
    <row r="924" spans="1:17" ht="15" x14ac:dyDescent="0.25">
      <c r="A924" s="109" t="s">
        <v>4717</v>
      </c>
      <c r="B924" s="116" t="s">
        <v>4943</v>
      </c>
      <c r="C924" s="540" t="str">
        <f>IF(A924&amp;B924="","",VLOOKUP(A924&amp;B924,INSUMOS!C:G,2,0))</f>
        <v>Fornecimento e plantio de Schinus terebinthifolius - Aroeira da praia</v>
      </c>
      <c r="D924" s="541"/>
      <c r="E924" s="111" t="str">
        <f>IF(A924&amp;B924="","",VLOOKUP(A924&amp;B924,INSUMOS!C:G,3,0))</f>
        <v>un</v>
      </c>
      <c r="F924" s="112">
        <v>1</v>
      </c>
      <c r="G924" s="113">
        <f>IF(A924&amp;B924="","",VLOOKUP(A924&amp;B924,INSUMOS!C:G,4,0))</f>
        <v>91.816000000000003</v>
      </c>
      <c r="H924" s="114" t="str">
        <f>IF(K924="MO",TRUNC(F924*G924,2),"")</f>
        <v/>
      </c>
      <c r="I924" s="114">
        <f>IF(K924="MT",TRUNC(F924*G924,2),"")</f>
        <v>91.81</v>
      </c>
      <c r="J924" s="115" t="str">
        <f>IF(K924="EQ",TRUNC(F924*G924,2),"")</f>
        <v/>
      </c>
      <c r="K924" s="102" t="str">
        <f>IF(A924&amp;B924="","",VLOOKUP(A924&amp;B924,INSUMOS!C:G,5,0))</f>
        <v>MT</v>
      </c>
    </row>
    <row r="925" spans="1:17" ht="15" x14ac:dyDescent="0.25">
      <c r="A925" s="109" t="s">
        <v>4398</v>
      </c>
      <c r="B925" s="116">
        <v>10101</v>
      </c>
      <c r="C925" s="518" t="str">
        <f>IF(A925&amp;B925="","",VLOOKUP(A925&amp;B925,INSUMOS!C:G,2,0))</f>
        <v>Ajudante geral</v>
      </c>
      <c r="D925" s="519"/>
      <c r="E925" s="117" t="str">
        <f>IF(A925&amp;B925="","",VLOOKUP(A925&amp;B925,INSUMOS!C:G,3,0))</f>
        <v>h</v>
      </c>
      <c r="F925" s="118">
        <v>1</v>
      </c>
      <c r="G925" s="113">
        <f>IF(A925&amp;B925="","",VLOOKUP(A925&amp;B925,INSUMOS!C:G,4,0))</f>
        <v>11.238228999999999</v>
      </c>
      <c r="H925" s="119">
        <f t="shared" ref="H925:H936" si="153">IF(K925="MO",TRUNC(F925*G925,2),"")</f>
        <v>11.23</v>
      </c>
      <c r="I925" s="119" t="str">
        <f t="shared" ref="I925:I936" si="154">IF(K925="MT",TRUNC(F925*G925,2),"")</f>
        <v/>
      </c>
      <c r="J925" s="115" t="str">
        <f t="shared" ref="J925:J936" si="155">IF(K925="EQ",TRUNC(F925*G925,2),"")</f>
        <v/>
      </c>
      <c r="K925" s="102" t="str">
        <f>IF(A925&amp;B925="","",VLOOKUP(A925&amp;B925,INSUMOS!C:G,5,0))</f>
        <v>MO</v>
      </c>
    </row>
    <row r="926" spans="1:17" ht="15" x14ac:dyDescent="0.25">
      <c r="A926" s="109" t="s">
        <v>4398</v>
      </c>
      <c r="B926" s="116">
        <v>10126</v>
      </c>
      <c r="C926" s="518" t="str">
        <f>IF(A926&amp;B926="","",VLOOKUP(A926&amp;B926,INSUMOS!C:G,2,0))</f>
        <v>Jardineiro</v>
      </c>
      <c r="D926" s="519"/>
      <c r="E926" s="117" t="str">
        <f>IF(A926&amp;B926="","",VLOOKUP(A926&amp;B926,INSUMOS!C:G,3,0))</f>
        <v>h</v>
      </c>
      <c r="F926" s="118">
        <v>0.5</v>
      </c>
      <c r="G926" s="113">
        <f>IF(A926&amp;B926="","",VLOOKUP(A926&amp;B926,INSUMOS!C:G,4,0))</f>
        <v>12.07574</v>
      </c>
      <c r="H926" s="119">
        <f t="shared" si="153"/>
        <v>6.03</v>
      </c>
      <c r="I926" s="119" t="str">
        <f t="shared" si="154"/>
        <v/>
      </c>
      <c r="J926" s="115" t="str">
        <f t="shared" si="155"/>
        <v/>
      </c>
      <c r="K926" s="102" t="str">
        <f>IF(A926&amp;B926="","",VLOOKUP(A926&amp;B926,INSUMOS!C:G,5,0))</f>
        <v>MO</v>
      </c>
    </row>
    <row r="927" spans="1:17" ht="15" x14ac:dyDescent="0.25">
      <c r="A927" s="109" t="s">
        <v>4398</v>
      </c>
      <c r="B927" s="116">
        <v>38511</v>
      </c>
      <c r="C927" s="518" t="str">
        <f>IF(A927&amp;B927="","",VLOOKUP(A927&amp;B927,INSUMOS!C:G,2,0))</f>
        <v>Terra vegetal orgânica comum</v>
      </c>
      <c r="D927" s="519"/>
      <c r="E927" s="117" t="str">
        <f>IF(A927&amp;B927="","",VLOOKUP(A927&amp;B927,INSUMOS!C:G,3,0))</f>
        <v>m³</v>
      </c>
      <c r="F927" s="118">
        <v>0.1</v>
      </c>
      <c r="G927" s="113">
        <f>IF(A927&amp;B927="","",VLOOKUP(A927&amp;B927,INSUMOS!C:G,4,0))</f>
        <v>92.46</v>
      </c>
      <c r="H927" s="119" t="str">
        <f t="shared" si="153"/>
        <v/>
      </c>
      <c r="I927" s="119">
        <f t="shared" si="154"/>
        <v>9.24</v>
      </c>
      <c r="J927" s="115" t="str">
        <f t="shared" si="155"/>
        <v/>
      </c>
      <c r="K927" s="102" t="str">
        <f>IF(A927&amp;B927="","",VLOOKUP(A927&amp;B927,INSUMOS!C:G,5,0))</f>
        <v>MT</v>
      </c>
    </row>
    <row r="928" spans="1:17" ht="15" x14ac:dyDescent="0.25">
      <c r="A928" s="109"/>
      <c r="B928" s="116"/>
      <c r="C928" s="518" t="str">
        <f>IF(A928&amp;B928="","",VLOOKUP(A928&amp;B928,INSUMOS!C:G,2,0))</f>
        <v/>
      </c>
      <c r="D928" s="519"/>
      <c r="E928" s="117" t="str">
        <f>IF(A928&amp;B928="","",VLOOKUP(A928&amp;B928,INSUMOS!C:G,3,0))</f>
        <v/>
      </c>
      <c r="F928" s="118"/>
      <c r="G928" s="113" t="str">
        <f>IF(A928&amp;B928="","",VLOOKUP(A928&amp;B928,INSUMOS!C:G,4,0))</f>
        <v/>
      </c>
      <c r="H928" s="119" t="str">
        <f t="shared" si="153"/>
        <v/>
      </c>
      <c r="I928" s="119" t="str">
        <f t="shared" si="154"/>
        <v/>
      </c>
      <c r="J928" s="115" t="str">
        <f t="shared" si="155"/>
        <v/>
      </c>
      <c r="K928" s="102" t="str">
        <f>IF(A928&amp;B928="","",VLOOKUP(A928&amp;B928,INSUMOS!C:G,5,0))</f>
        <v/>
      </c>
    </row>
    <row r="929" spans="1:17" ht="15" x14ac:dyDescent="0.25">
      <c r="A929" s="109"/>
      <c r="B929" s="116"/>
      <c r="C929" s="518" t="str">
        <f>IF(A929&amp;B929="","",VLOOKUP(A929&amp;B929,INSUMOS!C:G,2,0))</f>
        <v/>
      </c>
      <c r="D929" s="519"/>
      <c r="E929" s="117" t="str">
        <f>IF(A929&amp;B929="","",VLOOKUP(A929&amp;B929,INSUMOS!C:G,3,0))</f>
        <v/>
      </c>
      <c r="F929" s="118"/>
      <c r="G929" s="113" t="str">
        <f>IF(A929&amp;B929="","",VLOOKUP(A929&amp;B929,INSUMOS!C:G,4,0))</f>
        <v/>
      </c>
      <c r="H929" s="119" t="str">
        <f t="shared" si="153"/>
        <v/>
      </c>
      <c r="I929" s="119" t="str">
        <f t="shared" si="154"/>
        <v/>
      </c>
      <c r="J929" s="115" t="str">
        <f t="shared" si="155"/>
        <v/>
      </c>
      <c r="K929" s="102" t="str">
        <f>IF(A929&amp;B929="","",VLOOKUP(A929&amp;B929,INSUMOS!C:G,5,0))</f>
        <v/>
      </c>
    </row>
    <row r="930" spans="1:17" ht="15" x14ac:dyDescent="0.25">
      <c r="A930" s="109"/>
      <c r="B930" s="116"/>
      <c r="C930" s="518" t="str">
        <f>IF(A930&amp;B930="","",VLOOKUP(A930&amp;B930,INSUMOS!C:G,2,0))</f>
        <v/>
      </c>
      <c r="D930" s="519"/>
      <c r="E930" s="117" t="str">
        <f>IF(A930&amp;B930="","",VLOOKUP(A930&amp;B930,INSUMOS!C:G,3,0))</f>
        <v/>
      </c>
      <c r="F930" s="118"/>
      <c r="G930" s="113" t="str">
        <f>IF(A930&amp;B930="","",VLOOKUP(A930&amp;B930,INSUMOS!C:G,4,0))</f>
        <v/>
      </c>
      <c r="H930" s="119" t="str">
        <f t="shared" si="153"/>
        <v/>
      </c>
      <c r="I930" s="119" t="str">
        <f t="shared" si="154"/>
        <v/>
      </c>
      <c r="J930" s="115" t="str">
        <f t="shared" si="155"/>
        <v/>
      </c>
      <c r="K930" s="102" t="str">
        <f>IF(A930&amp;B930="","",VLOOKUP(A930&amp;B930,INSUMOS!C:G,5,0))</f>
        <v/>
      </c>
    </row>
    <row r="931" spans="1:17" ht="15" x14ac:dyDescent="0.25">
      <c r="A931" s="109"/>
      <c r="B931" s="116"/>
      <c r="C931" s="518" t="str">
        <f>IF(A931&amp;B931="","",VLOOKUP(A931&amp;B931,INSUMOS!C:G,2,0))</f>
        <v/>
      </c>
      <c r="D931" s="519"/>
      <c r="E931" s="117" t="str">
        <f>IF(A931&amp;B931="","",VLOOKUP(A931&amp;B931,INSUMOS!C:G,3,0))</f>
        <v/>
      </c>
      <c r="F931" s="118"/>
      <c r="G931" s="113" t="str">
        <f>IF(A931&amp;B931="","",VLOOKUP(A931&amp;B931,INSUMOS!C:G,4,0))</f>
        <v/>
      </c>
      <c r="H931" s="119" t="str">
        <f t="shared" si="153"/>
        <v/>
      </c>
      <c r="I931" s="119" t="str">
        <f t="shared" si="154"/>
        <v/>
      </c>
      <c r="J931" s="115" t="str">
        <f t="shared" si="155"/>
        <v/>
      </c>
      <c r="K931" s="102" t="str">
        <f>IF(A931&amp;B931="","",VLOOKUP(A931&amp;B931,INSUMOS!C:G,5,0))</f>
        <v/>
      </c>
    </row>
    <row r="932" spans="1:17" ht="15" x14ac:dyDescent="0.25">
      <c r="A932" s="109"/>
      <c r="B932" s="116"/>
      <c r="C932" s="518" t="str">
        <f>IF(A932&amp;B932="","",VLOOKUP(A932&amp;B932,INSUMOS!C:G,2,0))</f>
        <v/>
      </c>
      <c r="D932" s="519"/>
      <c r="E932" s="117" t="str">
        <f>IF(A932&amp;B932="","",VLOOKUP(A932&amp;B932,INSUMOS!C:G,3,0))</f>
        <v/>
      </c>
      <c r="F932" s="118"/>
      <c r="G932" s="113" t="str">
        <f>IF(A932&amp;B932="","",VLOOKUP(A932&amp;B932,INSUMOS!C:G,4,0))</f>
        <v/>
      </c>
      <c r="H932" s="119" t="str">
        <f t="shared" si="153"/>
        <v/>
      </c>
      <c r="I932" s="119" t="str">
        <f t="shared" si="154"/>
        <v/>
      </c>
      <c r="J932" s="115" t="str">
        <f t="shared" si="155"/>
        <v/>
      </c>
      <c r="K932" s="102" t="str">
        <f>IF(A932&amp;B932="","",VLOOKUP(A932&amp;B932,INSUMOS!C:G,5,0))</f>
        <v/>
      </c>
    </row>
    <row r="933" spans="1:17" ht="15" x14ac:dyDescent="0.25">
      <c r="A933" s="109"/>
      <c r="B933" s="116"/>
      <c r="C933" s="518" t="str">
        <f>IF(A933&amp;B933="","",VLOOKUP(A933&amp;B933,INSUMOS!C:G,2,0))</f>
        <v/>
      </c>
      <c r="D933" s="519"/>
      <c r="E933" s="117" t="str">
        <f>IF(A933&amp;B933="","",VLOOKUP(A933&amp;B933,INSUMOS!C:G,3,0))</f>
        <v/>
      </c>
      <c r="F933" s="118"/>
      <c r="G933" s="113" t="str">
        <f>IF(A933&amp;B933="","",VLOOKUP(A933&amp;B933,INSUMOS!C:G,4,0))</f>
        <v/>
      </c>
      <c r="H933" s="119" t="str">
        <f t="shared" si="153"/>
        <v/>
      </c>
      <c r="I933" s="119" t="str">
        <f t="shared" si="154"/>
        <v/>
      </c>
      <c r="J933" s="115" t="str">
        <f t="shared" si="155"/>
        <v/>
      </c>
      <c r="K933" s="102" t="str">
        <f>IF(A933&amp;B933="","",VLOOKUP(A933&amp;B933,INSUMOS!C:G,5,0))</f>
        <v/>
      </c>
    </row>
    <row r="934" spans="1:17" ht="15" x14ac:dyDescent="0.25">
      <c r="A934" s="120"/>
      <c r="B934" s="121"/>
      <c r="C934" s="518" t="str">
        <f>IF(A934&amp;B934="","",VLOOKUP(A934&amp;B934,INSUMOS!C:G,2,0))</f>
        <v/>
      </c>
      <c r="D934" s="519"/>
      <c r="E934" s="117" t="str">
        <f>IF(A934&amp;B934="","",VLOOKUP(A934&amp;B934,INSUMOS!C:G,3,0))</f>
        <v/>
      </c>
      <c r="F934" s="118"/>
      <c r="G934" s="122" t="str">
        <f>IF(A934&amp;B934="","",VLOOKUP(A934&amp;B934,INSUMOS!C:G,4,0))</f>
        <v/>
      </c>
      <c r="H934" s="119" t="str">
        <f t="shared" si="153"/>
        <v/>
      </c>
      <c r="I934" s="119" t="str">
        <f t="shared" si="154"/>
        <v/>
      </c>
      <c r="J934" s="115" t="str">
        <f t="shared" si="155"/>
        <v/>
      </c>
      <c r="K934" s="102" t="str">
        <f>IF(A934&amp;B934="","",VLOOKUP(A934&amp;B934,INSUMOS!C:G,5,0))</f>
        <v/>
      </c>
    </row>
    <row r="935" spans="1:17" ht="15" x14ac:dyDescent="0.25">
      <c r="A935" s="120"/>
      <c r="B935" s="121"/>
      <c r="C935" s="518" t="str">
        <f>IF(A935&amp;B935="","",VLOOKUP(A935&amp;B935,INSUMOS!C:G,2,0))</f>
        <v/>
      </c>
      <c r="D935" s="519"/>
      <c r="E935" s="117" t="str">
        <f>IF(A935&amp;B935="","",VLOOKUP(A935&amp;B935,INSUMOS!C:G,3,0))</f>
        <v/>
      </c>
      <c r="F935" s="118"/>
      <c r="G935" s="122" t="str">
        <f>IF(A935&amp;B935="","",VLOOKUP(A935&amp;B935,INSUMOS!C:G,4,0))</f>
        <v/>
      </c>
      <c r="H935" s="119" t="str">
        <f t="shared" si="153"/>
        <v/>
      </c>
      <c r="I935" s="119" t="str">
        <f t="shared" si="154"/>
        <v/>
      </c>
      <c r="J935" s="115" t="str">
        <f t="shared" si="155"/>
        <v/>
      </c>
      <c r="K935" s="102" t="str">
        <f>IF(A935&amp;B935="","",VLOOKUP(A935&amp;B935,INSUMOS!C:G,5,0))</f>
        <v/>
      </c>
    </row>
    <row r="936" spans="1:17" ht="15" x14ac:dyDescent="0.25">
      <c r="A936" s="120"/>
      <c r="B936" s="121"/>
      <c r="C936" s="518" t="str">
        <f>IF(A936&amp;B936="","",VLOOKUP(A936&amp;B936,INSUMOS!C:G,2,0))</f>
        <v/>
      </c>
      <c r="D936" s="519"/>
      <c r="E936" s="117" t="str">
        <f>IF(A936&amp;B936="","",VLOOKUP(A936&amp;B936,INSUMOS!C:G,3,0))</f>
        <v/>
      </c>
      <c r="F936" s="118"/>
      <c r="G936" s="122" t="str">
        <f>IF(A936&amp;B936="","",VLOOKUP(A936&amp;B936,INSUMOS!C:G,4,0))</f>
        <v/>
      </c>
      <c r="H936" s="119" t="str">
        <f t="shared" si="153"/>
        <v/>
      </c>
      <c r="I936" s="119" t="str">
        <f t="shared" si="154"/>
        <v/>
      </c>
      <c r="J936" s="115" t="str">
        <f t="shared" si="155"/>
        <v/>
      </c>
      <c r="K936" s="102" t="str">
        <f>IF(A936&amp;B936="","",VLOOKUP(A936&amp;B936,INSUMOS!C:G,5,0))</f>
        <v/>
      </c>
    </row>
    <row r="937" spans="1:17" ht="15" x14ac:dyDescent="0.25">
      <c r="A937" s="123" t="s">
        <v>4399</v>
      </c>
      <c r="B937" s="520"/>
      <c r="C937" s="520"/>
      <c r="D937" s="520"/>
      <c r="E937" s="520"/>
      <c r="F937" s="521"/>
      <c r="G937" s="124" t="s">
        <v>50</v>
      </c>
      <c r="H937" s="125">
        <f>SUM(H924:H936)</f>
        <v>17.260000000000002</v>
      </c>
      <c r="I937" s="125">
        <f>SUM(I924:I936)</f>
        <v>101.05</v>
      </c>
      <c r="J937" s="126">
        <f>SUM(J924:J936)</f>
        <v>0</v>
      </c>
    </row>
    <row r="938" spans="1:17" ht="15" x14ac:dyDescent="0.25">
      <c r="A938" s="127" t="s">
        <v>4400</v>
      </c>
      <c r="B938" s="128"/>
      <c r="C938" s="128"/>
      <c r="D938" s="127" t="s">
        <v>51</v>
      </c>
      <c r="E938" s="128"/>
      <c r="F938" s="129"/>
      <c r="G938" s="130" t="s">
        <v>55</v>
      </c>
      <c r="H938" s="131" t="s">
        <v>52</v>
      </c>
      <c r="I938" s="132"/>
      <c r="J938" s="125">
        <f>SUM(H937:J937)</f>
        <v>118.31</v>
      </c>
    </row>
    <row r="939" spans="1:17" ht="15" x14ac:dyDescent="0.25">
      <c r="A939" s="313" t="str">
        <f>$I$3</f>
        <v>Carlos Wieck</v>
      </c>
      <c r="B939" s="133"/>
      <c r="C939" s="133"/>
      <c r="D939" s="134"/>
      <c r="E939" s="133"/>
      <c r="F939" s="135"/>
      <c r="G939" s="522">
        <f>$J$5</f>
        <v>43040</v>
      </c>
      <c r="H939" s="136" t="s">
        <v>53</v>
      </c>
      <c r="I939" s="137"/>
      <c r="J939" s="125">
        <f>TRUNC(I939*J938,2)</f>
        <v>0</v>
      </c>
    </row>
    <row r="940" spans="1:17" ht="15" x14ac:dyDescent="0.25">
      <c r="A940" s="138"/>
      <c r="B940" s="139"/>
      <c r="C940" s="139"/>
      <c r="D940" s="138"/>
      <c r="E940" s="139"/>
      <c r="F940" s="140"/>
      <c r="G940" s="523"/>
      <c r="H940" s="141" t="s">
        <v>54</v>
      </c>
      <c r="I940" s="142"/>
      <c r="J940" s="143">
        <f>J939+J938</f>
        <v>118.31</v>
      </c>
      <c r="L940" s="102" t="str">
        <f>A921</f>
        <v>COMPOSIÇÃO</v>
      </c>
      <c r="M940" s="144" t="str">
        <f>B921</f>
        <v>FF-032</v>
      </c>
      <c r="N940" s="102" t="str">
        <f>L940&amp;M940</f>
        <v>COMPOSIÇÃOFF-032</v>
      </c>
      <c r="O940" s="103" t="str">
        <f>D920</f>
        <v>Fornecimento e plantio de Schinus terebinthifolius - Aroeira da praia</v>
      </c>
      <c r="P940" s="145" t="str">
        <f>J921</f>
        <v>un</v>
      </c>
      <c r="Q940" s="145">
        <f>J940</f>
        <v>118.31</v>
      </c>
    </row>
    <row r="941" spans="1:17" ht="15" customHeight="1" x14ac:dyDescent="0.25">
      <c r="A941" s="524" t="s">
        <v>40</v>
      </c>
      <c r="B941" s="525"/>
      <c r="C941" s="104" t="s">
        <v>41</v>
      </c>
      <c r="D941" s="526" t="str">
        <f>IF(B942="","",VLOOKUP(B942,SERVIÇOS!B:E,3,0))</f>
        <v>Fornecimento e plantio de Tabebuia cassinoides - Caixeta</v>
      </c>
      <c r="E941" s="526"/>
      <c r="F941" s="526"/>
      <c r="G941" s="526"/>
      <c r="H941" s="526"/>
      <c r="I941" s="527"/>
      <c r="J941" s="105" t="s">
        <v>42</v>
      </c>
    </row>
    <row r="942" spans="1:17" ht="15" x14ac:dyDescent="0.25">
      <c r="A942" s="230" t="s">
        <v>4715</v>
      </c>
      <c r="B942" s="230" t="s">
        <v>4912</v>
      </c>
      <c r="C942" s="106"/>
      <c r="D942" s="528"/>
      <c r="E942" s="528"/>
      <c r="F942" s="528"/>
      <c r="G942" s="528"/>
      <c r="H942" s="528"/>
      <c r="I942" s="529"/>
      <c r="J942" s="107" t="str">
        <f>IF(B942="","",VLOOKUP(B942,SERVIÇOS!B:E,4,0))</f>
        <v>un</v>
      </c>
    </row>
    <row r="943" spans="1:17" ht="15" x14ac:dyDescent="0.25">
      <c r="A943" s="530" t="s">
        <v>4397</v>
      </c>
      <c r="B943" s="531" t="s">
        <v>11</v>
      </c>
      <c r="C943" s="533" t="s">
        <v>43</v>
      </c>
      <c r="D943" s="534"/>
      <c r="E943" s="530" t="s">
        <v>13</v>
      </c>
      <c r="F943" s="530" t="s">
        <v>44</v>
      </c>
      <c r="G943" s="538" t="s">
        <v>45</v>
      </c>
      <c r="H943" s="108" t="s">
        <v>46</v>
      </c>
      <c r="I943" s="108"/>
      <c r="J943" s="108"/>
    </row>
    <row r="944" spans="1:17" ht="15" x14ac:dyDescent="0.25">
      <c r="A944" s="530"/>
      <c r="B944" s="532"/>
      <c r="C944" s="535"/>
      <c r="D944" s="536"/>
      <c r="E944" s="537"/>
      <c r="F944" s="537"/>
      <c r="G944" s="539"/>
      <c r="H944" s="108" t="s">
        <v>47</v>
      </c>
      <c r="I944" s="108" t="s">
        <v>48</v>
      </c>
      <c r="J944" s="108" t="s">
        <v>49</v>
      </c>
    </row>
    <row r="945" spans="1:11" ht="15" x14ac:dyDescent="0.25">
      <c r="A945" s="109" t="s">
        <v>4717</v>
      </c>
      <c r="B945" s="116" t="s">
        <v>4944</v>
      </c>
      <c r="C945" s="540" t="str">
        <f>IF(A945&amp;B945="","",VLOOKUP(A945&amp;B945,INSUMOS!C:G,2,0))</f>
        <v>Fornecimento e plantio de Tabebuia cassinoides - Caixeta</v>
      </c>
      <c r="D945" s="541"/>
      <c r="E945" s="111" t="str">
        <f>IF(A945&amp;B945="","",VLOOKUP(A945&amp;B945,INSUMOS!C:G,3,0))</f>
        <v>un</v>
      </c>
      <c r="F945" s="112">
        <v>1</v>
      </c>
      <c r="G945" s="113">
        <f>IF(A945&amp;B945="","",VLOOKUP(A945&amp;B945,INSUMOS!C:G,4,0))</f>
        <v>142.714</v>
      </c>
      <c r="H945" s="114" t="str">
        <f>IF(K945="MO",TRUNC(F945*G945,2),"")</f>
        <v/>
      </c>
      <c r="I945" s="114">
        <f>IF(K945="MT",TRUNC(F945*G945,2),"")</f>
        <v>142.71</v>
      </c>
      <c r="J945" s="115" t="str">
        <f>IF(K945="EQ",TRUNC(F945*G945,2),"")</f>
        <v/>
      </c>
      <c r="K945" s="102" t="str">
        <f>IF(A945&amp;B945="","",VLOOKUP(A945&amp;B945,INSUMOS!C:G,5,0))</f>
        <v>MT</v>
      </c>
    </row>
    <row r="946" spans="1:11" ht="15" x14ac:dyDescent="0.25">
      <c r="A946" s="109" t="s">
        <v>4398</v>
      </c>
      <c r="B946" s="116">
        <v>10101</v>
      </c>
      <c r="C946" s="518" t="str">
        <f>IF(A946&amp;B946="","",VLOOKUP(A946&amp;B946,INSUMOS!C:G,2,0))</f>
        <v>Ajudante geral</v>
      </c>
      <c r="D946" s="519"/>
      <c r="E946" s="117" t="str">
        <f>IF(A946&amp;B946="","",VLOOKUP(A946&amp;B946,INSUMOS!C:G,3,0))</f>
        <v>h</v>
      </c>
      <c r="F946" s="118">
        <v>1</v>
      </c>
      <c r="G946" s="113">
        <f>IF(A946&amp;B946="","",VLOOKUP(A946&amp;B946,INSUMOS!C:G,4,0))</f>
        <v>11.238228999999999</v>
      </c>
      <c r="H946" s="119">
        <f t="shared" ref="H946:H957" si="156">IF(K946="MO",TRUNC(F946*G946,2),"")</f>
        <v>11.23</v>
      </c>
      <c r="I946" s="119" t="str">
        <f t="shared" ref="I946:I957" si="157">IF(K946="MT",TRUNC(F946*G946,2),"")</f>
        <v/>
      </c>
      <c r="J946" s="115" t="str">
        <f t="shared" ref="J946:J957" si="158">IF(K946="EQ",TRUNC(F946*G946,2),"")</f>
        <v/>
      </c>
      <c r="K946" s="102" t="str">
        <f>IF(A946&amp;B946="","",VLOOKUP(A946&amp;B946,INSUMOS!C:G,5,0))</f>
        <v>MO</v>
      </c>
    </row>
    <row r="947" spans="1:11" ht="15" x14ac:dyDescent="0.25">
      <c r="A947" s="109" t="s">
        <v>4398</v>
      </c>
      <c r="B947" s="116">
        <v>10126</v>
      </c>
      <c r="C947" s="518" t="str">
        <f>IF(A947&amp;B947="","",VLOOKUP(A947&amp;B947,INSUMOS!C:G,2,0))</f>
        <v>Jardineiro</v>
      </c>
      <c r="D947" s="519"/>
      <c r="E947" s="117" t="str">
        <f>IF(A947&amp;B947="","",VLOOKUP(A947&amp;B947,INSUMOS!C:G,3,0))</f>
        <v>h</v>
      </c>
      <c r="F947" s="118">
        <v>0.5</v>
      </c>
      <c r="G947" s="113">
        <f>IF(A947&amp;B947="","",VLOOKUP(A947&amp;B947,INSUMOS!C:G,4,0))</f>
        <v>12.07574</v>
      </c>
      <c r="H947" s="119">
        <f t="shared" si="156"/>
        <v>6.03</v>
      </c>
      <c r="I947" s="119" t="str">
        <f t="shared" si="157"/>
        <v/>
      </c>
      <c r="J947" s="115" t="str">
        <f t="shared" si="158"/>
        <v/>
      </c>
      <c r="K947" s="102" t="str">
        <f>IF(A947&amp;B947="","",VLOOKUP(A947&amp;B947,INSUMOS!C:G,5,0))</f>
        <v>MO</v>
      </c>
    </row>
    <row r="948" spans="1:11" ht="15" x14ac:dyDescent="0.25">
      <c r="A948" s="109" t="s">
        <v>4398</v>
      </c>
      <c r="B948" s="116">
        <v>38511</v>
      </c>
      <c r="C948" s="518" t="str">
        <f>IF(A948&amp;B948="","",VLOOKUP(A948&amp;B948,INSUMOS!C:G,2,0))</f>
        <v>Terra vegetal orgânica comum</v>
      </c>
      <c r="D948" s="519"/>
      <c r="E948" s="117" t="str">
        <f>IF(A948&amp;B948="","",VLOOKUP(A948&amp;B948,INSUMOS!C:G,3,0))</f>
        <v>m³</v>
      </c>
      <c r="F948" s="118">
        <v>0.1</v>
      </c>
      <c r="G948" s="113">
        <f>IF(A948&amp;B948="","",VLOOKUP(A948&amp;B948,INSUMOS!C:G,4,0))</f>
        <v>92.46</v>
      </c>
      <c r="H948" s="119" t="str">
        <f t="shared" si="156"/>
        <v/>
      </c>
      <c r="I948" s="119">
        <f t="shared" si="157"/>
        <v>9.24</v>
      </c>
      <c r="J948" s="115" t="str">
        <f t="shared" si="158"/>
        <v/>
      </c>
      <c r="K948" s="102" t="str">
        <f>IF(A948&amp;B948="","",VLOOKUP(A948&amp;B948,INSUMOS!C:G,5,0))</f>
        <v>MT</v>
      </c>
    </row>
    <row r="949" spans="1:11" ht="15" x14ac:dyDescent="0.25">
      <c r="A949" s="109"/>
      <c r="B949" s="116"/>
      <c r="C949" s="518" t="str">
        <f>IF(A949&amp;B949="","",VLOOKUP(A949&amp;B949,INSUMOS!C:G,2,0))</f>
        <v/>
      </c>
      <c r="D949" s="519"/>
      <c r="E949" s="117" t="str">
        <f>IF(A949&amp;B949="","",VLOOKUP(A949&amp;B949,INSUMOS!C:G,3,0))</f>
        <v/>
      </c>
      <c r="F949" s="118"/>
      <c r="G949" s="113" t="str">
        <f>IF(A949&amp;B949="","",VLOOKUP(A949&amp;B949,INSUMOS!C:G,4,0))</f>
        <v/>
      </c>
      <c r="H949" s="119" t="str">
        <f t="shared" si="156"/>
        <v/>
      </c>
      <c r="I949" s="119" t="str">
        <f t="shared" si="157"/>
        <v/>
      </c>
      <c r="J949" s="115" t="str">
        <f t="shared" si="158"/>
        <v/>
      </c>
      <c r="K949" s="102" t="str">
        <f>IF(A949&amp;B949="","",VLOOKUP(A949&amp;B949,INSUMOS!C:G,5,0))</f>
        <v/>
      </c>
    </row>
    <row r="950" spans="1:11" ht="15" x14ac:dyDescent="0.25">
      <c r="A950" s="109"/>
      <c r="B950" s="116"/>
      <c r="C950" s="518" t="str">
        <f>IF(A950&amp;B950="","",VLOOKUP(A950&amp;B950,INSUMOS!C:G,2,0))</f>
        <v/>
      </c>
      <c r="D950" s="519"/>
      <c r="E950" s="117" t="str">
        <f>IF(A950&amp;B950="","",VLOOKUP(A950&amp;B950,INSUMOS!C:G,3,0))</f>
        <v/>
      </c>
      <c r="F950" s="118"/>
      <c r="G950" s="113" t="str">
        <f>IF(A950&amp;B950="","",VLOOKUP(A950&amp;B950,INSUMOS!C:G,4,0))</f>
        <v/>
      </c>
      <c r="H950" s="119" t="str">
        <f t="shared" si="156"/>
        <v/>
      </c>
      <c r="I950" s="119" t="str">
        <f t="shared" si="157"/>
        <v/>
      </c>
      <c r="J950" s="115" t="str">
        <f t="shared" si="158"/>
        <v/>
      </c>
      <c r="K950" s="102" t="str">
        <f>IF(A950&amp;B950="","",VLOOKUP(A950&amp;B950,INSUMOS!C:G,5,0))</f>
        <v/>
      </c>
    </row>
    <row r="951" spans="1:11" ht="15" x14ac:dyDescent="0.25">
      <c r="A951" s="109"/>
      <c r="B951" s="116"/>
      <c r="C951" s="518" t="str">
        <f>IF(A951&amp;B951="","",VLOOKUP(A951&amp;B951,INSUMOS!C:G,2,0))</f>
        <v/>
      </c>
      <c r="D951" s="519"/>
      <c r="E951" s="117" t="str">
        <f>IF(A951&amp;B951="","",VLOOKUP(A951&amp;B951,INSUMOS!C:G,3,0))</f>
        <v/>
      </c>
      <c r="F951" s="118"/>
      <c r="G951" s="113" t="str">
        <f>IF(A951&amp;B951="","",VLOOKUP(A951&amp;B951,INSUMOS!C:G,4,0))</f>
        <v/>
      </c>
      <c r="H951" s="119" t="str">
        <f t="shared" si="156"/>
        <v/>
      </c>
      <c r="I951" s="119" t="str">
        <f t="shared" si="157"/>
        <v/>
      </c>
      <c r="J951" s="115" t="str">
        <f t="shared" si="158"/>
        <v/>
      </c>
      <c r="K951" s="102" t="str">
        <f>IF(A951&amp;B951="","",VLOOKUP(A951&amp;B951,INSUMOS!C:G,5,0))</f>
        <v/>
      </c>
    </row>
    <row r="952" spans="1:11" ht="15" x14ac:dyDescent="0.25">
      <c r="A952" s="109"/>
      <c r="B952" s="116"/>
      <c r="C952" s="518" t="str">
        <f>IF(A952&amp;B952="","",VLOOKUP(A952&amp;B952,INSUMOS!C:G,2,0))</f>
        <v/>
      </c>
      <c r="D952" s="519"/>
      <c r="E952" s="117" t="str">
        <f>IF(A952&amp;B952="","",VLOOKUP(A952&amp;B952,INSUMOS!C:G,3,0))</f>
        <v/>
      </c>
      <c r="F952" s="118"/>
      <c r="G952" s="113" t="str">
        <f>IF(A952&amp;B952="","",VLOOKUP(A952&amp;B952,INSUMOS!C:G,4,0))</f>
        <v/>
      </c>
      <c r="H952" s="119" t="str">
        <f t="shared" si="156"/>
        <v/>
      </c>
      <c r="I952" s="119" t="str">
        <f t="shared" si="157"/>
        <v/>
      </c>
      <c r="J952" s="115" t="str">
        <f t="shared" si="158"/>
        <v/>
      </c>
      <c r="K952" s="102" t="str">
        <f>IF(A952&amp;B952="","",VLOOKUP(A952&amp;B952,INSUMOS!C:G,5,0))</f>
        <v/>
      </c>
    </row>
    <row r="953" spans="1:11" ht="15" x14ac:dyDescent="0.25">
      <c r="A953" s="109"/>
      <c r="B953" s="116"/>
      <c r="C953" s="518" t="str">
        <f>IF(A953&amp;B953="","",VLOOKUP(A953&amp;B953,INSUMOS!C:G,2,0))</f>
        <v/>
      </c>
      <c r="D953" s="519"/>
      <c r="E953" s="117" t="str">
        <f>IF(A953&amp;B953="","",VLOOKUP(A953&amp;B953,INSUMOS!C:G,3,0))</f>
        <v/>
      </c>
      <c r="F953" s="118"/>
      <c r="G953" s="113" t="str">
        <f>IF(A953&amp;B953="","",VLOOKUP(A953&amp;B953,INSUMOS!C:G,4,0))</f>
        <v/>
      </c>
      <c r="H953" s="119" t="str">
        <f t="shared" si="156"/>
        <v/>
      </c>
      <c r="I953" s="119" t="str">
        <f t="shared" si="157"/>
        <v/>
      </c>
      <c r="J953" s="115" t="str">
        <f t="shared" si="158"/>
        <v/>
      </c>
      <c r="K953" s="102" t="str">
        <f>IF(A953&amp;B953="","",VLOOKUP(A953&amp;B953,INSUMOS!C:G,5,0))</f>
        <v/>
      </c>
    </row>
    <row r="954" spans="1:11" ht="15" x14ac:dyDescent="0.25">
      <c r="A954" s="109"/>
      <c r="B954" s="116"/>
      <c r="C954" s="518" t="str">
        <f>IF(A954&amp;B954="","",VLOOKUP(A954&amp;B954,INSUMOS!C:G,2,0))</f>
        <v/>
      </c>
      <c r="D954" s="519"/>
      <c r="E954" s="117" t="str">
        <f>IF(A954&amp;B954="","",VLOOKUP(A954&amp;B954,INSUMOS!C:G,3,0))</f>
        <v/>
      </c>
      <c r="F954" s="118"/>
      <c r="G954" s="113" t="str">
        <f>IF(A954&amp;B954="","",VLOOKUP(A954&amp;B954,INSUMOS!C:G,4,0))</f>
        <v/>
      </c>
      <c r="H954" s="119" t="str">
        <f t="shared" si="156"/>
        <v/>
      </c>
      <c r="I954" s="119" t="str">
        <f t="shared" si="157"/>
        <v/>
      </c>
      <c r="J954" s="115" t="str">
        <f t="shared" si="158"/>
        <v/>
      </c>
      <c r="K954" s="102" t="str">
        <f>IF(A954&amp;B954="","",VLOOKUP(A954&amp;B954,INSUMOS!C:G,5,0))</f>
        <v/>
      </c>
    </row>
    <row r="955" spans="1:11" ht="15" x14ac:dyDescent="0.25">
      <c r="A955" s="120"/>
      <c r="B955" s="121"/>
      <c r="C955" s="518" t="str">
        <f>IF(A955&amp;B955="","",VLOOKUP(A955&amp;B955,INSUMOS!C:G,2,0))</f>
        <v/>
      </c>
      <c r="D955" s="519"/>
      <c r="E955" s="117" t="str">
        <f>IF(A955&amp;B955="","",VLOOKUP(A955&amp;B955,INSUMOS!C:G,3,0))</f>
        <v/>
      </c>
      <c r="F955" s="118"/>
      <c r="G955" s="122" t="str">
        <f>IF(A955&amp;B955="","",VLOOKUP(A955&amp;B955,INSUMOS!C:G,4,0))</f>
        <v/>
      </c>
      <c r="H955" s="119" t="str">
        <f t="shared" si="156"/>
        <v/>
      </c>
      <c r="I955" s="119" t="str">
        <f t="shared" si="157"/>
        <v/>
      </c>
      <c r="J955" s="115" t="str">
        <f t="shared" si="158"/>
        <v/>
      </c>
      <c r="K955" s="102" t="str">
        <f>IF(A955&amp;B955="","",VLOOKUP(A955&amp;B955,INSUMOS!C:G,5,0))</f>
        <v/>
      </c>
    </row>
    <row r="956" spans="1:11" ht="15" x14ac:dyDescent="0.25">
      <c r="A956" s="120"/>
      <c r="B956" s="121"/>
      <c r="C956" s="518" t="str">
        <f>IF(A956&amp;B956="","",VLOOKUP(A956&amp;B956,INSUMOS!C:G,2,0))</f>
        <v/>
      </c>
      <c r="D956" s="519"/>
      <c r="E956" s="117" t="str">
        <f>IF(A956&amp;B956="","",VLOOKUP(A956&amp;B956,INSUMOS!C:G,3,0))</f>
        <v/>
      </c>
      <c r="F956" s="118"/>
      <c r="G956" s="122" t="str">
        <f>IF(A956&amp;B956="","",VLOOKUP(A956&amp;B956,INSUMOS!C:G,4,0))</f>
        <v/>
      </c>
      <c r="H956" s="119" t="str">
        <f t="shared" si="156"/>
        <v/>
      </c>
      <c r="I956" s="119" t="str">
        <f t="shared" si="157"/>
        <v/>
      </c>
      <c r="J956" s="115" t="str">
        <f t="shared" si="158"/>
        <v/>
      </c>
      <c r="K956" s="102" t="str">
        <f>IF(A956&amp;B956="","",VLOOKUP(A956&amp;B956,INSUMOS!C:G,5,0))</f>
        <v/>
      </c>
    </row>
    <row r="957" spans="1:11" ht="15" x14ac:dyDescent="0.25">
      <c r="A957" s="120"/>
      <c r="B957" s="121"/>
      <c r="C957" s="518" t="str">
        <f>IF(A957&amp;B957="","",VLOOKUP(A957&amp;B957,INSUMOS!C:G,2,0))</f>
        <v/>
      </c>
      <c r="D957" s="519"/>
      <c r="E957" s="117" t="str">
        <f>IF(A957&amp;B957="","",VLOOKUP(A957&amp;B957,INSUMOS!C:G,3,0))</f>
        <v/>
      </c>
      <c r="F957" s="118"/>
      <c r="G957" s="122" t="str">
        <f>IF(A957&amp;B957="","",VLOOKUP(A957&amp;B957,INSUMOS!C:G,4,0))</f>
        <v/>
      </c>
      <c r="H957" s="119" t="str">
        <f t="shared" si="156"/>
        <v/>
      </c>
      <c r="I957" s="119" t="str">
        <f t="shared" si="157"/>
        <v/>
      </c>
      <c r="J957" s="115" t="str">
        <f t="shared" si="158"/>
        <v/>
      </c>
      <c r="K957" s="102" t="str">
        <f>IF(A957&amp;B957="","",VLOOKUP(A957&amp;B957,INSUMOS!C:G,5,0))</f>
        <v/>
      </c>
    </row>
    <row r="958" spans="1:11" ht="15" x14ac:dyDescent="0.25">
      <c r="A958" s="123" t="s">
        <v>4399</v>
      </c>
      <c r="B958" s="520"/>
      <c r="C958" s="520"/>
      <c r="D958" s="520"/>
      <c r="E958" s="520"/>
      <c r="F958" s="521"/>
      <c r="G958" s="124" t="s">
        <v>50</v>
      </c>
      <c r="H958" s="125">
        <f>SUM(H945:H957)</f>
        <v>17.260000000000002</v>
      </c>
      <c r="I958" s="125">
        <f>SUM(I945:I957)</f>
        <v>151.95000000000002</v>
      </c>
      <c r="J958" s="126">
        <f>SUM(J945:J957)</f>
        <v>0</v>
      </c>
    </row>
    <row r="959" spans="1:11" ht="15" x14ac:dyDescent="0.25">
      <c r="A959" s="127" t="s">
        <v>4400</v>
      </c>
      <c r="B959" s="128"/>
      <c r="C959" s="128"/>
      <c r="D959" s="127" t="s">
        <v>51</v>
      </c>
      <c r="E959" s="128"/>
      <c r="F959" s="129"/>
      <c r="G959" s="130" t="s">
        <v>55</v>
      </c>
      <c r="H959" s="131" t="s">
        <v>52</v>
      </c>
      <c r="I959" s="132"/>
      <c r="J959" s="125">
        <f>SUM(H958:J958)</f>
        <v>169.21</v>
      </c>
    </row>
    <row r="960" spans="1:11" ht="15" x14ac:dyDescent="0.25">
      <c r="A960" s="313" t="str">
        <f>$I$3</f>
        <v>Carlos Wieck</v>
      </c>
      <c r="B960" s="133"/>
      <c r="C960" s="133"/>
      <c r="D960" s="134"/>
      <c r="E960" s="133"/>
      <c r="F960" s="135"/>
      <c r="G960" s="522">
        <f>$J$5</f>
        <v>43040</v>
      </c>
      <c r="H960" s="136" t="s">
        <v>53</v>
      </c>
      <c r="I960" s="137"/>
      <c r="J960" s="125">
        <f>TRUNC(I960*J959,2)</f>
        <v>0</v>
      </c>
    </row>
    <row r="961" spans="1:17" ht="15" x14ac:dyDescent="0.25">
      <c r="A961" s="138"/>
      <c r="B961" s="139"/>
      <c r="C961" s="139"/>
      <c r="D961" s="138"/>
      <c r="E961" s="139"/>
      <c r="F961" s="140"/>
      <c r="G961" s="523"/>
      <c r="H961" s="141" t="s">
        <v>54</v>
      </c>
      <c r="I961" s="142"/>
      <c r="J961" s="143">
        <f>J960+J959</f>
        <v>169.21</v>
      </c>
      <c r="L961" s="102" t="str">
        <f>A942</f>
        <v>COMPOSIÇÃO</v>
      </c>
      <c r="M961" s="144" t="str">
        <f>B942</f>
        <v>FF-033</v>
      </c>
      <c r="N961" s="102" t="str">
        <f>L961&amp;M961</f>
        <v>COMPOSIÇÃOFF-033</v>
      </c>
      <c r="O961" s="103" t="str">
        <f>D941</f>
        <v>Fornecimento e plantio de Tabebuia cassinoides - Caixeta</v>
      </c>
      <c r="P961" s="145" t="str">
        <f>J942</f>
        <v>un</v>
      </c>
      <c r="Q961" s="145">
        <f>J961</f>
        <v>169.21</v>
      </c>
    </row>
    <row r="962" spans="1:17" ht="15" customHeight="1" x14ac:dyDescent="0.25">
      <c r="A962" s="524" t="s">
        <v>40</v>
      </c>
      <c r="B962" s="525"/>
      <c r="C962" s="104" t="s">
        <v>41</v>
      </c>
      <c r="D962" s="526" t="str">
        <f>IF(B963="","",VLOOKUP(B963,SERVIÇOS!B:E,3,0))</f>
        <v>Fornecimento e plantio de Trichilia pallida - Baga de morcego</v>
      </c>
      <c r="E962" s="526"/>
      <c r="F962" s="526"/>
      <c r="G962" s="526"/>
      <c r="H962" s="526"/>
      <c r="I962" s="527"/>
      <c r="J962" s="105" t="s">
        <v>42</v>
      </c>
    </row>
    <row r="963" spans="1:17" ht="15" x14ac:dyDescent="0.25">
      <c r="A963" s="230" t="s">
        <v>4715</v>
      </c>
      <c r="B963" s="230" t="s">
        <v>4913</v>
      </c>
      <c r="C963" s="106"/>
      <c r="D963" s="528"/>
      <c r="E963" s="528"/>
      <c r="F963" s="528"/>
      <c r="G963" s="528"/>
      <c r="H963" s="528"/>
      <c r="I963" s="529"/>
      <c r="J963" s="107" t="str">
        <f>IF(B963="","",VLOOKUP(B963,SERVIÇOS!B:E,4,0))</f>
        <v>un</v>
      </c>
    </row>
    <row r="964" spans="1:17" ht="15" x14ac:dyDescent="0.25">
      <c r="A964" s="530" t="s">
        <v>4397</v>
      </c>
      <c r="B964" s="531" t="s">
        <v>11</v>
      </c>
      <c r="C964" s="533" t="s">
        <v>43</v>
      </c>
      <c r="D964" s="534"/>
      <c r="E964" s="530" t="s">
        <v>13</v>
      </c>
      <c r="F964" s="530" t="s">
        <v>44</v>
      </c>
      <c r="G964" s="538" t="s">
        <v>45</v>
      </c>
      <c r="H964" s="108" t="s">
        <v>46</v>
      </c>
      <c r="I964" s="108"/>
      <c r="J964" s="108"/>
    </row>
    <row r="965" spans="1:17" ht="15" x14ac:dyDescent="0.25">
      <c r="A965" s="530"/>
      <c r="B965" s="532"/>
      <c r="C965" s="535"/>
      <c r="D965" s="536"/>
      <c r="E965" s="537"/>
      <c r="F965" s="537"/>
      <c r="G965" s="539"/>
      <c r="H965" s="108" t="s">
        <v>47</v>
      </c>
      <c r="I965" s="108" t="s">
        <v>48</v>
      </c>
      <c r="J965" s="108" t="s">
        <v>49</v>
      </c>
    </row>
    <row r="966" spans="1:17" ht="15" x14ac:dyDescent="0.25">
      <c r="A966" s="109" t="s">
        <v>4717</v>
      </c>
      <c r="B966" s="116" t="s">
        <v>4945</v>
      </c>
      <c r="C966" s="540" t="str">
        <f>IF(A966&amp;B966="","",VLOOKUP(A966&amp;B966,INSUMOS!C:G,2,0))</f>
        <v>Fornecimento e plantio de Trichilia pallida - Baga de morcego</v>
      </c>
      <c r="D966" s="541"/>
      <c r="E966" s="111" t="str">
        <f>IF(A966&amp;B966="","",VLOOKUP(A966&amp;B966,INSUMOS!C:G,3,0))</f>
        <v>un</v>
      </c>
      <c r="F966" s="112">
        <v>1</v>
      </c>
      <c r="G966" s="113">
        <f>IF(A966&amp;B966="","",VLOOKUP(A966&amp;B966,INSUMOS!C:G,4,0))</f>
        <v>144.71</v>
      </c>
      <c r="H966" s="114" t="str">
        <f>IF(K966="MO",TRUNC(F966*G966,2),"")</f>
        <v/>
      </c>
      <c r="I966" s="114">
        <f>IF(K966="MT",TRUNC(F966*G966,2),"")</f>
        <v>144.71</v>
      </c>
      <c r="J966" s="115" t="str">
        <f>IF(K966="EQ",TRUNC(F966*G966,2),"")</f>
        <v/>
      </c>
      <c r="K966" s="102" t="str">
        <f>IF(A966&amp;B966="","",VLOOKUP(A966&amp;B966,INSUMOS!C:G,5,0))</f>
        <v>MT</v>
      </c>
    </row>
    <row r="967" spans="1:17" ht="15" x14ac:dyDescent="0.25">
      <c r="A967" s="109" t="s">
        <v>4398</v>
      </c>
      <c r="B967" s="116">
        <v>10101</v>
      </c>
      <c r="C967" s="518" t="str">
        <f>IF(A967&amp;B967="","",VLOOKUP(A967&amp;B967,INSUMOS!C:G,2,0))</f>
        <v>Ajudante geral</v>
      </c>
      <c r="D967" s="519"/>
      <c r="E967" s="117" t="str">
        <f>IF(A967&amp;B967="","",VLOOKUP(A967&amp;B967,INSUMOS!C:G,3,0))</f>
        <v>h</v>
      </c>
      <c r="F967" s="118">
        <v>1</v>
      </c>
      <c r="G967" s="113">
        <f>IF(A967&amp;B967="","",VLOOKUP(A967&amp;B967,INSUMOS!C:G,4,0))</f>
        <v>11.238228999999999</v>
      </c>
      <c r="H967" s="119">
        <f t="shared" ref="H967:H978" si="159">IF(K967="MO",TRUNC(F967*G967,2),"")</f>
        <v>11.23</v>
      </c>
      <c r="I967" s="119" t="str">
        <f t="shared" ref="I967:I978" si="160">IF(K967="MT",TRUNC(F967*G967,2),"")</f>
        <v/>
      </c>
      <c r="J967" s="115" t="str">
        <f t="shared" ref="J967:J978" si="161">IF(K967="EQ",TRUNC(F967*G967,2),"")</f>
        <v/>
      </c>
      <c r="K967" s="102" t="str">
        <f>IF(A967&amp;B967="","",VLOOKUP(A967&amp;B967,INSUMOS!C:G,5,0))</f>
        <v>MO</v>
      </c>
    </row>
    <row r="968" spans="1:17" ht="15" x14ac:dyDescent="0.25">
      <c r="A968" s="109" t="s">
        <v>4398</v>
      </c>
      <c r="B968" s="116">
        <v>10126</v>
      </c>
      <c r="C968" s="518" t="str">
        <f>IF(A968&amp;B968="","",VLOOKUP(A968&amp;B968,INSUMOS!C:G,2,0))</f>
        <v>Jardineiro</v>
      </c>
      <c r="D968" s="519"/>
      <c r="E968" s="117" t="str">
        <f>IF(A968&amp;B968="","",VLOOKUP(A968&amp;B968,INSUMOS!C:G,3,0))</f>
        <v>h</v>
      </c>
      <c r="F968" s="118">
        <v>0.5</v>
      </c>
      <c r="G968" s="113">
        <f>IF(A968&amp;B968="","",VLOOKUP(A968&amp;B968,INSUMOS!C:G,4,0))</f>
        <v>12.07574</v>
      </c>
      <c r="H968" s="119">
        <f t="shared" si="159"/>
        <v>6.03</v>
      </c>
      <c r="I968" s="119" t="str">
        <f t="shared" si="160"/>
        <v/>
      </c>
      <c r="J968" s="115" t="str">
        <f t="shared" si="161"/>
        <v/>
      </c>
      <c r="K968" s="102" t="str">
        <f>IF(A968&amp;B968="","",VLOOKUP(A968&amp;B968,INSUMOS!C:G,5,0))</f>
        <v>MO</v>
      </c>
    </row>
    <row r="969" spans="1:17" ht="15" x14ac:dyDescent="0.25">
      <c r="A969" s="109" t="s">
        <v>4398</v>
      </c>
      <c r="B969" s="116">
        <v>38511</v>
      </c>
      <c r="C969" s="518" t="str">
        <f>IF(A969&amp;B969="","",VLOOKUP(A969&amp;B969,INSUMOS!C:G,2,0))</f>
        <v>Terra vegetal orgânica comum</v>
      </c>
      <c r="D969" s="519"/>
      <c r="E969" s="117" t="str">
        <f>IF(A969&amp;B969="","",VLOOKUP(A969&amp;B969,INSUMOS!C:G,3,0))</f>
        <v>m³</v>
      </c>
      <c r="F969" s="118">
        <v>0.1</v>
      </c>
      <c r="G969" s="113">
        <f>IF(A969&amp;B969="","",VLOOKUP(A969&amp;B969,INSUMOS!C:G,4,0))</f>
        <v>92.46</v>
      </c>
      <c r="H969" s="119" t="str">
        <f t="shared" si="159"/>
        <v/>
      </c>
      <c r="I969" s="119">
        <f t="shared" si="160"/>
        <v>9.24</v>
      </c>
      <c r="J969" s="115" t="str">
        <f t="shared" si="161"/>
        <v/>
      </c>
      <c r="K969" s="102" t="str">
        <f>IF(A969&amp;B969="","",VLOOKUP(A969&amp;B969,INSUMOS!C:G,5,0))</f>
        <v>MT</v>
      </c>
    </row>
    <row r="970" spans="1:17" ht="15" x14ac:dyDescent="0.25">
      <c r="A970" s="109"/>
      <c r="B970" s="116"/>
      <c r="C970" s="518" t="str">
        <f>IF(A970&amp;B970="","",VLOOKUP(A970&amp;B970,INSUMOS!C:G,2,0))</f>
        <v/>
      </c>
      <c r="D970" s="519"/>
      <c r="E970" s="117" t="str">
        <f>IF(A970&amp;B970="","",VLOOKUP(A970&amp;B970,INSUMOS!C:G,3,0))</f>
        <v/>
      </c>
      <c r="F970" s="118"/>
      <c r="G970" s="113" t="str">
        <f>IF(A970&amp;B970="","",VLOOKUP(A970&amp;B970,INSUMOS!C:G,4,0))</f>
        <v/>
      </c>
      <c r="H970" s="119" t="str">
        <f t="shared" si="159"/>
        <v/>
      </c>
      <c r="I970" s="119" t="str">
        <f t="shared" si="160"/>
        <v/>
      </c>
      <c r="J970" s="115" t="str">
        <f t="shared" si="161"/>
        <v/>
      </c>
      <c r="K970" s="102" t="str">
        <f>IF(A970&amp;B970="","",VLOOKUP(A970&amp;B970,INSUMOS!C:G,5,0))</f>
        <v/>
      </c>
    </row>
    <row r="971" spans="1:17" ht="15" x14ac:dyDescent="0.25">
      <c r="A971" s="109"/>
      <c r="B971" s="116"/>
      <c r="C971" s="518" t="str">
        <f>IF(A971&amp;B971="","",VLOOKUP(A971&amp;B971,INSUMOS!C:G,2,0))</f>
        <v/>
      </c>
      <c r="D971" s="519"/>
      <c r="E971" s="117" t="str">
        <f>IF(A971&amp;B971="","",VLOOKUP(A971&amp;B971,INSUMOS!C:G,3,0))</f>
        <v/>
      </c>
      <c r="F971" s="118"/>
      <c r="G971" s="113" t="str">
        <f>IF(A971&amp;B971="","",VLOOKUP(A971&amp;B971,INSUMOS!C:G,4,0))</f>
        <v/>
      </c>
      <c r="H971" s="119" t="str">
        <f t="shared" si="159"/>
        <v/>
      </c>
      <c r="I971" s="119" t="str">
        <f t="shared" si="160"/>
        <v/>
      </c>
      <c r="J971" s="115" t="str">
        <f t="shared" si="161"/>
        <v/>
      </c>
      <c r="K971" s="102" t="str">
        <f>IF(A971&amp;B971="","",VLOOKUP(A971&amp;B971,INSUMOS!C:G,5,0))</f>
        <v/>
      </c>
    </row>
    <row r="972" spans="1:17" ht="15" x14ac:dyDescent="0.25">
      <c r="A972" s="109"/>
      <c r="B972" s="116"/>
      <c r="C972" s="518" t="str">
        <f>IF(A972&amp;B972="","",VLOOKUP(A972&amp;B972,INSUMOS!C:G,2,0))</f>
        <v/>
      </c>
      <c r="D972" s="519"/>
      <c r="E972" s="117" t="str">
        <f>IF(A972&amp;B972="","",VLOOKUP(A972&amp;B972,INSUMOS!C:G,3,0))</f>
        <v/>
      </c>
      <c r="F972" s="118"/>
      <c r="G972" s="113" t="str">
        <f>IF(A972&amp;B972="","",VLOOKUP(A972&amp;B972,INSUMOS!C:G,4,0))</f>
        <v/>
      </c>
      <c r="H972" s="119" t="str">
        <f t="shared" si="159"/>
        <v/>
      </c>
      <c r="I972" s="119" t="str">
        <f t="shared" si="160"/>
        <v/>
      </c>
      <c r="J972" s="115" t="str">
        <f t="shared" si="161"/>
        <v/>
      </c>
      <c r="K972" s="102" t="str">
        <f>IF(A972&amp;B972="","",VLOOKUP(A972&amp;B972,INSUMOS!C:G,5,0))</f>
        <v/>
      </c>
    </row>
    <row r="973" spans="1:17" ht="15" x14ac:dyDescent="0.25">
      <c r="A973" s="109"/>
      <c r="B973" s="116"/>
      <c r="C973" s="518" t="str">
        <f>IF(A973&amp;B973="","",VLOOKUP(A973&amp;B973,INSUMOS!C:G,2,0))</f>
        <v/>
      </c>
      <c r="D973" s="519"/>
      <c r="E973" s="117" t="str">
        <f>IF(A973&amp;B973="","",VLOOKUP(A973&amp;B973,INSUMOS!C:G,3,0))</f>
        <v/>
      </c>
      <c r="F973" s="118"/>
      <c r="G973" s="113" t="str">
        <f>IF(A973&amp;B973="","",VLOOKUP(A973&amp;B973,INSUMOS!C:G,4,0))</f>
        <v/>
      </c>
      <c r="H973" s="119" t="str">
        <f t="shared" si="159"/>
        <v/>
      </c>
      <c r="I973" s="119" t="str">
        <f t="shared" si="160"/>
        <v/>
      </c>
      <c r="J973" s="115" t="str">
        <f t="shared" si="161"/>
        <v/>
      </c>
      <c r="K973" s="102" t="str">
        <f>IF(A973&amp;B973="","",VLOOKUP(A973&amp;B973,INSUMOS!C:G,5,0))</f>
        <v/>
      </c>
    </row>
    <row r="974" spans="1:17" ht="15" x14ac:dyDescent="0.25">
      <c r="A974" s="109"/>
      <c r="B974" s="116"/>
      <c r="C974" s="518" t="str">
        <f>IF(A974&amp;B974="","",VLOOKUP(A974&amp;B974,INSUMOS!C:G,2,0))</f>
        <v/>
      </c>
      <c r="D974" s="519"/>
      <c r="E974" s="117" t="str">
        <f>IF(A974&amp;B974="","",VLOOKUP(A974&amp;B974,INSUMOS!C:G,3,0))</f>
        <v/>
      </c>
      <c r="F974" s="118"/>
      <c r="G974" s="113" t="str">
        <f>IF(A974&amp;B974="","",VLOOKUP(A974&amp;B974,INSUMOS!C:G,4,0))</f>
        <v/>
      </c>
      <c r="H974" s="119" t="str">
        <f t="shared" si="159"/>
        <v/>
      </c>
      <c r="I974" s="119" t="str">
        <f t="shared" si="160"/>
        <v/>
      </c>
      <c r="J974" s="115" t="str">
        <f t="shared" si="161"/>
        <v/>
      </c>
      <c r="K974" s="102" t="str">
        <f>IF(A974&amp;B974="","",VLOOKUP(A974&amp;B974,INSUMOS!C:G,5,0))</f>
        <v/>
      </c>
    </row>
    <row r="975" spans="1:17" ht="15" x14ac:dyDescent="0.25">
      <c r="A975" s="109"/>
      <c r="B975" s="116"/>
      <c r="C975" s="518" t="str">
        <f>IF(A975&amp;B975="","",VLOOKUP(A975&amp;B975,INSUMOS!C:G,2,0))</f>
        <v/>
      </c>
      <c r="D975" s="519"/>
      <c r="E975" s="117" t="str">
        <f>IF(A975&amp;B975="","",VLOOKUP(A975&amp;B975,INSUMOS!C:G,3,0))</f>
        <v/>
      </c>
      <c r="F975" s="118"/>
      <c r="G975" s="113" t="str">
        <f>IF(A975&amp;B975="","",VLOOKUP(A975&amp;B975,INSUMOS!C:G,4,0))</f>
        <v/>
      </c>
      <c r="H975" s="119" t="str">
        <f t="shared" si="159"/>
        <v/>
      </c>
      <c r="I975" s="119" t="str">
        <f t="shared" si="160"/>
        <v/>
      </c>
      <c r="J975" s="115" t="str">
        <f t="shared" si="161"/>
        <v/>
      </c>
      <c r="K975" s="102" t="str">
        <f>IF(A975&amp;B975="","",VLOOKUP(A975&amp;B975,INSUMOS!C:G,5,0))</f>
        <v/>
      </c>
    </row>
    <row r="976" spans="1:17" ht="15" x14ac:dyDescent="0.25">
      <c r="A976" s="120"/>
      <c r="B976" s="121"/>
      <c r="C976" s="518" t="str">
        <f>IF(A976&amp;B976="","",VLOOKUP(A976&amp;B976,INSUMOS!C:G,2,0))</f>
        <v/>
      </c>
      <c r="D976" s="519"/>
      <c r="E976" s="117" t="str">
        <f>IF(A976&amp;B976="","",VLOOKUP(A976&amp;B976,INSUMOS!C:G,3,0))</f>
        <v/>
      </c>
      <c r="F976" s="118"/>
      <c r="G976" s="122" t="str">
        <f>IF(A976&amp;B976="","",VLOOKUP(A976&amp;B976,INSUMOS!C:G,4,0))</f>
        <v/>
      </c>
      <c r="H976" s="119" t="str">
        <f t="shared" si="159"/>
        <v/>
      </c>
      <c r="I976" s="119" t="str">
        <f t="shared" si="160"/>
        <v/>
      </c>
      <c r="J976" s="115" t="str">
        <f t="shared" si="161"/>
        <v/>
      </c>
      <c r="K976" s="102" t="str">
        <f>IF(A976&amp;B976="","",VLOOKUP(A976&amp;B976,INSUMOS!C:G,5,0))</f>
        <v/>
      </c>
    </row>
    <row r="977" spans="1:17" ht="15" x14ac:dyDescent="0.25">
      <c r="A977" s="120"/>
      <c r="B977" s="121"/>
      <c r="C977" s="518" t="str">
        <f>IF(A977&amp;B977="","",VLOOKUP(A977&amp;B977,INSUMOS!C:G,2,0))</f>
        <v/>
      </c>
      <c r="D977" s="519"/>
      <c r="E977" s="117" t="str">
        <f>IF(A977&amp;B977="","",VLOOKUP(A977&amp;B977,INSUMOS!C:G,3,0))</f>
        <v/>
      </c>
      <c r="F977" s="118"/>
      <c r="G977" s="122" t="str">
        <f>IF(A977&amp;B977="","",VLOOKUP(A977&amp;B977,INSUMOS!C:G,4,0))</f>
        <v/>
      </c>
      <c r="H977" s="119" t="str">
        <f t="shared" si="159"/>
        <v/>
      </c>
      <c r="I977" s="119" t="str">
        <f t="shared" si="160"/>
        <v/>
      </c>
      <c r="J977" s="115" t="str">
        <f t="shared" si="161"/>
        <v/>
      </c>
      <c r="K977" s="102" t="str">
        <f>IF(A977&amp;B977="","",VLOOKUP(A977&amp;B977,INSUMOS!C:G,5,0))</f>
        <v/>
      </c>
    </row>
    <row r="978" spans="1:17" ht="15" x14ac:dyDescent="0.25">
      <c r="A978" s="120"/>
      <c r="B978" s="121"/>
      <c r="C978" s="518" t="str">
        <f>IF(A978&amp;B978="","",VLOOKUP(A978&amp;B978,INSUMOS!C:G,2,0))</f>
        <v/>
      </c>
      <c r="D978" s="519"/>
      <c r="E978" s="117" t="str">
        <f>IF(A978&amp;B978="","",VLOOKUP(A978&amp;B978,INSUMOS!C:G,3,0))</f>
        <v/>
      </c>
      <c r="F978" s="118"/>
      <c r="G978" s="122" t="str">
        <f>IF(A978&amp;B978="","",VLOOKUP(A978&amp;B978,INSUMOS!C:G,4,0))</f>
        <v/>
      </c>
      <c r="H978" s="119" t="str">
        <f t="shared" si="159"/>
        <v/>
      </c>
      <c r="I978" s="119" t="str">
        <f t="shared" si="160"/>
        <v/>
      </c>
      <c r="J978" s="115" t="str">
        <f t="shared" si="161"/>
        <v/>
      </c>
      <c r="K978" s="102" t="str">
        <f>IF(A978&amp;B978="","",VLOOKUP(A978&amp;B978,INSUMOS!C:G,5,0))</f>
        <v/>
      </c>
    </row>
    <row r="979" spans="1:17" ht="15" x14ac:dyDescent="0.25">
      <c r="A979" s="123" t="s">
        <v>4399</v>
      </c>
      <c r="B979" s="520"/>
      <c r="C979" s="520"/>
      <c r="D979" s="520"/>
      <c r="E979" s="520"/>
      <c r="F979" s="521"/>
      <c r="G979" s="124" t="s">
        <v>50</v>
      </c>
      <c r="H979" s="125">
        <f>SUM(H966:H978)</f>
        <v>17.260000000000002</v>
      </c>
      <c r="I979" s="125">
        <f>SUM(I966:I978)</f>
        <v>153.95000000000002</v>
      </c>
      <c r="J979" s="126">
        <f>SUM(J966:J978)</f>
        <v>0</v>
      </c>
    </row>
    <row r="980" spans="1:17" ht="15" x14ac:dyDescent="0.25">
      <c r="A980" s="127" t="s">
        <v>4400</v>
      </c>
      <c r="B980" s="128"/>
      <c r="C980" s="128"/>
      <c r="D980" s="127" t="s">
        <v>51</v>
      </c>
      <c r="E980" s="128"/>
      <c r="F980" s="129"/>
      <c r="G980" s="130" t="s">
        <v>55</v>
      </c>
      <c r="H980" s="131" t="s">
        <v>52</v>
      </c>
      <c r="I980" s="132"/>
      <c r="J980" s="125">
        <f>SUM(H979:J979)</f>
        <v>171.21</v>
      </c>
    </row>
    <row r="981" spans="1:17" ht="15" x14ac:dyDescent="0.25">
      <c r="A981" s="313" t="str">
        <f>$I$3</f>
        <v>Carlos Wieck</v>
      </c>
      <c r="B981" s="133"/>
      <c r="C981" s="133"/>
      <c r="D981" s="134"/>
      <c r="E981" s="133"/>
      <c r="F981" s="135"/>
      <c r="G981" s="522">
        <f>$J$5</f>
        <v>43040</v>
      </c>
      <c r="H981" s="136" t="s">
        <v>53</v>
      </c>
      <c r="I981" s="137"/>
      <c r="J981" s="125">
        <f>TRUNC(I981*J980,2)</f>
        <v>0</v>
      </c>
    </row>
    <row r="982" spans="1:17" ht="15" x14ac:dyDescent="0.25">
      <c r="A982" s="138"/>
      <c r="B982" s="139"/>
      <c r="C982" s="139"/>
      <c r="D982" s="138"/>
      <c r="E982" s="139"/>
      <c r="F982" s="140"/>
      <c r="G982" s="523"/>
      <c r="H982" s="141" t="s">
        <v>54</v>
      </c>
      <c r="I982" s="142"/>
      <c r="J982" s="143">
        <f>J981+J980</f>
        <v>171.21</v>
      </c>
      <c r="L982" s="102" t="str">
        <f>A963</f>
        <v>COMPOSIÇÃO</v>
      </c>
      <c r="M982" s="144" t="str">
        <f>B963</f>
        <v>FF-034</v>
      </c>
      <c r="N982" s="102" t="str">
        <f>L982&amp;M982</f>
        <v>COMPOSIÇÃOFF-034</v>
      </c>
      <c r="O982" s="103" t="str">
        <f>D962</f>
        <v>Fornecimento e plantio de Trichilia pallida - Baga de morcego</v>
      </c>
      <c r="P982" s="145" t="str">
        <f>J963</f>
        <v>un</v>
      </c>
      <c r="Q982" s="145">
        <f>J982</f>
        <v>171.21</v>
      </c>
    </row>
    <row r="983" spans="1:17" ht="15" customHeight="1" x14ac:dyDescent="0.25">
      <c r="A983" s="524" t="s">
        <v>40</v>
      </c>
      <c r="B983" s="525"/>
      <c r="C983" s="104" t="s">
        <v>41</v>
      </c>
      <c r="D983" s="526" t="str">
        <f>IF(B984="","",VLOOKUP(B984,SERVIÇOS!B:E,3,0))</f>
        <v>Fornecimento e plantio de Aechmea distichantha - Planta-vaso</v>
      </c>
      <c r="E983" s="526"/>
      <c r="F983" s="526"/>
      <c r="G983" s="526"/>
      <c r="H983" s="526"/>
      <c r="I983" s="527"/>
      <c r="J983" s="105" t="s">
        <v>42</v>
      </c>
    </row>
    <row r="984" spans="1:17" ht="15" x14ac:dyDescent="0.25">
      <c r="A984" s="230" t="s">
        <v>4715</v>
      </c>
      <c r="B984" s="230" t="s">
        <v>4914</v>
      </c>
      <c r="C984" s="106"/>
      <c r="D984" s="528"/>
      <c r="E984" s="528"/>
      <c r="F984" s="528"/>
      <c r="G984" s="528"/>
      <c r="H984" s="528"/>
      <c r="I984" s="529"/>
      <c r="J984" s="107" t="str">
        <f>IF(B984="","",VLOOKUP(B984,SERVIÇOS!B:E,4,0))</f>
        <v>un</v>
      </c>
    </row>
    <row r="985" spans="1:17" ht="15" x14ac:dyDescent="0.25">
      <c r="A985" s="530" t="s">
        <v>4397</v>
      </c>
      <c r="B985" s="531" t="s">
        <v>11</v>
      </c>
      <c r="C985" s="533" t="s">
        <v>43</v>
      </c>
      <c r="D985" s="534"/>
      <c r="E985" s="530" t="s">
        <v>13</v>
      </c>
      <c r="F985" s="530" t="s">
        <v>44</v>
      </c>
      <c r="G985" s="538" t="s">
        <v>45</v>
      </c>
      <c r="H985" s="108" t="s">
        <v>46</v>
      </c>
      <c r="I985" s="108"/>
      <c r="J985" s="108"/>
    </row>
    <row r="986" spans="1:17" ht="15" x14ac:dyDescent="0.25">
      <c r="A986" s="530"/>
      <c r="B986" s="532"/>
      <c r="C986" s="535"/>
      <c r="D986" s="536"/>
      <c r="E986" s="537"/>
      <c r="F986" s="537"/>
      <c r="G986" s="539"/>
      <c r="H986" s="108" t="s">
        <v>47</v>
      </c>
      <c r="I986" s="108" t="s">
        <v>48</v>
      </c>
      <c r="J986" s="108" t="s">
        <v>49</v>
      </c>
    </row>
    <row r="987" spans="1:17" ht="15" x14ac:dyDescent="0.25">
      <c r="A987" s="109" t="s">
        <v>4717</v>
      </c>
      <c r="B987" s="116" t="s">
        <v>4946</v>
      </c>
      <c r="C987" s="540" t="str">
        <f>IF(A987&amp;B987="","",VLOOKUP(A987&amp;B987,INSUMOS!C:G,2,0))</f>
        <v>Fornecimento e plantio de Aechmea distichantha - Planta-vaso</v>
      </c>
      <c r="D987" s="541"/>
      <c r="E987" s="111" t="str">
        <f>IF(A987&amp;B987="","",VLOOKUP(A987&amp;B987,INSUMOS!C:G,3,0))</f>
        <v>un</v>
      </c>
      <c r="F987" s="112">
        <v>1</v>
      </c>
      <c r="G987" s="113">
        <f>IF(A987&amp;B987="","",VLOOKUP(A987&amp;B987,INSUMOS!C:G,4,0))</f>
        <v>81.835999999999999</v>
      </c>
      <c r="H987" s="114" t="str">
        <f>IF(K987="MO",TRUNC(F987*G987,2),"")</f>
        <v/>
      </c>
      <c r="I987" s="114">
        <f>IF(K987="MT",TRUNC(F987*G987,2),"")</f>
        <v>81.83</v>
      </c>
      <c r="J987" s="115" t="str">
        <f>IF(K987="EQ",TRUNC(F987*G987,2),"")</f>
        <v/>
      </c>
      <c r="K987" s="102" t="str">
        <f>IF(A987&amp;B987="","",VLOOKUP(A987&amp;B987,INSUMOS!C:G,5,0))</f>
        <v>MT</v>
      </c>
    </row>
    <row r="988" spans="1:17" ht="15" x14ac:dyDescent="0.25">
      <c r="A988" s="109" t="s">
        <v>4398</v>
      </c>
      <c r="B988" s="116">
        <v>10101</v>
      </c>
      <c r="C988" s="518" t="str">
        <f>IF(A988&amp;B988="","",VLOOKUP(A988&amp;B988,INSUMOS!C:G,2,0))</f>
        <v>Ajudante geral</v>
      </c>
      <c r="D988" s="519"/>
      <c r="E988" s="117" t="str">
        <f>IF(A988&amp;B988="","",VLOOKUP(A988&amp;B988,INSUMOS!C:G,3,0))</f>
        <v>h</v>
      </c>
      <c r="F988" s="118">
        <v>0.1</v>
      </c>
      <c r="G988" s="113">
        <f>IF(A988&amp;B988="","",VLOOKUP(A988&amp;B988,INSUMOS!C:G,4,0))</f>
        <v>11.238228999999999</v>
      </c>
      <c r="H988" s="119">
        <f t="shared" ref="H988:H999" si="162">IF(K988="MO",TRUNC(F988*G988,2),"")</f>
        <v>1.1200000000000001</v>
      </c>
      <c r="I988" s="119" t="str">
        <f t="shared" ref="I988:I999" si="163">IF(K988="MT",TRUNC(F988*G988,2),"")</f>
        <v/>
      </c>
      <c r="J988" s="115" t="str">
        <f t="shared" ref="J988:J999" si="164">IF(K988="EQ",TRUNC(F988*G988,2),"")</f>
        <v/>
      </c>
      <c r="K988" s="102" t="str">
        <f>IF(A988&amp;B988="","",VLOOKUP(A988&amp;B988,INSUMOS!C:G,5,0))</f>
        <v>MO</v>
      </c>
    </row>
    <row r="989" spans="1:17" ht="15" x14ac:dyDescent="0.25">
      <c r="A989" s="109" t="s">
        <v>4398</v>
      </c>
      <c r="B989" s="116">
        <v>10126</v>
      </c>
      <c r="C989" s="518" t="str">
        <f>IF(A989&amp;B989="","",VLOOKUP(A989&amp;B989,INSUMOS!C:G,2,0))</f>
        <v>Jardineiro</v>
      </c>
      <c r="D989" s="519"/>
      <c r="E989" s="117" t="str">
        <f>IF(A989&amp;B989="","",VLOOKUP(A989&amp;B989,INSUMOS!C:G,3,0))</f>
        <v>h</v>
      </c>
      <c r="F989" s="118">
        <v>7.0000000000000007E-2</v>
      </c>
      <c r="G989" s="113">
        <f>IF(A989&amp;B989="","",VLOOKUP(A989&amp;B989,INSUMOS!C:G,4,0))</f>
        <v>12.07574</v>
      </c>
      <c r="H989" s="119">
        <f t="shared" si="162"/>
        <v>0.84</v>
      </c>
      <c r="I989" s="119" t="str">
        <f t="shared" si="163"/>
        <v/>
      </c>
      <c r="J989" s="115" t="str">
        <f t="shared" si="164"/>
        <v/>
      </c>
      <c r="K989" s="102" t="str">
        <f>IF(A989&amp;B989="","",VLOOKUP(A989&amp;B989,INSUMOS!C:G,5,0))</f>
        <v>MO</v>
      </c>
    </row>
    <row r="990" spans="1:17" ht="15" x14ac:dyDescent="0.25">
      <c r="A990" s="109" t="s">
        <v>4398</v>
      </c>
      <c r="B990" s="116">
        <v>38511</v>
      </c>
      <c r="C990" s="518" t="str">
        <f>IF(A990&amp;B990="","",VLOOKUP(A990&amp;B990,INSUMOS!C:G,2,0))</f>
        <v>Terra vegetal orgânica comum</v>
      </c>
      <c r="D990" s="519"/>
      <c r="E990" s="117" t="str">
        <f>IF(A990&amp;B990="","",VLOOKUP(A990&amp;B990,INSUMOS!C:G,3,0))</f>
        <v>m³</v>
      </c>
      <c r="F990" s="118">
        <v>0.08</v>
      </c>
      <c r="G990" s="113">
        <f>IF(A990&amp;B990="","",VLOOKUP(A990&amp;B990,INSUMOS!C:G,4,0))</f>
        <v>92.46</v>
      </c>
      <c r="H990" s="119" t="str">
        <f t="shared" si="162"/>
        <v/>
      </c>
      <c r="I990" s="119">
        <f t="shared" si="163"/>
        <v>7.39</v>
      </c>
      <c r="J990" s="115" t="str">
        <f t="shared" si="164"/>
        <v/>
      </c>
      <c r="K990" s="102" t="str">
        <f>IF(A990&amp;B990="","",VLOOKUP(A990&amp;B990,INSUMOS!C:G,5,0))</f>
        <v>MT</v>
      </c>
    </row>
    <row r="991" spans="1:17" ht="15" x14ac:dyDescent="0.25">
      <c r="A991" s="109"/>
      <c r="B991" s="116"/>
      <c r="C991" s="518" t="str">
        <f>IF(A991&amp;B991="","",VLOOKUP(A991&amp;B991,INSUMOS!C:G,2,0))</f>
        <v/>
      </c>
      <c r="D991" s="519"/>
      <c r="E991" s="117" t="str">
        <f>IF(A991&amp;B991="","",VLOOKUP(A991&amp;B991,INSUMOS!C:G,3,0))</f>
        <v/>
      </c>
      <c r="F991" s="118"/>
      <c r="G991" s="113" t="str">
        <f>IF(A991&amp;B991="","",VLOOKUP(A991&amp;B991,INSUMOS!C:G,4,0))</f>
        <v/>
      </c>
      <c r="H991" s="119" t="str">
        <f t="shared" si="162"/>
        <v/>
      </c>
      <c r="I991" s="119" t="str">
        <f t="shared" si="163"/>
        <v/>
      </c>
      <c r="J991" s="115" t="str">
        <f t="shared" si="164"/>
        <v/>
      </c>
      <c r="K991" s="102" t="str">
        <f>IF(A991&amp;B991="","",VLOOKUP(A991&amp;B991,INSUMOS!C:G,5,0))</f>
        <v/>
      </c>
    </row>
    <row r="992" spans="1:17" ht="15" x14ac:dyDescent="0.25">
      <c r="A992" s="109"/>
      <c r="B992" s="116"/>
      <c r="C992" s="518" t="str">
        <f>IF(A992&amp;B992="","",VLOOKUP(A992&amp;B992,INSUMOS!C:G,2,0))</f>
        <v/>
      </c>
      <c r="D992" s="519"/>
      <c r="E992" s="117" t="str">
        <f>IF(A992&amp;B992="","",VLOOKUP(A992&amp;B992,INSUMOS!C:G,3,0))</f>
        <v/>
      </c>
      <c r="F992" s="118"/>
      <c r="G992" s="113" t="str">
        <f>IF(A992&amp;B992="","",VLOOKUP(A992&amp;B992,INSUMOS!C:G,4,0))</f>
        <v/>
      </c>
      <c r="H992" s="119" t="str">
        <f t="shared" si="162"/>
        <v/>
      </c>
      <c r="I992" s="119" t="str">
        <f t="shared" si="163"/>
        <v/>
      </c>
      <c r="J992" s="115" t="str">
        <f t="shared" si="164"/>
        <v/>
      </c>
      <c r="K992" s="102" t="str">
        <f>IF(A992&amp;B992="","",VLOOKUP(A992&amp;B992,INSUMOS!C:G,5,0))</f>
        <v/>
      </c>
    </row>
    <row r="993" spans="1:17" ht="15" x14ac:dyDescent="0.25">
      <c r="A993" s="109"/>
      <c r="B993" s="116"/>
      <c r="C993" s="518" t="str">
        <f>IF(A993&amp;B993="","",VLOOKUP(A993&amp;B993,INSUMOS!C:G,2,0))</f>
        <v/>
      </c>
      <c r="D993" s="519"/>
      <c r="E993" s="117" t="str">
        <f>IF(A993&amp;B993="","",VLOOKUP(A993&amp;B993,INSUMOS!C:G,3,0))</f>
        <v/>
      </c>
      <c r="F993" s="118"/>
      <c r="G993" s="113" t="str">
        <f>IF(A993&amp;B993="","",VLOOKUP(A993&amp;B993,INSUMOS!C:G,4,0))</f>
        <v/>
      </c>
      <c r="H993" s="119" t="str">
        <f t="shared" si="162"/>
        <v/>
      </c>
      <c r="I993" s="119" t="str">
        <f t="shared" si="163"/>
        <v/>
      </c>
      <c r="J993" s="115" t="str">
        <f t="shared" si="164"/>
        <v/>
      </c>
      <c r="K993" s="102" t="str">
        <f>IF(A993&amp;B993="","",VLOOKUP(A993&amp;B993,INSUMOS!C:G,5,0))</f>
        <v/>
      </c>
    </row>
    <row r="994" spans="1:17" ht="15" x14ac:dyDescent="0.25">
      <c r="A994" s="109"/>
      <c r="B994" s="116"/>
      <c r="C994" s="518" t="str">
        <f>IF(A994&amp;B994="","",VLOOKUP(A994&amp;B994,INSUMOS!C:G,2,0))</f>
        <v/>
      </c>
      <c r="D994" s="519"/>
      <c r="E994" s="117" t="str">
        <f>IF(A994&amp;B994="","",VLOOKUP(A994&amp;B994,INSUMOS!C:G,3,0))</f>
        <v/>
      </c>
      <c r="F994" s="118"/>
      <c r="G994" s="113" t="str">
        <f>IF(A994&amp;B994="","",VLOOKUP(A994&amp;B994,INSUMOS!C:G,4,0))</f>
        <v/>
      </c>
      <c r="H994" s="119" t="str">
        <f t="shared" si="162"/>
        <v/>
      </c>
      <c r="I994" s="119" t="str">
        <f t="shared" si="163"/>
        <v/>
      </c>
      <c r="J994" s="115" t="str">
        <f t="shared" si="164"/>
        <v/>
      </c>
      <c r="K994" s="102" t="str">
        <f>IF(A994&amp;B994="","",VLOOKUP(A994&amp;B994,INSUMOS!C:G,5,0))</f>
        <v/>
      </c>
    </row>
    <row r="995" spans="1:17" ht="15" x14ac:dyDescent="0.25">
      <c r="A995" s="109"/>
      <c r="B995" s="116"/>
      <c r="C995" s="518" t="str">
        <f>IF(A995&amp;B995="","",VLOOKUP(A995&amp;B995,INSUMOS!C:G,2,0))</f>
        <v/>
      </c>
      <c r="D995" s="519"/>
      <c r="E995" s="117" t="str">
        <f>IF(A995&amp;B995="","",VLOOKUP(A995&amp;B995,INSUMOS!C:G,3,0))</f>
        <v/>
      </c>
      <c r="F995" s="118"/>
      <c r="G995" s="113" t="str">
        <f>IF(A995&amp;B995="","",VLOOKUP(A995&amp;B995,INSUMOS!C:G,4,0))</f>
        <v/>
      </c>
      <c r="H995" s="119" t="str">
        <f t="shared" si="162"/>
        <v/>
      </c>
      <c r="I995" s="119" t="str">
        <f t="shared" si="163"/>
        <v/>
      </c>
      <c r="J995" s="115" t="str">
        <f t="shared" si="164"/>
        <v/>
      </c>
      <c r="K995" s="102" t="str">
        <f>IF(A995&amp;B995="","",VLOOKUP(A995&amp;B995,INSUMOS!C:G,5,0))</f>
        <v/>
      </c>
    </row>
    <row r="996" spans="1:17" ht="15" x14ac:dyDescent="0.25">
      <c r="A996" s="109"/>
      <c r="B996" s="116"/>
      <c r="C996" s="518" t="str">
        <f>IF(A996&amp;B996="","",VLOOKUP(A996&amp;B996,INSUMOS!C:G,2,0))</f>
        <v/>
      </c>
      <c r="D996" s="519"/>
      <c r="E996" s="117" t="str">
        <f>IF(A996&amp;B996="","",VLOOKUP(A996&amp;B996,INSUMOS!C:G,3,0))</f>
        <v/>
      </c>
      <c r="F996" s="118"/>
      <c r="G996" s="113" t="str">
        <f>IF(A996&amp;B996="","",VLOOKUP(A996&amp;B996,INSUMOS!C:G,4,0))</f>
        <v/>
      </c>
      <c r="H996" s="119" t="str">
        <f t="shared" si="162"/>
        <v/>
      </c>
      <c r="I996" s="119" t="str">
        <f t="shared" si="163"/>
        <v/>
      </c>
      <c r="J996" s="115" t="str">
        <f t="shared" si="164"/>
        <v/>
      </c>
      <c r="K996" s="102" t="str">
        <f>IF(A996&amp;B996="","",VLOOKUP(A996&amp;B996,INSUMOS!C:G,5,0))</f>
        <v/>
      </c>
    </row>
    <row r="997" spans="1:17" ht="15" x14ac:dyDescent="0.25">
      <c r="A997" s="120"/>
      <c r="B997" s="121"/>
      <c r="C997" s="518" t="str">
        <f>IF(A997&amp;B997="","",VLOOKUP(A997&amp;B997,INSUMOS!C:G,2,0))</f>
        <v/>
      </c>
      <c r="D997" s="519"/>
      <c r="E997" s="117" t="str">
        <f>IF(A997&amp;B997="","",VLOOKUP(A997&amp;B997,INSUMOS!C:G,3,0))</f>
        <v/>
      </c>
      <c r="F997" s="118"/>
      <c r="G997" s="122" t="str">
        <f>IF(A997&amp;B997="","",VLOOKUP(A997&amp;B997,INSUMOS!C:G,4,0))</f>
        <v/>
      </c>
      <c r="H997" s="119" t="str">
        <f t="shared" si="162"/>
        <v/>
      </c>
      <c r="I997" s="119" t="str">
        <f t="shared" si="163"/>
        <v/>
      </c>
      <c r="J997" s="115" t="str">
        <f t="shared" si="164"/>
        <v/>
      </c>
      <c r="K997" s="102" t="str">
        <f>IF(A997&amp;B997="","",VLOOKUP(A997&amp;B997,INSUMOS!C:G,5,0))</f>
        <v/>
      </c>
    </row>
    <row r="998" spans="1:17" ht="15" x14ac:dyDescent="0.25">
      <c r="A998" s="120"/>
      <c r="B998" s="121"/>
      <c r="C998" s="518" t="str">
        <f>IF(A998&amp;B998="","",VLOOKUP(A998&amp;B998,INSUMOS!C:G,2,0))</f>
        <v/>
      </c>
      <c r="D998" s="519"/>
      <c r="E998" s="117" t="str">
        <f>IF(A998&amp;B998="","",VLOOKUP(A998&amp;B998,INSUMOS!C:G,3,0))</f>
        <v/>
      </c>
      <c r="F998" s="118"/>
      <c r="G998" s="122" t="str">
        <f>IF(A998&amp;B998="","",VLOOKUP(A998&amp;B998,INSUMOS!C:G,4,0))</f>
        <v/>
      </c>
      <c r="H998" s="119" t="str">
        <f t="shared" si="162"/>
        <v/>
      </c>
      <c r="I998" s="119" t="str">
        <f t="shared" si="163"/>
        <v/>
      </c>
      <c r="J998" s="115" t="str">
        <f t="shared" si="164"/>
        <v/>
      </c>
      <c r="K998" s="102" t="str">
        <f>IF(A998&amp;B998="","",VLOOKUP(A998&amp;B998,INSUMOS!C:G,5,0))</f>
        <v/>
      </c>
    </row>
    <row r="999" spans="1:17" ht="15" x14ac:dyDescent="0.25">
      <c r="A999" s="120"/>
      <c r="B999" s="121"/>
      <c r="C999" s="518" t="str">
        <f>IF(A999&amp;B999="","",VLOOKUP(A999&amp;B999,INSUMOS!C:G,2,0))</f>
        <v/>
      </c>
      <c r="D999" s="519"/>
      <c r="E999" s="117" t="str">
        <f>IF(A999&amp;B999="","",VLOOKUP(A999&amp;B999,INSUMOS!C:G,3,0))</f>
        <v/>
      </c>
      <c r="F999" s="118"/>
      <c r="G999" s="122" t="str">
        <f>IF(A999&amp;B999="","",VLOOKUP(A999&amp;B999,INSUMOS!C:G,4,0))</f>
        <v/>
      </c>
      <c r="H999" s="119" t="str">
        <f t="shared" si="162"/>
        <v/>
      </c>
      <c r="I999" s="119" t="str">
        <f t="shared" si="163"/>
        <v/>
      </c>
      <c r="J999" s="115" t="str">
        <f t="shared" si="164"/>
        <v/>
      </c>
      <c r="K999" s="102" t="str">
        <f>IF(A999&amp;B999="","",VLOOKUP(A999&amp;B999,INSUMOS!C:G,5,0))</f>
        <v/>
      </c>
    </row>
    <row r="1000" spans="1:17" ht="15" x14ac:dyDescent="0.25">
      <c r="A1000" s="123" t="s">
        <v>4399</v>
      </c>
      <c r="B1000" s="520"/>
      <c r="C1000" s="520"/>
      <c r="D1000" s="520"/>
      <c r="E1000" s="520"/>
      <c r="F1000" s="521"/>
      <c r="G1000" s="124" t="s">
        <v>50</v>
      </c>
      <c r="H1000" s="125">
        <f>SUM(H987:H999)</f>
        <v>1.96</v>
      </c>
      <c r="I1000" s="125">
        <f>SUM(I987:I999)</f>
        <v>89.22</v>
      </c>
      <c r="J1000" s="126">
        <f>SUM(J987:J999)</f>
        <v>0</v>
      </c>
    </row>
    <row r="1001" spans="1:17" ht="15" x14ac:dyDescent="0.25">
      <c r="A1001" s="127" t="s">
        <v>4400</v>
      </c>
      <c r="B1001" s="128"/>
      <c r="C1001" s="128"/>
      <c r="D1001" s="127" t="s">
        <v>51</v>
      </c>
      <c r="E1001" s="128"/>
      <c r="F1001" s="129"/>
      <c r="G1001" s="130" t="s">
        <v>55</v>
      </c>
      <c r="H1001" s="131" t="s">
        <v>52</v>
      </c>
      <c r="I1001" s="132"/>
      <c r="J1001" s="125">
        <f>SUM(H1000:J1000)</f>
        <v>91.179999999999993</v>
      </c>
    </row>
    <row r="1002" spans="1:17" ht="15" x14ac:dyDescent="0.25">
      <c r="A1002" s="313" t="str">
        <f>$I$3</f>
        <v>Carlos Wieck</v>
      </c>
      <c r="B1002" s="133"/>
      <c r="C1002" s="133"/>
      <c r="D1002" s="134"/>
      <c r="E1002" s="133"/>
      <c r="F1002" s="135"/>
      <c r="G1002" s="522">
        <f>$J$5</f>
        <v>43040</v>
      </c>
      <c r="H1002" s="136" t="s">
        <v>53</v>
      </c>
      <c r="I1002" s="137"/>
      <c r="J1002" s="125">
        <f>TRUNC(I1002*J1001,2)</f>
        <v>0</v>
      </c>
    </row>
    <row r="1003" spans="1:17" ht="15" x14ac:dyDescent="0.25">
      <c r="A1003" s="138"/>
      <c r="B1003" s="139"/>
      <c r="C1003" s="139"/>
      <c r="D1003" s="138"/>
      <c r="E1003" s="139"/>
      <c r="F1003" s="140"/>
      <c r="G1003" s="523"/>
      <c r="H1003" s="141" t="s">
        <v>54</v>
      </c>
      <c r="I1003" s="142"/>
      <c r="J1003" s="143">
        <f>J1002+J1001</f>
        <v>91.179999999999993</v>
      </c>
      <c r="L1003" s="102" t="str">
        <f>A984</f>
        <v>COMPOSIÇÃO</v>
      </c>
      <c r="M1003" s="144" t="str">
        <f>B984</f>
        <v>FF-035</v>
      </c>
      <c r="N1003" s="102" t="str">
        <f>L1003&amp;M1003</f>
        <v>COMPOSIÇÃOFF-035</v>
      </c>
      <c r="O1003" s="103" t="str">
        <f>D983</f>
        <v>Fornecimento e plantio de Aechmea distichantha - Planta-vaso</v>
      </c>
      <c r="P1003" s="145" t="str">
        <f>J984</f>
        <v>un</v>
      </c>
      <c r="Q1003" s="145">
        <f>J1003</f>
        <v>91.179999999999993</v>
      </c>
    </row>
    <row r="1004" spans="1:17" ht="15" customHeight="1" x14ac:dyDescent="0.25">
      <c r="A1004" s="524" t="s">
        <v>40</v>
      </c>
      <c r="B1004" s="525"/>
      <c r="C1004" s="104" t="s">
        <v>41</v>
      </c>
      <c r="D1004" s="526" t="str">
        <f>IF(B1005="","",VLOOKUP(B1005,SERVIÇOS!B:E,3,0))</f>
        <v>Fornecimento e plantio de Aechmea gracilis - Bromélia</v>
      </c>
      <c r="E1004" s="526"/>
      <c r="F1004" s="526"/>
      <c r="G1004" s="526"/>
      <c r="H1004" s="526"/>
      <c r="I1004" s="527"/>
      <c r="J1004" s="105" t="s">
        <v>42</v>
      </c>
    </row>
    <row r="1005" spans="1:17" ht="15" x14ac:dyDescent="0.25">
      <c r="A1005" s="230" t="s">
        <v>4715</v>
      </c>
      <c r="B1005" s="230" t="s">
        <v>4915</v>
      </c>
      <c r="C1005" s="106"/>
      <c r="D1005" s="528"/>
      <c r="E1005" s="528"/>
      <c r="F1005" s="528"/>
      <c r="G1005" s="528"/>
      <c r="H1005" s="528"/>
      <c r="I1005" s="529"/>
      <c r="J1005" s="107" t="str">
        <f>IF(B1005="","",VLOOKUP(B1005,SERVIÇOS!B:E,4,0))</f>
        <v>un</v>
      </c>
    </row>
    <row r="1006" spans="1:17" ht="15" x14ac:dyDescent="0.25">
      <c r="A1006" s="530" t="s">
        <v>4397</v>
      </c>
      <c r="B1006" s="531" t="s">
        <v>11</v>
      </c>
      <c r="C1006" s="533" t="s">
        <v>43</v>
      </c>
      <c r="D1006" s="534"/>
      <c r="E1006" s="530" t="s">
        <v>13</v>
      </c>
      <c r="F1006" s="530" t="s">
        <v>44</v>
      </c>
      <c r="G1006" s="538" t="s">
        <v>45</v>
      </c>
      <c r="H1006" s="108" t="s">
        <v>46</v>
      </c>
      <c r="I1006" s="108"/>
      <c r="J1006" s="108"/>
    </row>
    <row r="1007" spans="1:17" ht="15" x14ac:dyDescent="0.25">
      <c r="A1007" s="530"/>
      <c r="B1007" s="532"/>
      <c r="C1007" s="535"/>
      <c r="D1007" s="536"/>
      <c r="E1007" s="537"/>
      <c r="F1007" s="537"/>
      <c r="G1007" s="539"/>
      <c r="H1007" s="108" t="s">
        <v>47</v>
      </c>
      <c r="I1007" s="108" t="s">
        <v>48</v>
      </c>
      <c r="J1007" s="108" t="s">
        <v>49</v>
      </c>
    </row>
    <row r="1008" spans="1:17" ht="15" x14ac:dyDescent="0.25">
      <c r="A1008" s="109" t="s">
        <v>4717</v>
      </c>
      <c r="B1008" s="116" t="s">
        <v>4947</v>
      </c>
      <c r="C1008" s="540" t="str">
        <f>IF(A1008&amp;B1008="","",VLOOKUP(A1008&amp;B1008,INSUMOS!C:G,2,0))</f>
        <v>Fornecimento e plantio de Aechmea gracilis - Bromélia</v>
      </c>
      <c r="D1008" s="541"/>
      <c r="E1008" s="111" t="str">
        <f>IF(A1008&amp;B1008="","",VLOOKUP(A1008&amp;B1008,INSUMOS!C:G,3,0))</f>
        <v>un</v>
      </c>
      <c r="F1008" s="112">
        <v>1</v>
      </c>
      <c r="G1008" s="113">
        <f>IF(A1008&amp;B1008="","",VLOOKUP(A1008&amp;B1008,INSUMOS!C:G,4,0))</f>
        <v>80.837999999999994</v>
      </c>
      <c r="H1008" s="114" t="str">
        <f>IF(K1008="MO",TRUNC(F1008*G1008,2),"")</f>
        <v/>
      </c>
      <c r="I1008" s="114">
        <f>IF(K1008="MT",TRUNC(F1008*G1008,2),"")</f>
        <v>80.83</v>
      </c>
      <c r="J1008" s="115" t="str">
        <f>IF(K1008="EQ",TRUNC(F1008*G1008,2),"")</f>
        <v/>
      </c>
      <c r="K1008" s="102" t="str">
        <f>IF(A1008&amp;B1008="","",VLOOKUP(A1008&amp;B1008,INSUMOS!C:G,5,0))</f>
        <v>MT</v>
      </c>
    </row>
    <row r="1009" spans="1:17" ht="15" x14ac:dyDescent="0.25">
      <c r="A1009" s="109" t="s">
        <v>4398</v>
      </c>
      <c r="B1009" s="116">
        <v>10101</v>
      </c>
      <c r="C1009" s="518" t="str">
        <f>IF(A1009&amp;B1009="","",VLOOKUP(A1009&amp;B1009,INSUMOS!C:G,2,0))</f>
        <v>Ajudante geral</v>
      </c>
      <c r="D1009" s="519"/>
      <c r="E1009" s="117" t="str">
        <f>IF(A1009&amp;B1009="","",VLOOKUP(A1009&amp;B1009,INSUMOS!C:G,3,0))</f>
        <v>h</v>
      </c>
      <c r="F1009" s="118">
        <v>0.1</v>
      </c>
      <c r="G1009" s="113">
        <f>IF(A1009&amp;B1009="","",VLOOKUP(A1009&amp;B1009,INSUMOS!C:G,4,0))</f>
        <v>11.238228999999999</v>
      </c>
      <c r="H1009" s="119">
        <f t="shared" ref="H1009:H1020" si="165">IF(K1009="MO",TRUNC(F1009*G1009,2),"")</f>
        <v>1.1200000000000001</v>
      </c>
      <c r="I1009" s="119" t="str">
        <f t="shared" ref="I1009:I1020" si="166">IF(K1009="MT",TRUNC(F1009*G1009,2),"")</f>
        <v/>
      </c>
      <c r="J1009" s="115" t="str">
        <f t="shared" ref="J1009:J1020" si="167">IF(K1009="EQ",TRUNC(F1009*G1009,2),"")</f>
        <v/>
      </c>
      <c r="K1009" s="102" t="str">
        <f>IF(A1009&amp;B1009="","",VLOOKUP(A1009&amp;B1009,INSUMOS!C:G,5,0))</f>
        <v>MO</v>
      </c>
    </row>
    <row r="1010" spans="1:17" ht="15" x14ac:dyDescent="0.25">
      <c r="A1010" s="109" t="s">
        <v>4398</v>
      </c>
      <c r="B1010" s="116">
        <v>10126</v>
      </c>
      <c r="C1010" s="518" t="str">
        <f>IF(A1010&amp;B1010="","",VLOOKUP(A1010&amp;B1010,INSUMOS!C:G,2,0))</f>
        <v>Jardineiro</v>
      </c>
      <c r="D1010" s="519"/>
      <c r="E1010" s="117" t="str">
        <f>IF(A1010&amp;B1010="","",VLOOKUP(A1010&amp;B1010,INSUMOS!C:G,3,0))</f>
        <v>h</v>
      </c>
      <c r="F1010" s="118">
        <v>7.0000000000000007E-2</v>
      </c>
      <c r="G1010" s="113">
        <f>IF(A1010&amp;B1010="","",VLOOKUP(A1010&amp;B1010,INSUMOS!C:G,4,0))</f>
        <v>12.07574</v>
      </c>
      <c r="H1010" s="119">
        <f t="shared" si="165"/>
        <v>0.84</v>
      </c>
      <c r="I1010" s="119" t="str">
        <f t="shared" si="166"/>
        <v/>
      </c>
      <c r="J1010" s="115" t="str">
        <f t="shared" si="167"/>
        <v/>
      </c>
      <c r="K1010" s="102" t="str">
        <f>IF(A1010&amp;B1010="","",VLOOKUP(A1010&amp;B1010,INSUMOS!C:G,5,0))</f>
        <v>MO</v>
      </c>
    </row>
    <row r="1011" spans="1:17" ht="15" x14ac:dyDescent="0.25">
      <c r="A1011" s="109" t="s">
        <v>4398</v>
      </c>
      <c r="B1011" s="116">
        <v>38511</v>
      </c>
      <c r="C1011" s="518" t="str">
        <f>IF(A1011&amp;B1011="","",VLOOKUP(A1011&amp;B1011,INSUMOS!C:G,2,0))</f>
        <v>Terra vegetal orgânica comum</v>
      </c>
      <c r="D1011" s="519"/>
      <c r="E1011" s="117" t="str">
        <f>IF(A1011&amp;B1011="","",VLOOKUP(A1011&amp;B1011,INSUMOS!C:G,3,0))</f>
        <v>m³</v>
      </c>
      <c r="F1011" s="118">
        <v>0.08</v>
      </c>
      <c r="G1011" s="113">
        <f>IF(A1011&amp;B1011="","",VLOOKUP(A1011&amp;B1011,INSUMOS!C:G,4,0))</f>
        <v>92.46</v>
      </c>
      <c r="H1011" s="119" t="str">
        <f t="shared" si="165"/>
        <v/>
      </c>
      <c r="I1011" s="119">
        <f t="shared" si="166"/>
        <v>7.39</v>
      </c>
      <c r="J1011" s="115" t="str">
        <f t="shared" si="167"/>
        <v/>
      </c>
      <c r="K1011" s="102" t="str">
        <f>IF(A1011&amp;B1011="","",VLOOKUP(A1011&amp;B1011,INSUMOS!C:G,5,0))</f>
        <v>MT</v>
      </c>
    </row>
    <row r="1012" spans="1:17" ht="15" x14ac:dyDescent="0.25">
      <c r="A1012" s="109"/>
      <c r="B1012" s="116"/>
      <c r="C1012" s="518" t="str">
        <f>IF(A1012&amp;B1012="","",VLOOKUP(A1012&amp;B1012,INSUMOS!C:G,2,0))</f>
        <v/>
      </c>
      <c r="D1012" s="519"/>
      <c r="E1012" s="117" t="str">
        <f>IF(A1012&amp;B1012="","",VLOOKUP(A1012&amp;B1012,INSUMOS!C:G,3,0))</f>
        <v/>
      </c>
      <c r="F1012" s="118"/>
      <c r="G1012" s="113" t="str">
        <f>IF(A1012&amp;B1012="","",VLOOKUP(A1012&amp;B1012,INSUMOS!C:G,4,0))</f>
        <v/>
      </c>
      <c r="H1012" s="119" t="str">
        <f t="shared" si="165"/>
        <v/>
      </c>
      <c r="I1012" s="119" t="str">
        <f t="shared" si="166"/>
        <v/>
      </c>
      <c r="J1012" s="115" t="str">
        <f t="shared" si="167"/>
        <v/>
      </c>
      <c r="K1012" s="102" t="str">
        <f>IF(A1012&amp;B1012="","",VLOOKUP(A1012&amp;B1012,INSUMOS!C:G,5,0))</f>
        <v/>
      </c>
    </row>
    <row r="1013" spans="1:17" ht="15" x14ac:dyDescent="0.25">
      <c r="A1013" s="109"/>
      <c r="B1013" s="116"/>
      <c r="C1013" s="518" t="str">
        <f>IF(A1013&amp;B1013="","",VLOOKUP(A1013&amp;B1013,INSUMOS!C:G,2,0))</f>
        <v/>
      </c>
      <c r="D1013" s="519"/>
      <c r="E1013" s="117" t="str">
        <f>IF(A1013&amp;B1013="","",VLOOKUP(A1013&amp;B1013,INSUMOS!C:G,3,0))</f>
        <v/>
      </c>
      <c r="F1013" s="118"/>
      <c r="G1013" s="113" t="str">
        <f>IF(A1013&amp;B1013="","",VLOOKUP(A1013&amp;B1013,INSUMOS!C:G,4,0))</f>
        <v/>
      </c>
      <c r="H1013" s="119" t="str">
        <f t="shared" si="165"/>
        <v/>
      </c>
      <c r="I1013" s="119" t="str">
        <f t="shared" si="166"/>
        <v/>
      </c>
      <c r="J1013" s="115" t="str">
        <f t="shared" si="167"/>
        <v/>
      </c>
      <c r="K1013" s="102" t="str">
        <f>IF(A1013&amp;B1013="","",VLOOKUP(A1013&amp;B1013,INSUMOS!C:G,5,0))</f>
        <v/>
      </c>
    </row>
    <row r="1014" spans="1:17" ht="15" x14ac:dyDescent="0.25">
      <c r="A1014" s="109"/>
      <c r="B1014" s="116"/>
      <c r="C1014" s="518" t="str">
        <f>IF(A1014&amp;B1014="","",VLOOKUP(A1014&amp;B1014,INSUMOS!C:G,2,0))</f>
        <v/>
      </c>
      <c r="D1014" s="519"/>
      <c r="E1014" s="117" t="str">
        <f>IF(A1014&amp;B1014="","",VLOOKUP(A1014&amp;B1014,INSUMOS!C:G,3,0))</f>
        <v/>
      </c>
      <c r="F1014" s="118"/>
      <c r="G1014" s="113" t="str">
        <f>IF(A1014&amp;B1014="","",VLOOKUP(A1014&amp;B1014,INSUMOS!C:G,4,0))</f>
        <v/>
      </c>
      <c r="H1014" s="119" t="str">
        <f t="shared" si="165"/>
        <v/>
      </c>
      <c r="I1014" s="119" t="str">
        <f t="shared" si="166"/>
        <v/>
      </c>
      <c r="J1014" s="115" t="str">
        <f t="shared" si="167"/>
        <v/>
      </c>
      <c r="K1014" s="102" t="str">
        <f>IF(A1014&amp;B1014="","",VLOOKUP(A1014&amp;B1014,INSUMOS!C:G,5,0))</f>
        <v/>
      </c>
    </row>
    <row r="1015" spans="1:17" ht="15" x14ac:dyDescent="0.25">
      <c r="A1015" s="109"/>
      <c r="B1015" s="116"/>
      <c r="C1015" s="518" t="str">
        <f>IF(A1015&amp;B1015="","",VLOOKUP(A1015&amp;B1015,INSUMOS!C:G,2,0))</f>
        <v/>
      </c>
      <c r="D1015" s="519"/>
      <c r="E1015" s="117" t="str">
        <f>IF(A1015&amp;B1015="","",VLOOKUP(A1015&amp;B1015,INSUMOS!C:G,3,0))</f>
        <v/>
      </c>
      <c r="F1015" s="118"/>
      <c r="G1015" s="113" t="str">
        <f>IF(A1015&amp;B1015="","",VLOOKUP(A1015&amp;B1015,INSUMOS!C:G,4,0))</f>
        <v/>
      </c>
      <c r="H1015" s="119" t="str">
        <f t="shared" si="165"/>
        <v/>
      </c>
      <c r="I1015" s="119" t="str">
        <f t="shared" si="166"/>
        <v/>
      </c>
      <c r="J1015" s="115" t="str">
        <f t="shared" si="167"/>
        <v/>
      </c>
      <c r="K1015" s="102" t="str">
        <f>IF(A1015&amp;B1015="","",VLOOKUP(A1015&amp;B1015,INSUMOS!C:G,5,0))</f>
        <v/>
      </c>
    </row>
    <row r="1016" spans="1:17" ht="15" x14ac:dyDescent="0.25">
      <c r="A1016" s="109"/>
      <c r="B1016" s="116"/>
      <c r="C1016" s="518" t="str">
        <f>IF(A1016&amp;B1016="","",VLOOKUP(A1016&amp;B1016,INSUMOS!C:G,2,0))</f>
        <v/>
      </c>
      <c r="D1016" s="519"/>
      <c r="E1016" s="117" t="str">
        <f>IF(A1016&amp;B1016="","",VLOOKUP(A1016&amp;B1016,INSUMOS!C:G,3,0))</f>
        <v/>
      </c>
      <c r="F1016" s="118"/>
      <c r="G1016" s="113" t="str">
        <f>IF(A1016&amp;B1016="","",VLOOKUP(A1016&amp;B1016,INSUMOS!C:G,4,0))</f>
        <v/>
      </c>
      <c r="H1016" s="119" t="str">
        <f t="shared" si="165"/>
        <v/>
      </c>
      <c r="I1016" s="119" t="str">
        <f t="shared" si="166"/>
        <v/>
      </c>
      <c r="J1016" s="115" t="str">
        <f t="shared" si="167"/>
        <v/>
      </c>
      <c r="K1016" s="102" t="str">
        <f>IF(A1016&amp;B1016="","",VLOOKUP(A1016&amp;B1016,INSUMOS!C:G,5,0))</f>
        <v/>
      </c>
    </row>
    <row r="1017" spans="1:17" ht="15" x14ac:dyDescent="0.25">
      <c r="A1017" s="109"/>
      <c r="B1017" s="116"/>
      <c r="C1017" s="518" t="str">
        <f>IF(A1017&amp;B1017="","",VLOOKUP(A1017&amp;B1017,INSUMOS!C:G,2,0))</f>
        <v/>
      </c>
      <c r="D1017" s="519"/>
      <c r="E1017" s="117" t="str">
        <f>IF(A1017&amp;B1017="","",VLOOKUP(A1017&amp;B1017,INSUMOS!C:G,3,0))</f>
        <v/>
      </c>
      <c r="F1017" s="118"/>
      <c r="G1017" s="113" t="str">
        <f>IF(A1017&amp;B1017="","",VLOOKUP(A1017&amp;B1017,INSUMOS!C:G,4,0))</f>
        <v/>
      </c>
      <c r="H1017" s="119" t="str">
        <f t="shared" si="165"/>
        <v/>
      </c>
      <c r="I1017" s="119" t="str">
        <f t="shared" si="166"/>
        <v/>
      </c>
      <c r="J1017" s="115" t="str">
        <f t="shared" si="167"/>
        <v/>
      </c>
      <c r="K1017" s="102" t="str">
        <f>IF(A1017&amp;B1017="","",VLOOKUP(A1017&amp;B1017,INSUMOS!C:G,5,0))</f>
        <v/>
      </c>
    </row>
    <row r="1018" spans="1:17" ht="15" x14ac:dyDescent="0.25">
      <c r="A1018" s="120"/>
      <c r="B1018" s="121"/>
      <c r="C1018" s="518" t="str">
        <f>IF(A1018&amp;B1018="","",VLOOKUP(A1018&amp;B1018,INSUMOS!C:G,2,0))</f>
        <v/>
      </c>
      <c r="D1018" s="519"/>
      <c r="E1018" s="117" t="str">
        <f>IF(A1018&amp;B1018="","",VLOOKUP(A1018&amp;B1018,INSUMOS!C:G,3,0))</f>
        <v/>
      </c>
      <c r="F1018" s="118"/>
      <c r="G1018" s="122" t="str">
        <f>IF(A1018&amp;B1018="","",VLOOKUP(A1018&amp;B1018,INSUMOS!C:G,4,0))</f>
        <v/>
      </c>
      <c r="H1018" s="119" t="str">
        <f t="shared" si="165"/>
        <v/>
      </c>
      <c r="I1018" s="119" t="str">
        <f t="shared" si="166"/>
        <v/>
      </c>
      <c r="J1018" s="115" t="str">
        <f t="shared" si="167"/>
        <v/>
      </c>
      <c r="K1018" s="102" t="str">
        <f>IF(A1018&amp;B1018="","",VLOOKUP(A1018&amp;B1018,INSUMOS!C:G,5,0))</f>
        <v/>
      </c>
    </row>
    <row r="1019" spans="1:17" ht="15" x14ac:dyDescent="0.25">
      <c r="A1019" s="120"/>
      <c r="B1019" s="121"/>
      <c r="C1019" s="518" t="str">
        <f>IF(A1019&amp;B1019="","",VLOOKUP(A1019&amp;B1019,INSUMOS!C:G,2,0))</f>
        <v/>
      </c>
      <c r="D1019" s="519"/>
      <c r="E1019" s="117" t="str">
        <f>IF(A1019&amp;B1019="","",VLOOKUP(A1019&amp;B1019,INSUMOS!C:G,3,0))</f>
        <v/>
      </c>
      <c r="F1019" s="118"/>
      <c r="G1019" s="122" t="str">
        <f>IF(A1019&amp;B1019="","",VLOOKUP(A1019&amp;B1019,INSUMOS!C:G,4,0))</f>
        <v/>
      </c>
      <c r="H1019" s="119" t="str">
        <f t="shared" si="165"/>
        <v/>
      </c>
      <c r="I1019" s="119" t="str">
        <f t="shared" si="166"/>
        <v/>
      </c>
      <c r="J1019" s="115" t="str">
        <f t="shared" si="167"/>
        <v/>
      </c>
      <c r="K1019" s="102" t="str">
        <f>IF(A1019&amp;B1019="","",VLOOKUP(A1019&amp;B1019,INSUMOS!C:G,5,0))</f>
        <v/>
      </c>
    </row>
    <row r="1020" spans="1:17" ht="15" x14ac:dyDescent="0.25">
      <c r="A1020" s="120"/>
      <c r="B1020" s="121"/>
      <c r="C1020" s="518" t="str">
        <f>IF(A1020&amp;B1020="","",VLOOKUP(A1020&amp;B1020,INSUMOS!C:G,2,0))</f>
        <v/>
      </c>
      <c r="D1020" s="519"/>
      <c r="E1020" s="117" t="str">
        <f>IF(A1020&amp;B1020="","",VLOOKUP(A1020&amp;B1020,INSUMOS!C:G,3,0))</f>
        <v/>
      </c>
      <c r="F1020" s="118"/>
      <c r="G1020" s="122" t="str">
        <f>IF(A1020&amp;B1020="","",VLOOKUP(A1020&amp;B1020,INSUMOS!C:G,4,0))</f>
        <v/>
      </c>
      <c r="H1020" s="119" t="str">
        <f t="shared" si="165"/>
        <v/>
      </c>
      <c r="I1020" s="119" t="str">
        <f t="shared" si="166"/>
        <v/>
      </c>
      <c r="J1020" s="115" t="str">
        <f t="shared" si="167"/>
        <v/>
      </c>
      <c r="K1020" s="102" t="str">
        <f>IF(A1020&amp;B1020="","",VLOOKUP(A1020&amp;B1020,INSUMOS!C:G,5,0))</f>
        <v/>
      </c>
    </row>
    <row r="1021" spans="1:17" ht="15" x14ac:dyDescent="0.25">
      <c r="A1021" s="123" t="s">
        <v>4399</v>
      </c>
      <c r="B1021" s="520"/>
      <c r="C1021" s="520"/>
      <c r="D1021" s="520"/>
      <c r="E1021" s="520"/>
      <c r="F1021" s="521"/>
      <c r="G1021" s="124" t="s">
        <v>50</v>
      </c>
      <c r="H1021" s="125">
        <f>SUM(H1008:H1020)</f>
        <v>1.96</v>
      </c>
      <c r="I1021" s="125">
        <f>SUM(I1008:I1020)</f>
        <v>88.22</v>
      </c>
      <c r="J1021" s="126">
        <f>SUM(J1008:J1020)</f>
        <v>0</v>
      </c>
    </row>
    <row r="1022" spans="1:17" ht="15" x14ac:dyDescent="0.25">
      <c r="A1022" s="127" t="s">
        <v>4400</v>
      </c>
      <c r="B1022" s="128"/>
      <c r="C1022" s="128"/>
      <c r="D1022" s="127" t="s">
        <v>51</v>
      </c>
      <c r="E1022" s="128"/>
      <c r="F1022" s="129"/>
      <c r="G1022" s="130" t="s">
        <v>55</v>
      </c>
      <c r="H1022" s="131" t="s">
        <v>52</v>
      </c>
      <c r="I1022" s="132"/>
      <c r="J1022" s="125">
        <f>SUM(H1021:J1021)</f>
        <v>90.179999999999993</v>
      </c>
    </row>
    <row r="1023" spans="1:17" ht="15" x14ac:dyDescent="0.25">
      <c r="A1023" s="313" t="str">
        <f>$I$3</f>
        <v>Carlos Wieck</v>
      </c>
      <c r="B1023" s="133"/>
      <c r="C1023" s="133"/>
      <c r="D1023" s="134"/>
      <c r="E1023" s="133"/>
      <c r="F1023" s="135"/>
      <c r="G1023" s="522">
        <f>$J$5</f>
        <v>43040</v>
      </c>
      <c r="H1023" s="136" t="s">
        <v>53</v>
      </c>
      <c r="I1023" s="137"/>
      <c r="J1023" s="125">
        <f>TRUNC(I1023*J1022,2)</f>
        <v>0</v>
      </c>
    </row>
    <row r="1024" spans="1:17" ht="15" x14ac:dyDescent="0.25">
      <c r="A1024" s="138"/>
      <c r="B1024" s="139"/>
      <c r="C1024" s="139"/>
      <c r="D1024" s="138"/>
      <c r="E1024" s="139"/>
      <c r="F1024" s="140"/>
      <c r="G1024" s="523"/>
      <c r="H1024" s="141" t="s">
        <v>54</v>
      </c>
      <c r="I1024" s="142"/>
      <c r="J1024" s="143">
        <f>J1023+J1022</f>
        <v>90.179999999999993</v>
      </c>
      <c r="L1024" s="102" t="str">
        <f>A1005</f>
        <v>COMPOSIÇÃO</v>
      </c>
      <c r="M1024" s="144" t="str">
        <f>B1005</f>
        <v>FF-036</v>
      </c>
      <c r="N1024" s="102" t="str">
        <f>L1024&amp;M1024</f>
        <v>COMPOSIÇÃOFF-036</v>
      </c>
      <c r="O1024" s="103" t="str">
        <f>D1004</f>
        <v>Fornecimento e plantio de Aechmea gracilis - Bromélia</v>
      </c>
      <c r="P1024" s="145" t="str">
        <f>J1005</f>
        <v>un</v>
      </c>
      <c r="Q1024" s="145">
        <f>J1024</f>
        <v>90.179999999999993</v>
      </c>
    </row>
    <row r="1025" spans="1:11" ht="15" customHeight="1" x14ac:dyDescent="0.25">
      <c r="A1025" s="524" t="s">
        <v>40</v>
      </c>
      <c r="B1025" s="525"/>
      <c r="C1025" s="104" t="s">
        <v>41</v>
      </c>
      <c r="D1025" s="526" t="str">
        <f>IF(B1026="","",VLOOKUP(B1026,SERVIÇOS!B:E,3,0))</f>
        <v>Fornecimento e plantio de Bromelia antiacantha - Caraguatá</v>
      </c>
      <c r="E1025" s="526"/>
      <c r="F1025" s="526"/>
      <c r="G1025" s="526"/>
      <c r="H1025" s="526"/>
      <c r="I1025" s="527"/>
      <c r="J1025" s="105" t="s">
        <v>42</v>
      </c>
    </row>
    <row r="1026" spans="1:11" ht="15" x14ac:dyDescent="0.25">
      <c r="A1026" s="230" t="s">
        <v>4715</v>
      </c>
      <c r="B1026" s="230" t="s">
        <v>4916</v>
      </c>
      <c r="C1026" s="106"/>
      <c r="D1026" s="528"/>
      <c r="E1026" s="528"/>
      <c r="F1026" s="528"/>
      <c r="G1026" s="528"/>
      <c r="H1026" s="528"/>
      <c r="I1026" s="529"/>
      <c r="J1026" s="107" t="str">
        <f>IF(B1026="","",VLOOKUP(B1026,SERVIÇOS!B:E,4,0))</f>
        <v>un</v>
      </c>
    </row>
    <row r="1027" spans="1:11" ht="15" x14ac:dyDescent="0.25">
      <c r="A1027" s="530" t="s">
        <v>4397</v>
      </c>
      <c r="B1027" s="531" t="s">
        <v>11</v>
      </c>
      <c r="C1027" s="533" t="s">
        <v>43</v>
      </c>
      <c r="D1027" s="534"/>
      <c r="E1027" s="530" t="s">
        <v>13</v>
      </c>
      <c r="F1027" s="530" t="s">
        <v>44</v>
      </c>
      <c r="G1027" s="538" t="s">
        <v>45</v>
      </c>
      <c r="H1027" s="108" t="s">
        <v>46</v>
      </c>
      <c r="I1027" s="108"/>
      <c r="J1027" s="108"/>
    </row>
    <row r="1028" spans="1:11" ht="15" x14ac:dyDescent="0.25">
      <c r="A1028" s="530"/>
      <c r="B1028" s="532"/>
      <c r="C1028" s="535"/>
      <c r="D1028" s="536"/>
      <c r="E1028" s="537"/>
      <c r="F1028" s="537"/>
      <c r="G1028" s="539"/>
      <c r="H1028" s="108" t="s">
        <v>47</v>
      </c>
      <c r="I1028" s="108" t="s">
        <v>48</v>
      </c>
      <c r="J1028" s="108" t="s">
        <v>49</v>
      </c>
    </row>
    <row r="1029" spans="1:11" ht="15" x14ac:dyDescent="0.25">
      <c r="A1029" s="109" t="s">
        <v>4717</v>
      </c>
      <c r="B1029" s="116" t="s">
        <v>4948</v>
      </c>
      <c r="C1029" s="540" t="str">
        <f>IF(A1029&amp;B1029="","",VLOOKUP(A1029&amp;B1029,INSUMOS!C:G,2,0))</f>
        <v>Fornecimento e plantio de Bromelia antiacantha - Caraguatá</v>
      </c>
      <c r="D1029" s="541"/>
      <c r="E1029" s="111" t="str">
        <f>IF(A1029&amp;B1029="","",VLOOKUP(A1029&amp;B1029,INSUMOS!C:G,3,0))</f>
        <v>un</v>
      </c>
      <c r="F1029" s="112">
        <v>1</v>
      </c>
      <c r="G1029" s="113">
        <f>IF(A1029&amp;B1029="","",VLOOKUP(A1029&amp;B1029,INSUMOS!C:G,4,0))</f>
        <v>82.834000000000003</v>
      </c>
      <c r="H1029" s="114" t="str">
        <f>IF(K1029="MO",TRUNC(F1029*G1029,2),"")</f>
        <v/>
      </c>
      <c r="I1029" s="114">
        <f>IF(K1029="MT",TRUNC(F1029*G1029,2),"")</f>
        <v>82.83</v>
      </c>
      <c r="J1029" s="115" t="str">
        <f>IF(K1029="EQ",TRUNC(F1029*G1029,2),"")</f>
        <v/>
      </c>
      <c r="K1029" s="102" t="str">
        <f>IF(A1029&amp;B1029="","",VLOOKUP(A1029&amp;B1029,INSUMOS!C:G,5,0))</f>
        <v>MT</v>
      </c>
    </row>
    <row r="1030" spans="1:11" ht="15" x14ac:dyDescent="0.25">
      <c r="A1030" s="109" t="s">
        <v>4398</v>
      </c>
      <c r="B1030" s="116">
        <v>10101</v>
      </c>
      <c r="C1030" s="518" t="str">
        <f>IF(A1030&amp;B1030="","",VLOOKUP(A1030&amp;B1030,INSUMOS!C:G,2,0))</f>
        <v>Ajudante geral</v>
      </c>
      <c r="D1030" s="519"/>
      <c r="E1030" s="117" t="str">
        <f>IF(A1030&amp;B1030="","",VLOOKUP(A1030&amp;B1030,INSUMOS!C:G,3,0))</f>
        <v>h</v>
      </c>
      <c r="F1030" s="118">
        <v>0.1</v>
      </c>
      <c r="G1030" s="113">
        <f>IF(A1030&amp;B1030="","",VLOOKUP(A1030&amp;B1030,INSUMOS!C:G,4,0))</f>
        <v>11.238228999999999</v>
      </c>
      <c r="H1030" s="119">
        <f t="shared" ref="H1030:H1041" si="168">IF(K1030="MO",TRUNC(F1030*G1030,2),"")</f>
        <v>1.1200000000000001</v>
      </c>
      <c r="I1030" s="119" t="str">
        <f t="shared" ref="I1030:I1041" si="169">IF(K1030="MT",TRUNC(F1030*G1030,2),"")</f>
        <v/>
      </c>
      <c r="J1030" s="115" t="str">
        <f t="shared" ref="J1030:J1041" si="170">IF(K1030="EQ",TRUNC(F1030*G1030,2),"")</f>
        <v/>
      </c>
      <c r="K1030" s="102" t="str">
        <f>IF(A1030&amp;B1030="","",VLOOKUP(A1030&amp;B1030,INSUMOS!C:G,5,0))</f>
        <v>MO</v>
      </c>
    </row>
    <row r="1031" spans="1:11" ht="15" x14ac:dyDescent="0.25">
      <c r="A1031" s="109" t="s">
        <v>4398</v>
      </c>
      <c r="B1031" s="116">
        <v>10126</v>
      </c>
      <c r="C1031" s="518" t="str">
        <f>IF(A1031&amp;B1031="","",VLOOKUP(A1031&amp;B1031,INSUMOS!C:G,2,0))</f>
        <v>Jardineiro</v>
      </c>
      <c r="D1031" s="519"/>
      <c r="E1031" s="117" t="str">
        <f>IF(A1031&amp;B1031="","",VLOOKUP(A1031&amp;B1031,INSUMOS!C:G,3,0))</f>
        <v>h</v>
      </c>
      <c r="F1031" s="118">
        <v>7.0000000000000007E-2</v>
      </c>
      <c r="G1031" s="113">
        <f>IF(A1031&amp;B1031="","",VLOOKUP(A1031&amp;B1031,INSUMOS!C:G,4,0))</f>
        <v>12.07574</v>
      </c>
      <c r="H1031" s="119">
        <f t="shared" si="168"/>
        <v>0.84</v>
      </c>
      <c r="I1031" s="119" t="str">
        <f t="shared" si="169"/>
        <v/>
      </c>
      <c r="J1031" s="115" t="str">
        <f t="shared" si="170"/>
        <v/>
      </c>
      <c r="K1031" s="102" t="str">
        <f>IF(A1031&amp;B1031="","",VLOOKUP(A1031&amp;B1031,INSUMOS!C:G,5,0))</f>
        <v>MO</v>
      </c>
    </row>
    <row r="1032" spans="1:11" ht="15" x14ac:dyDescent="0.25">
      <c r="A1032" s="109" t="s">
        <v>4398</v>
      </c>
      <c r="B1032" s="116">
        <v>38511</v>
      </c>
      <c r="C1032" s="518" t="str">
        <f>IF(A1032&amp;B1032="","",VLOOKUP(A1032&amp;B1032,INSUMOS!C:G,2,0))</f>
        <v>Terra vegetal orgânica comum</v>
      </c>
      <c r="D1032" s="519"/>
      <c r="E1032" s="117" t="str">
        <f>IF(A1032&amp;B1032="","",VLOOKUP(A1032&amp;B1032,INSUMOS!C:G,3,0))</f>
        <v>m³</v>
      </c>
      <c r="F1032" s="118">
        <v>0.08</v>
      </c>
      <c r="G1032" s="113">
        <f>IF(A1032&amp;B1032="","",VLOOKUP(A1032&amp;B1032,INSUMOS!C:G,4,0))</f>
        <v>92.46</v>
      </c>
      <c r="H1032" s="119" t="str">
        <f t="shared" si="168"/>
        <v/>
      </c>
      <c r="I1032" s="119">
        <f t="shared" si="169"/>
        <v>7.39</v>
      </c>
      <c r="J1032" s="115" t="str">
        <f t="shared" si="170"/>
        <v/>
      </c>
      <c r="K1032" s="102" t="str">
        <f>IF(A1032&amp;B1032="","",VLOOKUP(A1032&amp;B1032,INSUMOS!C:G,5,0))</f>
        <v>MT</v>
      </c>
    </row>
    <row r="1033" spans="1:11" ht="15" x14ac:dyDescent="0.25">
      <c r="A1033" s="109"/>
      <c r="B1033" s="116"/>
      <c r="C1033" s="518" t="str">
        <f>IF(A1033&amp;B1033="","",VLOOKUP(A1033&amp;B1033,INSUMOS!C:G,2,0))</f>
        <v/>
      </c>
      <c r="D1033" s="519"/>
      <c r="E1033" s="117" t="str">
        <f>IF(A1033&amp;B1033="","",VLOOKUP(A1033&amp;B1033,INSUMOS!C:G,3,0))</f>
        <v/>
      </c>
      <c r="F1033" s="118"/>
      <c r="G1033" s="113" t="str">
        <f>IF(A1033&amp;B1033="","",VLOOKUP(A1033&amp;B1033,INSUMOS!C:G,4,0))</f>
        <v/>
      </c>
      <c r="H1033" s="119" t="str">
        <f t="shared" si="168"/>
        <v/>
      </c>
      <c r="I1033" s="119" t="str">
        <f t="shared" si="169"/>
        <v/>
      </c>
      <c r="J1033" s="115" t="str">
        <f t="shared" si="170"/>
        <v/>
      </c>
      <c r="K1033" s="102" t="str">
        <f>IF(A1033&amp;B1033="","",VLOOKUP(A1033&amp;B1033,INSUMOS!C:G,5,0))</f>
        <v/>
      </c>
    </row>
    <row r="1034" spans="1:11" ht="15" x14ac:dyDescent="0.25">
      <c r="A1034" s="109"/>
      <c r="B1034" s="116"/>
      <c r="C1034" s="518" t="str">
        <f>IF(A1034&amp;B1034="","",VLOOKUP(A1034&amp;B1034,INSUMOS!C:G,2,0))</f>
        <v/>
      </c>
      <c r="D1034" s="519"/>
      <c r="E1034" s="117" t="str">
        <f>IF(A1034&amp;B1034="","",VLOOKUP(A1034&amp;B1034,INSUMOS!C:G,3,0))</f>
        <v/>
      </c>
      <c r="F1034" s="118"/>
      <c r="G1034" s="113" t="str">
        <f>IF(A1034&amp;B1034="","",VLOOKUP(A1034&amp;B1034,INSUMOS!C:G,4,0))</f>
        <v/>
      </c>
      <c r="H1034" s="119" t="str">
        <f t="shared" si="168"/>
        <v/>
      </c>
      <c r="I1034" s="119" t="str">
        <f t="shared" si="169"/>
        <v/>
      </c>
      <c r="J1034" s="115" t="str">
        <f t="shared" si="170"/>
        <v/>
      </c>
      <c r="K1034" s="102" t="str">
        <f>IF(A1034&amp;B1034="","",VLOOKUP(A1034&amp;B1034,INSUMOS!C:G,5,0))</f>
        <v/>
      </c>
    </row>
    <row r="1035" spans="1:11" ht="15" x14ac:dyDescent="0.25">
      <c r="A1035" s="109"/>
      <c r="B1035" s="116"/>
      <c r="C1035" s="518" t="str">
        <f>IF(A1035&amp;B1035="","",VLOOKUP(A1035&amp;B1035,INSUMOS!C:G,2,0))</f>
        <v/>
      </c>
      <c r="D1035" s="519"/>
      <c r="E1035" s="117" t="str">
        <f>IF(A1035&amp;B1035="","",VLOOKUP(A1035&amp;B1035,INSUMOS!C:G,3,0))</f>
        <v/>
      </c>
      <c r="F1035" s="118"/>
      <c r="G1035" s="113" t="str">
        <f>IF(A1035&amp;B1035="","",VLOOKUP(A1035&amp;B1035,INSUMOS!C:G,4,0))</f>
        <v/>
      </c>
      <c r="H1035" s="119" t="str">
        <f t="shared" si="168"/>
        <v/>
      </c>
      <c r="I1035" s="119" t="str">
        <f t="shared" si="169"/>
        <v/>
      </c>
      <c r="J1035" s="115" t="str">
        <f t="shared" si="170"/>
        <v/>
      </c>
      <c r="K1035" s="102" t="str">
        <f>IF(A1035&amp;B1035="","",VLOOKUP(A1035&amp;B1035,INSUMOS!C:G,5,0))</f>
        <v/>
      </c>
    </row>
    <row r="1036" spans="1:11" ht="15" x14ac:dyDescent="0.25">
      <c r="A1036" s="109"/>
      <c r="B1036" s="116"/>
      <c r="C1036" s="518" t="str">
        <f>IF(A1036&amp;B1036="","",VLOOKUP(A1036&amp;B1036,INSUMOS!C:G,2,0))</f>
        <v/>
      </c>
      <c r="D1036" s="519"/>
      <c r="E1036" s="117" t="str">
        <f>IF(A1036&amp;B1036="","",VLOOKUP(A1036&amp;B1036,INSUMOS!C:G,3,0))</f>
        <v/>
      </c>
      <c r="F1036" s="118"/>
      <c r="G1036" s="113" t="str">
        <f>IF(A1036&amp;B1036="","",VLOOKUP(A1036&amp;B1036,INSUMOS!C:G,4,0))</f>
        <v/>
      </c>
      <c r="H1036" s="119" t="str">
        <f t="shared" si="168"/>
        <v/>
      </c>
      <c r="I1036" s="119" t="str">
        <f t="shared" si="169"/>
        <v/>
      </c>
      <c r="J1036" s="115" t="str">
        <f t="shared" si="170"/>
        <v/>
      </c>
      <c r="K1036" s="102" t="str">
        <f>IF(A1036&amp;B1036="","",VLOOKUP(A1036&amp;B1036,INSUMOS!C:G,5,0))</f>
        <v/>
      </c>
    </row>
    <row r="1037" spans="1:11" ht="15" x14ac:dyDescent="0.25">
      <c r="A1037" s="109"/>
      <c r="B1037" s="116"/>
      <c r="C1037" s="518" t="str">
        <f>IF(A1037&amp;B1037="","",VLOOKUP(A1037&amp;B1037,INSUMOS!C:G,2,0))</f>
        <v/>
      </c>
      <c r="D1037" s="519"/>
      <c r="E1037" s="117" t="str">
        <f>IF(A1037&amp;B1037="","",VLOOKUP(A1037&amp;B1037,INSUMOS!C:G,3,0))</f>
        <v/>
      </c>
      <c r="F1037" s="118"/>
      <c r="G1037" s="113" t="str">
        <f>IF(A1037&amp;B1037="","",VLOOKUP(A1037&amp;B1037,INSUMOS!C:G,4,0))</f>
        <v/>
      </c>
      <c r="H1037" s="119" t="str">
        <f t="shared" si="168"/>
        <v/>
      </c>
      <c r="I1037" s="119" t="str">
        <f t="shared" si="169"/>
        <v/>
      </c>
      <c r="J1037" s="115" t="str">
        <f t="shared" si="170"/>
        <v/>
      </c>
      <c r="K1037" s="102" t="str">
        <f>IF(A1037&amp;B1037="","",VLOOKUP(A1037&amp;B1037,INSUMOS!C:G,5,0))</f>
        <v/>
      </c>
    </row>
    <row r="1038" spans="1:11" ht="15" x14ac:dyDescent="0.25">
      <c r="A1038" s="109"/>
      <c r="B1038" s="116"/>
      <c r="C1038" s="518" t="str">
        <f>IF(A1038&amp;B1038="","",VLOOKUP(A1038&amp;B1038,INSUMOS!C:G,2,0))</f>
        <v/>
      </c>
      <c r="D1038" s="519"/>
      <c r="E1038" s="117" t="str">
        <f>IF(A1038&amp;B1038="","",VLOOKUP(A1038&amp;B1038,INSUMOS!C:G,3,0))</f>
        <v/>
      </c>
      <c r="F1038" s="118"/>
      <c r="G1038" s="113" t="str">
        <f>IF(A1038&amp;B1038="","",VLOOKUP(A1038&amp;B1038,INSUMOS!C:G,4,0))</f>
        <v/>
      </c>
      <c r="H1038" s="119" t="str">
        <f t="shared" si="168"/>
        <v/>
      </c>
      <c r="I1038" s="119" t="str">
        <f t="shared" si="169"/>
        <v/>
      </c>
      <c r="J1038" s="115" t="str">
        <f t="shared" si="170"/>
        <v/>
      </c>
      <c r="K1038" s="102" t="str">
        <f>IF(A1038&amp;B1038="","",VLOOKUP(A1038&amp;B1038,INSUMOS!C:G,5,0))</f>
        <v/>
      </c>
    </row>
    <row r="1039" spans="1:11" ht="15" x14ac:dyDescent="0.25">
      <c r="A1039" s="120"/>
      <c r="B1039" s="121"/>
      <c r="C1039" s="518" t="str">
        <f>IF(A1039&amp;B1039="","",VLOOKUP(A1039&amp;B1039,INSUMOS!C:G,2,0))</f>
        <v/>
      </c>
      <c r="D1039" s="519"/>
      <c r="E1039" s="117" t="str">
        <f>IF(A1039&amp;B1039="","",VLOOKUP(A1039&amp;B1039,INSUMOS!C:G,3,0))</f>
        <v/>
      </c>
      <c r="F1039" s="118"/>
      <c r="G1039" s="122" t="str">
        <f>IF(A1039&amp;B1039="","",VLOOKUP(A1039&amp;B1039,INSUMOS!C:G,4,0))</f>
        <v/>
      </c>
      <c r="H1039" s="119" t="str">
        <f t="shared" si="168"/>
        <v/>
      </c>
      <c r="I1039" s="119" t="str">
        <f t="shared" si="169"/>
        <v/>
      </c>
      <c r="J1039" s="115" t="str">
        <f t="shared" si="170"/>
        <v/>
      </c>
      <c r="K1039" s="102" t="str">
        <f>IF(A1039&amp;B1039="","",VLOOKUP(A1039&amp;B1039,INSUMOS!C:G,5,0))</f>
        <v/>
      </c>
    </row>
    <row r="1040" spans="1:11" ht="15" x14ac:dyDescent="0.25">
      <c r="A1040" s="120"/>
      <c r="B1040" s="121"/>
      <c r="C1040" s="518" t="str">
        <f>IF(A1040&amp;B1040="","",VLOOKUP(A1040&amp;B1040,INSUMOS!C:G,2,0))</f>
        <v/>
      </c>
      <c r="D1040" s="519"/>
      <c r="E1040" s="117" t="str">
        <f>IF(A1040&amp;B1040="","",VLOOKUP(A1040&amp;B1040,INSUMOS!C:G,3,0))</f>
        <v/>
      </c>
      <c r="F1040" s="118"/>
      <c r="G1040" s="122" t="str">
        <f>IF(A1040&amp;B1040="","",VLOOKUP(A1040&amp;B1040,INSUMOS!C:G,4,0))</f>
        <v/>
      </c>
      <c r="H1040" s="119" t="str">
        <f t="shared" si="168"/>
        <v/>
      </c>
      <c r="I1040" s="119" t="str">
        <f t="shared" si="169"/>
        <v/>
      </c>
      <c r="J1040" s="115" t="str">
        <f t="shared" si="170"/>
        <v/>
      </c>
      <c r="K1040" s="102" t="str">
        <f>IF(A1040&amp;B1040="","",VLOOKUP(A1040&amp;B1040,INSUMOS!C:G,5,0))</f>
        <v/>
      </c>
    </row>
    <row r="1041" spans="1:17" ht="15" x14ac:dyDescent="0.25">
      <c r="A1041" s="120"/>
      <c r="B1041" s="121"/>
      <c r="C1041" s="518" t="str">
        <f>IF(A1041&amp;B1041="","",VLOOKUP(A1041&amp;B1041,INSUMOS!C:G,2,0))</f>
        <v/>
      </c>
      <c r="D1041" s="519"/>
      <c r="E1041" s="117" t="str">
        <f>IF(A1041&amp;B1041="","",VLOOKUP(A1041&amp;B1041,INSUMOS!C:G,3,0))</f>
        <v/>
      </c>
      <c r="F1041" s="118"/>
      <c r="G1041" s="122" t="str">
        <f>IF(A1041&amp;B1041="","",VLOOKUP(A1041&amp;B1041,INSUMOS!C:G,4,0))</f>
        <v/>
      </c>
      <c r="H1041" s="119" t="str">
        <f t="shared" si="168"/>
        <v/>
      </c>
      <c r="I1041" s="119" t="str">
        <f t="shared" si="169"/>
        <v/>
      </c>
      <c r="J1041" s="115" t="str">
        <f t="shared" si="170"/>
        <v/>
      </c>
      <c r="K1041" s="102" t="str">
        <f>IF(A1041&amp;B1041="","",VLOOKUP(A1041&amp;B1041,INSUMOS!C:G,5,0))</f>
        <v/>
      </c>
    </row>
    <row r="1042" spans="1:17" ht="15" x14ac:dyDescent="0.25">
      <c r="A1042" s="123" t="s">
        <v>4399</v>
      </c>
      <c r="B1042" s="520"/>
      <c r="C1042" s="520"/>
      <c r="D1042" s="520"/>
      <c r="E1042" s="520"/>
      <c r="F1042" s="521"/>
      <c r="G1042" s="124" t="s">
        <v>50</v>
      </c>
      <c r="H1042" s="125">
        <f>SUM(H1029:H1041)</f>
        <v>1.96</v>
      </c>
      <c r="I1042" s="125">
        <f>SUM(I1029:I1041)</f>
        <v>90.22</v>
      </c>
      <c r="J1042" s="126">
        <f>SUM(J1029:J1041)</f>
        <v>0</v>
      </c>
    </row>
    <row r="1043" spans="1:17" ht="15" x14ac:dyDescent="0.25">
      <c r="A1043" s="127" t="s">
        <v>4400</v>
      </c>
      <c r="B1043" s="128"/>
      <c r="C1043" s="128"/>
      <c r="D1043" s="127" t="s">
        <v>51</v>
      </c>
      <c r="E1043" s="128"/>
      <c r="F1043" s="129"/>
      <c r="G1043" s="130" t="s">
        <v>55</v>
      </c>
      <c r="H1043" s="131" t="s">
        <v>52</v>
      </c>
      <c r="I1043" s="132"/>
      <c r="J1043" s="125">
        <f>SUM(H1042:J1042)</f>
        <v>92.179999999999993</v>
      </c>
    </row>
    <row r="1044" spans="1:17" ht="15" x14ac:dyDescent="0.25">
      <c r="A1044" s="313" t="str">
        <f>$I$3</f>
        <v>Carlos Wieck</v>
      </c>
      <c r="B1044" s="133"/>
      <c r="C1044" s="133"/>
      <c r="D1044" s="134"/>
      <c r="E1044" s="133"/>
      <c r="F1044" s="135"/>
      <c r="G1044" s="522">
        <f>$J$5</f>
        <v>43040</v>
      </c>
      <c r="H1044" s="136" t="s">
        <v>53</v>
      </c>
      <c r="I1044" s="137"/>
      <c r="J1044" s="125">
        <f>TRUNC(I1044*J1043,2)</f>
        <v>0</v>
      </c>
    </row>
    <row r="1045" spans="1:17" ht="15" x14ac:dyDescent="0.25">
      <c r="A1045" s="138"/>
      <c r="B1045" s="139"/>
      <c r="C1045" s="139"/>
      <c r="D1045" s="138"/>
      <c r="E1045" s="139"/>
      <c r="F1045" s="140"/>
      <c r="G1045" s="523"/>
      <c r="H1045" s="141" t="s">
        <v>54</v>
      </c>
      <c r="I1045" s="142"/>
      <c r="J1045" s="143">
        <f>J1044+J1043</f>
        <v>92.179999999999993</v>
      </c>
      <c r="L1045" s="102" t="str">
        <f>A1026</f>
        <v>COMPOSIÇÃO</v>
      </c>
      <c r="M1045" s="144" t="str">
        <f>B1026</f>
        <v>FF-037</v>
      </c>
      <c r="N1045" s="102" t="str">
        <f>L1045&amp;M1045</f>
        <v>COMPOSIÇÃOFF-037</v>
      </c>
      <c r="O1045" s="103" t="str">
        <f>D1025</f>
        <v>Fornecimento e plantio de Bromelia antiacantha - Caraguatá</v>
      </c>
      <c r="P1045" s="145" t="str">
        <f>J1026</f>
        <v>un</v>
      </c>
      <c r="Q1045" s="145">
        <f>J1045</f>
        <v>92.179999999999993</v>
      </c>
    </row>
    <row r="1046" spans="1:17" ht="15" customHeight="1" x14ac:dyDescent="0.25">
      <c r="A1046" s="524" t="s">
        <v>40</v>
      </c>
      <c r="B1046" s="525"/>
      <c r="C1046" s="104" t="s">
        <v>41</v>
      </c>
      <c r="D1046" s="526" t="str">
        <f>IF(B1047="","",VLOOKUP(B1047,SERVIÇOS!B:E,3,0))</f>
        <v>Fornecimento e plantio de Ctenanthe pilosa - Araruta/Maranta-dourada</v>
      </c>
      <c r="E1046" s="526"/>
      <c r="F1046" s="526"/>
      <c r="G1046" s="526"/>
      <c r="H1046" s="526"/>
      <c r="I1046" s="527"/>
      <c r="J1046" s="105" t="s">
        <v>42</v>
      </c>
    </row>
    <row r="1047" spans="1:17" ht="15" x14ac:dyDescent="0.25">
      <c r="A1047" s="230" t="s">
        <v>4715</v>
      </c>
      <c r="B1047" s="230" t="s">
        <v>4917</v>
      </c>
      <c r="C1047" s="106"/>
      <c r="D1047" s="528"/>
      <c r="E1047" s="528"/>
      <c r="F1047" s="528"/>
      <c r="G1047" s="528"/>
      <c r="H1047" s="528"/>
      <c r="I1047" s="529"/>
      <c r="J1047" s="107" t="str">
        <f>IF(B1047="","",VLOOKUP(B1047,SERVIÇOS!B:E,4,0))</f>
        <v>un</v>
      </c>
    </row>
    <row r="1048" spans="1:17" ht="15" x14ac:dyDescent="0.25">
      <c r="A1048" s="530" t="s">
        <v>4397</v>
      </c>
      <c r="B1048" s="531" t="s">
        <v>11</v>
      </c>
      <c r="C1048" s="533" t="s">
        <v>43</v>
      </c>
      <c r="D1048" s="534"/>
      <c r="E1048" s="530" t="s">
        <v>13</v>
      </c>
      <c r="F1048" s="530" t="s">
        <v>44</v>
      </c>
      <c r="G1048" s="538" t="s">
        <v>45</v>
      </c>
      <c r="H1048" s="108" t="s">
        <v>46</v>
      </c>
      <c r="I1048" s="108"/>
      <c r="J1048" s="108"/>
    </row>
    <row r="1049" spans="1:17" ht="15" x14ac:dyDescent="0.25">
      <c r="A1049" s="530"/>
      <c r="B1049" s="532"/>
      <c r="C1049" s="535"/>
      <c r="D1049" s="536"/>
      <c r="E1049" s="537"/>
      <c r="F1049" s="537"/>
      <c r="G1049" s="539"/>
      <c r="H1049" s="108" t="s">
        <v>47</v>
      </c>
      <c r="I1049" s="108" t="s">
        <v>48</v>
      </c>
      <c r="J1049" s="108" t="s">
        <v>49</v>
      </c>
    </row>
    <row r="1050" spans="1:17" ht="15" x14ac:dyDescent="0.25">
      <c r="A1050" s="109" t="s">
        <v>4717</v>
      </c>
      <c r="B1050" s="116" t="s">
        <v>4949</v>
      </c>
      <c r="C1050" s="540" t="str">
        <f>IF(A1050&amp;B1050="","",VLOOKUP(A1050&amp;B1050,INSUMOS!C:G,2,0))</f>
        <v>Fornecimento e plantio de Ctenanthe pilosa - Araruta/Maranta-dourada</v>
      </c>
      <c r="D1050" s="541"/>
      <c r="E1050" s="111" t="str">
        <f>IF(A1050&amp;B1050="","",VLOOKUP(A1050&amp;B1050,INSUMOS!C:G,3,0))</f>
        <v>un</v>
      </c>
      <c r="F1050" s="112">
        <v>1</v>
      </c>
      <c r="G1050" s="113">
        <f>IF(A1050&amp;B1050="","",VLOOKUP(A1050&amp;B1050,INSUMOS!C:G,4,0))</f>
        <v>20.957999999999998</v>
      </c>
      <c r="H1050" s="114" t="str">
        <f>IF(K1050="MO",TRUNC(F1050*G1050,2),"")</f>
        <v/>
      </c>
      <c r="I1050" s="114">
        <f>IF(K1050="MT",TRUNC(F1050*G1050,2),"")</f>
        <v>20.95</v>
      </c>
      <c r="J1050" s="115" t="str">
        <f>IF(K1050="EQ",TRUNC(F1050*G1050,2),"")</f>
        <v/>
      </c>
      <c r="K1050" s="102" t="str">
        <f>IF(A1050&amp;B1050="","",VLOOKUP(A1050&amp;B1050,INSUMOS!C:G,5,0))</f>
        <v>MT</v>
      </c>
    </row>
    <row r="1051" spans="1:17" ht="15" x14ac:dyDescent="0.25">
      <c r="A1051" s="109" t="s">
        <v>4398</v>
      </c>
      <c r="B1051" s="116">
        <v>10101</v>
      </c>
      <c r="C1051" s="518" t="str">
        <f>IF(A1051&amp;B1051="","",VLOOKUP(A1051&amp;B1051,INSUMOS!C:G,2,0))</f>
        <v>Ajudante geral</v>
      </c>
      <c r="D1051" s="519"/>
      <c r="E1051" s="117" t="str">
        <f>IF(A1051&amp;B1051="","",VLOOKUP(A1051&amp;B1051,INSUMOS!C:G,3,0))</f>
        <v>h</v>
      </c>
      <c r="F1051" s="118">
        <v>0.1</v>
      </c>
      <c r="G1051" s="113">
        <f>IF(A1051&amp;B1051="","",VLOOKUP(A1051&amp;B1051,INSUMOS!C:G,4,0))</f>
        <v>11.238228999999999</v>
      </c>
      <c r="H1051" s="119">
        <f t="shared" ref="H1051:H1062" si="171">IF(K1051="MO",TRUNC(F1051*G1051,2),"")</f>
        <v>1.1200000000000001</v>
      </c>
      <c r="I1051" s="119" t="str">
        <f t="shared" ref="I1051:I1062" si="172">IF(K1051="MT",TRUNC(F1051*G1051,2),"")</f>
        <v/>
      </c>
      <c r="J1051" s="115" t="str">
        <f t="shared" ref="J1051:J1062" si="173">IF(K1051="EQ",TRUNC(F1051*G1051,2),"")</f>
        <v/>
      </c>
      <c r="K1051" s="102" t="str">
        <f>IF(A1051&amp;B1051="","",VLOOKUP(A1051&amp;B1051,INSUMOS!C:G,5,0))</f>
        <v>MO</v>
      </c>
    </row>
    <row r="1052" spans="1:17" ht="15" x14ac:dyDescent="0.25">
      <c r="A1052" s="109" t="s">
        <v>4398</v>
      </c>
      <c r="B1052" s="116">
        <v>10126</v>
      </c>
      <c r="C1052" s="518" t="str">
        <f>IF(A1052&amp;B1052="","",VLOOKUP(A1052&amp;B1052,INSUMOS!C:G,2,0))</f>
        <v>Jardineiro</v>
      </c>
      <c r="D1052" s="519"/>
      <c r="E1052" s="117" t="str">
        <f>IF(A1052&amp;B1052="","",VLOOKUP(A1052&amp;B1052,INSUMOS!C:G,3,0))</f>
        <v>h</v>
      </c>
      <c r="F1052" s="118">
        <v>7.0000000000000007E-2</v>
      </c>
      <c r="G1052" s="113">
        <f>IF(A1052&amp;B1052="","",VLOOKUP(A1052&amp;B1052,INSUMOS!C:G,4,0))</f>
        <v>12.07574</v>
      </c>
      <c r="H1052" s="119">
        <f t="shared" si="171"/>
        <v>0.84</v>
      </c>
      <c r="I1052" s="119" t="str">
        <f t="shared" si="172"/>
        <v/>
      </c>
      <c r="J1052" s="115" t="str">
        <f t="shared" si="173"/>
        <v/>
      </c>
      <c r="K1052" s="102" t="str">
        <f>IF(A1052&amp;B1052="","",VLOOKUP(A1052&amp;B1052,INSUMOS!C:G,5,0))</f>
        <v>MO</v>
      </c>
    </row>
    <row r="1053" spans="1:17" ht="15" x14ac:dyDescent="0.25">
      <c r="A1053" s="109" t="s">
        <v>4398</v>
      </c>
      <c r="B1053" s="116">
        <v>38511</v>
      </c>
      <c r="C1053" s="518" t="str">
        <f>IF(A1053&amp;B1053="","",VLOOKUP(A1053&amp;B1053,INSUMOS!C:G,2,0))</f>
        <v>Terra vegetal orgânica comum</v>
      </c>
      <c r="D1053" s="519"/>
      <c r="E1053" s="117" t="str">
        <f>IF(A1053&amp;B1053="","",VLOOKUP(A1053&amp;B1053,INSUMOS!C:G,3,0))</f>
        <v>m³</v>
      </c>
      <c r="F1053" s="118">
        <v>0.08</v>
      </c>
      <c r="G1053" s="113">
        <f>IF(A1053&amp;B1053="","",VLOOKUP(A1053&amp;B1053,INSUMOS!C:G,4,0))</f>
        <v>92.46</v>
      </c>
      <c r="H1053" s="119" t="str">
        <f t="shared" si="171"/>
        <v/>
      </c>
      <c r="I1053" s="119">
        <f t="shared" si="172"/>
        <v>7.39</v>
      </c>
      <c r="J1053" s="115" t="str">
        <f t="shared" si="173"/>
        <v/>
      </c>
      <c r="K1053" s="102" t="str">
        <f>IF(A1053&amp;B1053="","",VLOOKUP(A1053&amp;B1053,INSUMOS!C:G,5,0))</f>
        <v>MT</v>
      </c>
    </row>
    <row r="1054" spans="1:17" ht="15" x14ac:dyDescent="0.25">
      <c r="A1054" s="109"/>
      <c r="B1054" s="116"/>
      <c r="C1054" s="518" t="str">
        <f>IF(A1054&amp;B1054="","",VLOOKUP(A1054&amp;B1054,INSUMOS!C:G,2,0))</f>
        <v/>
      </c>
      <c r="D1054" s="519"/>
      <c r="E1054" s="117" t="str">
        <f>IF(A1054&amp;B1054="","",VLOOKUP(A1054&amp;B1054,INSUMOS!C:G,3,0))</f>
        <v/>
      </c>
      <c r="F1054" s="118"/>
      <c r="G1054" s="113" t="str">
        <f>IF(A1054&amp;B1054="","",VLOOKUP(A1054&amp;B1054,INSUMOS!C:G,4,0))</f>
        <v/>
      </c>
      <c r="H1054" s="119" t="str">
        <f t="shared" si="171"/>
        <v/>
      </c>
      <c r="I1054" s="119" t="str">
        <f t="shared" si="172"/>
        <v/>
      </c>
      <c r="J1054" s="115" t="str">
        <f t="shared" si="173"/>
        <v/>
      </c>
      <c r="K1054" s="102" t="str">
        <f>IF(A1054&amp;B1054="","",VLOOKUP(A1054&amp;B1054,INSUMOS!C:G,5,0))</f>
        <v/>
      </c>
    </row>
    <row r="1055" spans="1:17" ht="15" x14ac:dyDescent="0.25">
      <c r="A1055" s="109"/>
      <c r="B1055" s="116"/>
      <c r="C1055" s="518" t="str">
        <f>IF(A1055&amp;B1055="","",VLOOKUP(A1055&amp;B1055,INSUMOS!C:G,2,0))</f>
        <v/>
      </c>
      <c r="D1055" s="519"/>
      <c r="E1055" s="117" t="str">
        <f>IF(A1055&amp;B1055="","",VLOOKUP(A1055&amp;B1055,INSUMOS!C:G,3,0))</f>
        <v/>
      </c>
      <c r="F1055" s="118"/>
      <c r="G1055" s="113" t="str">
        <f>IF(A1055&amp;B1055="","",VLOOKUP(A1055&amp;B1055,INSUMOS!C:G,4,0))</f>
        <v/>
      </c>
      <c r="H1055" s="119" t="str">
        <f t="shared" si="171"/>
        <v/>
      </c>
      <c r="I1055" s="119" t="str">
        <f t="shared" si="172"/>
        <v/>
      </c>
      <c r="J1055" s="115" t="str">
        <f t="shared" si="173"/>
        <v/>
      </c>
      <c r="K1055" s="102" t="str">
        <f>IF(A1055&amp;B1055="","",VLOOKUP(A1055&amp;B1055,INSUMOS!C:G,5,0))</f>
        <v/>
      </c>
    </row>
    <row r="1056" spans="1:17" ht="15" x14ac:dyDescent="0.25">
      <c r="A1056" s="109"/>
      <c r="B1056" s="116"/>
      <c r="C1056" s="518" t="str">
        <f>IF(A1056&amp;B1056="","",VLOOKUP(A1056&amp;B1056,INSUMOS!C:G,2,0))</f>
        <v/>
      </c>
      <c r="D1056" s="519"/>
      <c r="E1056" s="117" t="str">
        <f>IF(A1056&amp;B1056="","",VLOOKUP(A1056&amp;B1056,INSUMOS!C:G,3,0))</f>
        <v/>
      </c>
      <c r="F1056" s="118"/>
      <c r="G1056" s="113" t="str">
        <f>IF(A1056&amp;B1056="","",VLOOKUP(A1056&amp;B1056,INSUMOS!C:G,4,0))</f>
        <v/>
      </c>
      <c r="H1056" s="119" t="str">
        <f t="shared" si="171"/>
        <v/>
      </c>
      <c r="I1056" s="119" t="str">
        <f t="shared" si="172"/>
        <v/>
      </c>
      <c r="J1056" s="115" t="str">
        <f t="shared" si="173"/>
        <v/>
      </c>
      <c r="K1056" s="102" t="str">
        <f>IF(A1056&amp;B1056="","",VLOOKUP(A1056&amp;B1056,INSUMOS!C:G,5,0))</f>
        <v/>
      </c>
    </row>
    <row r="1057" spans="1:17" ht="15" x14ac:dyDescent="0.25">
      <c r="A1057" s="109"/>
      <c r="B1057" s="116"/>
      <c r="C1057" s="518" t="str">
        <f>IF(A1057&amp;B1057="","",VLOOKUP(A1057&amp;B1057,INSUMOS!C:G,2,0))</f>
        <v/>
      </c>
      <c r="D1057" s="519"/>
      <c r="E1057" s="117" t="str">
        <f>IF(A1057&amp;B1057="","",VLOOKUP(A1057&amp;B1057,INSUMOS!C:G,3,0))</f>
        <v/>
      </c>
      <c r="F1057" s="118"/>
      <c r="G1057" s="113" t="str">
        <f>IF(A1057&amp;B1057="","",VLOOKUP(A1057&amp;B1057,INSUMOS!C:G,4,0))</f>
        <v/>
      </c>
      <c r="H1057" s="119" t="str">
        <f t="shared" si="171"/>
        <v/>
      </c>
      <c r="I1057" s="119" t="str">
        <f t="shared" si="172"/>
        <v/>
      </c>
      <c r="J1057" s="115" t="str">
        <f t="shared" si="173"/>
        <v/>
      </c>
      <c r="K1057" s="102" t="str">
        <f>IF(A1057&amp;B1057="","",VLOOKUP(A1057&amp;B1057,INSUMOS!C:G,5,0))</f>
        <v/>
      </c>
    </row>
    <row r="1058" spans="1:17" ht="15" x14ac:dyDescent="0.25">
      <c r="A1058" s="109"/>
      <c r="B1058" s="116"/>
      <c r="C1058" s="518" t="str">
        <f>IF(A1058&amp;B1058="","",VLOOKUP(A1058&amp;B1058,INSUMOS!C:G,2,0))</f>
        <v/>
      </c>
      <c r="D1058" s="519"/>
      <c r="E1058" s="117" t="str">
        <f>IF(A1058&amp;B1058="","",VLOOKUP(A1058&amp;B1058,INSUMOS!C:G,3,0))</f>
        <v/>
      </c>
      <c r="F1058" s="118"/>
      <c r="G1058" s="113" t="str">
        <f>IF(A1058&amp;B1058="","",VLOOKUP(A1058&amp;B1058,INSUMOS!C:G,4,0))</f>
        <v/>
      </c>
      <c r="H1058" s="119" t="str">
        <f t="shared" si="171"/>
        <v/>
      </c>
      <c r="I1058" s="119" t="str">
        <f t="shared" si="172"/>
        <v/>
      </c>
      <c r="J1058" s="115" t="str">
        <f t="shared" si="173"/>
        <v/>
      </c>
      <c r="K1058" s="102" t="str">
        <f>IF(A1058&amp;B1058="","",VLOOKUP(A1058&amp;B1058,INSUMOS!C:G,5,0))</f>
        <v/>
      </c>
    </row>
    <row r="1059" spans="1:17" ht="15" x14ac:dyDescent="0.25">
      <c r="A1059" s="109"/>
      <c r="B1059" s="116"/>
      <c r="C1059" s="518" t="str">
        <f>IF(A1059&amp;B1059="","",VLOOKUP(A1059&amp;B1059,INSUMOS!C:G,2,0))</f>
        <v/>
      </c>
      <c r="D1059" s="519"/>
      <c r="E1059" s="117" t="str">
        <f>IF(A1059&amp;B1059="","",VLOOKUP(A1059&amp;B1059,INSUMOS!C:G,3,0))</f>
        <v/>
      </c>
      <c r="F1059" s="118"/>
      <c r="G1059" s="113" t="str">
        <f>IF(A1059&amp;B1059="","",VLOOKUP(A1059&amp;B1059,INSUMOS!C:G,4,0))</f>
        <v/>
      </c>
      <c r="H1059" s="119" t="str">
        <f t="shared" si="171"/>
        <v/>
      </c>
      <c r="I1059" s="119" t="str">
        <f t="shared" si="172"/>
        <v/>
      </c>
      <c r="J1059" s="115" t="str">
        <f t="shared" si="173"/>
        <v/>
      </c>
      <c r="K1059" s="102" t="str">
        <f>IF(A1059&amp;B1059="","",VLOOKUP(A1059&amp;B1059,INSUMOS!C:G,5,0))</f>
        <v/>
      </c>
    </row>
    <row r="1060" spans="1:17" ht="15" x14ac:dyDescent="0.25">
      <c r="A1060" s="120"/>
      <c r="B1060" s="121"/>
      <c r="C1060" s="518" t="str">
        <f>IF(A1060&amp;B1060="","",VLOOKUP(A1060&amp;B1060,INSUMOS!C:G,2,0))</f>
        <v/>
      </c>
      <c r="D1060" s="519"/>
      <c r="E1060" s="117" t="str">
        <f>IF(A1060&amp;B1060="","",VLOOKUP(A1060&amp;B1060,INSUMOS!C:G,3,0))</f>
        <v/>
      </c>
      <c r="F1060" s="118"/>
      <c r="G1060" s="122" t="str">
        <f>IF(A1060&amp;B1060="","",VLOOKUP(A1060&amp;B1060,INSUMOS!C:G,4,0))</f>
        <v/>
      </c>
      <c r="H1060" s="119" t="str">
        <f t="shared" si="171"/>
        <v/>
      </c>
      <c r="I1060" s="119" t="str">
        <f t="shared" si="172"/>
        <v/>
      </c>
      <c r="J1060" s="115" t="str">
        <f t="shared" si="173"/>
        <v/>
      </c>
      <c r="K1060" s="102" t="str">
        <f>IF(A1060&amp;B1060="","",VLOOKUP(A1060&amp;B1060,INSUMOS!C:G,5,0))</f>
        <v/>
      </c>
    </row>
    <row r="1061" spans="1:17" ht="15" x14ac:dyDescent="0.25">
      <c r="A1061" s="120"/>
      <c r="B1061" s="121"/>
      <c r="C1061" s="518" t="str">
        <f>IF(A1061&amp;B1061="","",VLOOKUP(A1061&amp;B1061,INSUMOS!C:G,2,0))</f>
        <v/>
      </c>
      <c r="D1061" s="519"/>
      <c r="E1061" s="117" t="str">
        <f>IF(A1061&amp;B1061="","",VLOOKUP(A1061&amp;B1061,INSUMOS!C:G,3,0))</f>
        <v/>
      </c>
      <c r="F1061" s="118"/>
      <c r="G1061" s="122" t="str">
        <f>IF(A1061&amp;B1061="","",VLOOKUP(A1061&amp;B1061,INSUMOS!C:G,4,0))</f>
        <v/>
      </c>
      <c r="H1061" s="119" t="str">
        <f t="shared" si="171"/>
        <v/>
      </c>
      <c r="I1061" s="119" t="str">
        <f t="shared" si="172"/>
        <v/>
      </c>
      <c r="J1061" s="115" t="str">
        <f t="shared" si="173"/>
        <v/>
      </c>
      <c r="K1061" s="102" t="str">
        <f>IF(A1061&amp;B1061="","",VLOOKUP(A1061&amp;B1061,INSUMOS!C:G,5,0))</f>
        <v/>
      </c>
    </row>
    <row r="1062" spans="1:17" ht="15" x14ac:dyDescent="0.25">
      <c r="A1062" s="120"/>
      <c r="B1062" s="121"/>
      <c r="C1062" s="518" t="str">
        <f>IF(A1062&amp;B1062="","",VLOOKUP(A1062&amp;B1062,INSUMOS!C:G,2,0))</f>
        <v/>
      </c>
      <c r="D1062" s="519"/>
      <c r="E1062" s="117" t="str">
        <f>IF(A1062&amp;B1062="","",VLOOKUP(A1062&amp;B1062,INSUMOS!C:G,3,0))</f>
        <v/>
      </c>
      <c r="F1062" s="118"/>
      <c r="G1062" s="122" t="str">
        <f>IF(A1062&amp;B1062="","",VLOOKUP(A1062&amp;B1062,INSUMOS!C:G,4,0))</f>
        <v/>
      </c>
      <c r="H1062" s="119" t="str">
        <f t="shared" si="171"/>
        <v/>
      </c>
      <c r="I1062" s="119" t="str">
        <f t="shared" si="172"/>
        <v/>
      </c>
      <c r="J1062" s="115" t="str">
        <f t="shared" si="173"/>
        <v/>
      </c>
      <c r="K1062" s="102" t="str">
        <f>IF(A1062&amp;B1062="","",VLOOKUP(A1062&amp;B1062,INSUMOS!C:G,5,0))</f>
        <v/>
      </c>
    </row>
    <row r="1063" spans="1:17" ht="15" x14ac:dyDescent="0.25">
      <c r="A1063" s="123" t="s">
        <v>4399</v>
      </c>
      <c r="B1063" s="520"/>
      <c r="C1063" s="520"/>
      <c r="D1063" s="520"/>
      <c r="E1063" s="520"/>
      <c r="F1063" s="521"/>
      <c r="G1063" s="124" t="s">
        <v>50</v>
      </c>
      <c r="H1063" s="125">
        <f>SUM(H1050:H1062)</f>
        <v>1.96</v>
      </c>
      <c r="I1063" s="125">
        <f>SUM(I1050:I1062)</f>
        <v>28.34</v>
      </c>
      <c r="J1063" s="126">
        <f>SUM(J1050:J1062)</f>
        <v>0</v>
      </c>
    </row>
    <row r="1064" spans="1:17" ht="15" x14ac:dyDescent="0.25">
      <c r="A1064" s="127" t="s">
        <v>4400</v>
      </c>
      <c r="B1064" s="128"/>
      <c r="C1064" s="128"/>
      <c r="D1064" s="127" t="s">
        <v>51</v>
      </c>
      <c r="E1064" s="128"/>
      <c r="F1064" s="129"/>
      <c r="G1064" s="130" t="s">
        <v>55</v>
      </c>
      <c r="H1064" s="131" t="s">
        <v>52</v>
      </c>
      <c r="I1064" s="132"/>
      <c r="J1064" s="125">
        <f>SUM(H1063:J1063)</f>
        <v>30.3</v>
      </c>
    </row>
    <row r="1065" spans="1:17" ht="15" x14ac:dyDescent="0.25">
      <c r="A1065" s="313" t="str">
        <f>$I$3</f>
        <v>Carlos Wieck</v>
      </c>
      <c r="B1065" s="133"/>
      <c r="C1065" s="133"/>
      <c r="D1065" s="134"/>
      <c r="E1065" s="133"/>
      <c r="F1065" s="135"/>
      <c r="G1065" s="522">
        <f>$J$5</f>
        <v>43040</v>
      </c>
      <c r="H1065" s="136" t="s">
        <v>53</v>
      </c>
      <c r="I1065" s="137"/>
      <c r="J1065" s="125">
        <f>TRUNC(I1065*J1064,2)</f>
        <v>0</v>
      </c>
    </row>
    <row r="1066" spans="1:17" ht="15" x14ac:dyDescent="0.25">
      <c r="A1066" s="138"/>
      <c r="B1066" s="139"/>
      <c r="C1066" s="139"/>
      <c r="D1066" s="138"/>
      <c r="E1066" s="139"/>
      <c r="F1066" s="140"/>
      <c r="G1066" s="523"/>
      <c r="H1066" s="141" t="s">
        <v>54</v>
      </c>
      <c r="I1066" s="142"/>
      <c r="J1066" s="143">
        <f>J1065+J1064</f>
        <v>30.3</v>
      </c>
      <c r="L1066" s="102" t="str">
        <f>A1047</f>
        <v>COMPOSIÇÃO</v>
      </c>
      <c r="M1066" s="144" t="str">
        <f>B1047</f>
        <v>FF-038</v>
      </c>
      <c r="N1066" s="102" t="str">
        <f>L1066&amp;M1066</f>
        <v>COMPOSIÇÃOFF-038</v>
      </c>
      <c r="O1066" s="103" t="str">
        <f>D1046</f>
        <v>Fornecimento e plantio de Ctenanthe pilosa - Araruta/Maranta-dourada</v>
      </c>
      <c r="P1066" s="145" t="str">
        <f>J1047</f>
        <v>un</v>
      </c>
      <c r="Q1066" s="145">
        <f>J1066</f>
        <v>30.3</v>
      </c>
    </row>
    <row r="1067" spans="1:17" ht="15" customHeight="1" x14ac:dyDescent="0.25">
      <c r="A1067" s="524" t="s">
        <v>40</v>
      </c>
      <c r="B1067" s="525"/>
      <c r="C1067" s="104" t="s">
        <v>41</v>
      </c>
      <c r="D1067" s="526" t="str">
        <f>IF(B1068="","",VLOOKUP(B1068,SERVIÇOS!B:E,3,0))</f>
        <v>Fornecimento e plantio de Scaevola plumieri - Mangue da praia</v>
      </c>
      <c r="E1067" s="526"/>
      <c r="F1067" s="526"/>
      <c r="G1067" s="526"/>
      <c r="H1067" s="526"/>
      <c r="I1067" s="527"/>
      <c r="J1067" s="105" t="s">
        <v>42</v>
      </c>
    </row>
    <row r="1068" spans="1:17" ht="15" x14ac:dyDescent="0.25">
      <c r="A1068" s="230" t="s">
        <v>4715</v>
      </c>
      <c r="B1068" s="230" t="s">
        <v>4918</v>
      </c>
      <c r="C1068" s="106"/>
      <c r="D1068" s="528"/>
      <c r="E1068" s="528"/>
      <c r="F1068" s="528"/>
      <c r="G1068" s="528"/>
      <c r="H1068" s="528"/>
      <c r="I1068" s="529"/>
      <c r="J1068" s="107" t="str">
        <f>IF(B1068="","",VLOOKUP(B1068,SERVIÇOS!B:E,4,0))</f>
        <v>un</v>
      </c>
    </row>
    <row r="1069" spans="1:17" ht="15" x14ac:dyDescent="0.25">
      <c r="A1069" s="530" t="s">
        <v>4397</v>
      </c>
      <c r="B1069" s="531" t="s">
        <v>11</v>
      </c>
      <c r="C1069" s="533" t="s">
        <v>43</v>
      </c>
      <c r="D1069" s="534"/>
      <c r="E1069" s="530" t="s">
        <v>13</v>
      </c>
      <c r="F1069" s="530" t="s">
        <v>44</v>
      </c>
      <c r="G1069" s="538" t="s">
        <v>45</v>
      </c>
      <c r="H1069" s="108" t="s">
        <v>46</v>
      </c>
      <c r="I1069" s="108"/>
      <c r="J1069" s="108"/>
    </row>
    <row r="1070" spans="1:17" ht="15" x14ac:dyDescent="0.25">
      <c r="A1070" s="530"/>
      <c r="B1070" s="532"/>
      <c r="C1070" s="535"/>
      <c r="D1070" s="536"/>
      <c r="E1070" s="537"/>
      <c r="F1070" s="537"/>
      <c r="G1070" s="539"/>
      <c r="H1070" s="108" t="s">
        <v>47</v>
      </c>
      <c r="I1070" s="108" t="s">
        <v>48</v>
      </c>
      <c r="J1070" s="108" t="s">
        <v>49</v>
      </c>
    </row>
    <row r="1071" spans="1:17" ht="15" x14ac:dyDescent="0.25">
      <c r="A1071" s="109" t="s">
        <v>4717</v>
      </c>
      <c r="B1071" s="116" t="s">
        <v>4950</v>
      </c>
      <c r="C1071" s="540" t="str">
        <f>IF(A1071&amp;B1071="","",VLOOKUP(A1071&amp;B1071,INSUMOS!C:G,2,0))</f>
        <v>Fornecimento e plantio de Scaevola plumieri - Mangue da praia</v>
      </c>
      <c r="D1071" s="541"/>
      <c r="E1071" s="111" t="str">
        <f>IF(A1071&amp;B1071="","",VLOOKUP(A1071&amp;B1071,INSUMOS!C:G,3,0))</f>
        <v>un</v>
      </c>
      <c r="F1071" s="112">
        <v>1</v>
      </c>
      <c r="G1071" s="113">
        <f>IF(A1071&amp;B1071="","",VLOOKUP(A1071&amp;B1071,INSUMOS!C:G,4,0))</f>
        <v>59.88</v>
      </c>
      <c r="H1071" s="114" t="str">
        <f>IF(K1071="MO",TRUNC(F1071*G1071,2),"")</f>
        <v/>
      </c>
      <c r="I1071" s="114">
        <f>IF(K1071="MT",TRUNC(F1071*G1071,2),"")</f>
        <v>59.88</v>
      </c>
      <c r="J1071" s="115" t="str">
        <f>IF(K1071="EQ",TRUNC(F1071*G1071,2),"")</f>
        <v/>
      </c>
      <c r="K1071" s="102" t="str">
        <f>IF(A1071&amp;B1071="","",VLOOKUP(A1071&amp;B1071,INSUMOS!C:G,5,0))</f>
        <v>MT</v>
      </c>
    </row>
    <row r="1072" spans="1:17" ht="15" x14ac:dyDescent="0.25">
      <c r="A1072" s="109" t="s">
        <v>4398</v>
      </c>
      <c r="B1072" s="116">
        <v>10101</v>
      </c>
      <c r="C1072" s="518" t="str">
        <f>IF(A1072&amp;B1072="","",VLOOKUP(A1072&amp;B1072,INSUMOS!C:G,2,0))</f>
        <v>Ajudante geral</v>
      </c>
      <c r="D1072" s="519"/>
      <c r="E1072" s="117" t="str">
        <f>IF(A1072&amp;B1072="","",VLOOKUP(A1072&amp;B1072,INSUMOS!C:G,3,0))</f>
        <v>h</v>
      </c>
      <c r="F1072" s="118">
        <v>0.1</v>
      </c>
      <c r="G1072" s="113">
        <f>IF(A1072&amp;B1072="","",VLOOKUP(A1072&amp;B1072,INSUMOS!C:G,4,0))</f>
        <v>11.238228999999999</v>
      </c>
      <c r="H1072" s="119">
        <f t="shared" ref="H1072:H1083" si="174">IF(K1072="MO",TRUNC(F1072*G1072,2),"")</f>
        <v>1.1200000000000001</v>
      </c>
      <c r="I1072" s="119" t="str">
        <f t="shared" ref="I1072:I1083" si="175">IF(K1072="MT",TRUNC(F1072*G1072,2),"")</f>
        <v/>
      </c>
      <c r="J1072" s="115" t="str">
        <f t="shared" ref="J1072:J1083" si="176">IF(K1072="EQ",TRUNC(F1072*G1072,2),"")</f>
        <v/>
      </c>
      <c r="K1072" s="102" t="str">
        <f>IF(A1072&amp;B1072="","",VLOOKUP(A1072&amp;B1072,INSUMOS!C:G,5,0))</f>
        <v>MO</v>
      </c>
    </row>
    <row r="1073" spans="1:17" ht="15" x14ac:dyDescent="0.25">
      <c r="A1073" s="109" t="s">
        <v>4398</v>
      </c>
      <c r="B1073" s="116">
        <v>10126</v>
      </c>
      <c r="C1073" s="518" t="str">
        <f>IF(A1073&amp;B1073="","",VLOOKUP(A1073&amp;B1073,INSUMOS!C:G,2,0))</f>
        <v>Jardineiro</v>
      </c>
      <c r="D1073" s="519"/>
      <c r="E1073" s="117" t="str">
        <f>IF(A1073&amp;B1073="","",VLOOKUP(A1073&amp;B1073,INSUMOS!C:G,3,0))</f>
        <v>h</v>
      </c>
      <c r="F1073" s="118">
        <v>7.0000000000000007E-2</v>
      </c>
      <c r="G1073" s="113">
        <f>IF(A1073&amp;B1073="","",VLOOKUP(A1073&amp;B1073,INSUMOS!C:G,4,0))</f>
        <v>12.07574</v>
      </c>
      <c r="H1073" s="119">
        <f t="shared" si="174"/>
        <v>0.84</v>
      </c>
      <c r="I1073" s="119" t="str">
        <f t="shared" si="175"/>
        <v/>
      </c>
      <c r="J1073" s="115" t="str">
        <f t="shared" si="176"/>
        <v/>
      </c>
      <c r="K1073" s="102" t="str">
        <f>IF(A1073&amp;B1073="","",VLOOKUP(A1073&amp;B1073,INSUMOS!C:G,5,0))</f>
        <v>MO</v>
      </c>
    </row>
    <row r="1074" spans="1:17" ht="15" x14ac:dyDescent="0.25">
      <c r="A1074" s="109" t="s">
        <v>4398</v>
      </c>
      <c r="B1074" s="116">
        <v>38511</v>
      </c>
      <c r="C1074" s="518" t="str">
        <f>IF(A1074&amp;B1074="","",VLOOKUP(A1074&amp;B1074,INSUMOS!C:G,2,0))</f>
        <v>Terra vegetal orgânica comum</v>
      </c>
      <c r="D1074" s="519"/>
      <c r="E1074" s="117" t="str">
        <f>IF(A1074&amp;B1074="","",VLOOKUP(A1074&amp;B1074,INSUMOS!C:G,3,0))</f>
        <v>m³</v>
      </c>
      <c r="F1074" s="118">
        <v>0.08</v>
      </c>
      <c r="G1074" s="113">
        <f>IF(A1074&amp;B1074="","",VLOOKUP(A1074&amp;B1074,INSUMOS!C:G,4,0))</f>
        <v>92.46</v>
      </c>
      <c r="H1074" s="119" t="str">
        <f t="shared" si="174"/>
        <v/>
      </c>
      <c r="I1074" s="119">
        <f t="shared" si="175"/>
        <v>7.39</v>
      </c>
      <c r="J1074" s="115" t="str">
        <f t="shared" si="176"/>
        <v/>
      </c>
      <c r="K1074" s="102" t="str">
        <f>IF(A1074&amp;B1074="","",VLOOKUP(A1074&amp;B1074,INSUMOS!C:G,5,0))</f>
        <v>MT</v>
      </c>
    </row>
    <row r="1075" spans="1:17" ht="15" x14ac:dyDescent="0.25">
      <c r="A1075" s="109"/>
      <c r="B1075" s="116"/>
      <c r="C1075" s="518" t="str">
        <f>IF(A1075&amp;B1075="","",VLOOKUP(A1075&amp;B1075,INSUMOS!C:G,2,0))</f>
        <v/>
      </c>
      <c r="D1075" s="519"/>
      <c r="E1075" s="117" t="str">
        <f>IF(A1075&amp;B1075="","",VLOOKUP(A1075&amp;B1075,INSUMOS!C:G,3,0))</f>
        <v/>
      </c>
      <c r="F1075" s="118"/>
      <c r="G1075" s="113" t="str">
        <f>IF(A1075&amp;B1075="","",VLOOKUP(A1075&amp;B1075,INSUMOS!C:G,4,0))</f>
        <v/>
      </c>
      <c r="H1075" s="119" t="str">
        <f t="shared" si="174"/>
        <v/>
      </c>
      <c r="I1075" s="119" t="str">
        <f t="shared" si="175"/>
        <v/>
      </c>
      <c r="J1075" s="115" t="str">
        <f t="shared" si="176"/>
        <v/>
      </c>
      <c r="K1075" s="102" t="str">
        <f>IF(A1075&amp;B1075="","",VLOOKUP(A1075&amp;B1075,INSUMOS!C:G,5,0))</f>
        <v/>
      </c>
    </row>
    <row r="1076" spans="1:17" ht="15" x14ac:dyDescent="0.25">
      <c r="A1076" s="109"/>
      <c r="B1076" s="116"/>
      <c r="C1076" s="518" t="str">
        <f>IF(A1076&amp;B1076="","",VLOOKUP(A1076&amp;B1076,INSUMOS!C:G,2,0))</f>
        <v/>
      </c>
      <c r="D1076" s="519"/>
      <c r="E1076" s="117" t="str">
        <f>IF(A1076&amp;B1076="","",VLOOKUP(A1076&amp;B1076,INSUMOS!C:G,3,0))</f>
        <v/>
      </c>
      <c r="F1076" s="118"/>
      <c r="G1076" s="113" t="str">
        <f>IF(A1076&amp;B1076="","",VLOOKUP(A1076&amp;B1076,INSUMOS!C:G,4,0))</f>
        <v/>
      </c>
      <c r="H1076" s="119" t="str">
        <f t="shared" si="174"/>
        <v/>
      </c>
      <c r="I1076" s="119" t="str">
        <f t="shared" si="175"/>
        <v/>
      </c>
      <c r="J1076" s="115" t="str">
        <f t="shared" si="176"/>
        <v/>
      </c>
      <c r="K1076" s="102" t="str">
        <f>IF(A1076&amp;B1076="","",VLOOKUP(A1076&amp;B1076,INSUMOS!C:G,5,0))</f>
        <v/>
      </c>
    </row>
    <row r="1077" spans="1:17" ht="15" x14ac:dyDescent="0.25">
      <c r="A1077" s="109"/>
      <c r="B1077" s="116"/>
      <c r="C1077" s="518" t="str">
        <f>IF(A1077&amp;B1077="","",VLOOKUP(A1077&amp;B1077,INSUMOS!C:G,2,0))</f>
        <v/>
      </c>
      <c r="D1077" s="519"/>
      <c r="E1077" s="117" t="str">
        <f>IF(A1077&amp;B1077="","",VLOOKUP(A1077&amp;B1077,INSUMOS!C:G,3,0))</f>
        <v/>
      </c>
      <c r="F1077" s="118"/>
      <c r="G1077" s="113" t="str">
        <f>IF(A1077&amp;B1077="","",VLOOKUP(A1077&amp;B1077,INSUMOS!C:G,4,0))</f>
        <v/>
      </c>
      <c r="H1077" s="119" t="str">
        <f t="shared" si="174"/>
        <v/>
      </c>
      <c r="I1077" s="119" t="str">
        <f t="shared" si="175"/>
        <v/>
      </c>
      <c r="J1077" s="115" t="str">
        <f t="shared" si="176"/>
        <v/>
      </c>
      <c r="K1077" s="102" t="str">
        <f>IF(A1077&amp;B1077="","",VLOOKUP(A1077&amp;B1077,INSUMOS!C:G,5,0))</f>
        <v/>
      </c>
    </row>
    <row r="1078" spans="1:17" ht="15" x14ac:dyDescent="0.25">
      <c r="A1078" s="109"/>
      <c r="B1078" s="116"/>
      <c r="C1078" s="518" t="str">
        <f>IF(A1078&amp;B1078="","",VLOOKUP(A1078&amp;B1078,INSUMOS!C:G,2,0))</f>
        <v/>
      </c>
      <c r="D1078" s="519"/>
      <c r="E1078" s="117" t="str">
        <f>IF(A1078&amp;B1078="","",VLOOKUP(A1078&amp;B1078,INSUMOS!C:G,3,0))</f>
        <v/>
      </c>
      <c r="F1078" s="118"/>
      <c r="G1078" s="113" t="str">
        <f>IF(A1078&amp;B1078="","",VLOOKUP(A1078&amp;B1078,INSUMOS!C:G,4,0))</f>
        <v/>
      </c>
      <c r="H1078" s="119" t="str">
        <f t="shared" si="174"/>
        <v/>
      </c>
      <c r="I1078" s="119" t="str">
        <f t="shared" si="175"/>
        <v/>
      </c>
      <c r="J1078" s="115" t="str">
        <f t="shared" si="176"/>
        <v/>
      </c>
      <c r="K1078" s="102" t="str">
        <f>IF(A1078&amp;B1078="","",VLOOKUP(A1078&amp;B1078,INSUMOS!C:G,5,0))</f>
        <v/>
      </c>
    </row>
    <row r="1079" spans="1:17" ht="15" x14ac:dyDescent="0.25">
      <c r="A1079" s="109"/>
      <c r="B1079" s="116"/>
      <c r="C1079" s="518" t="str">
        <f>IF(A1079&amp;B1079="","",VLOOKUP(A1079&amp;B1079,INSUMOS!C:G,2,0))</f>
        <v/>
      </c>
      <c r="D1079" s="519"/>
      <c r="E1079" s="117" t="str">
        <f>IF(A1079&amp;B1079="","",VLOOKUP(A1079&amp;B1079,INSUMOS!C:G,3,0))</f>
        <v/>
      </c>
      <c r="F1079" s="118"/>
      <c r="G1079" s="113" t="str">
        <f>IF(A1079&amp;B1079="","",VLOOKUP(A1079&amp;B1079,INSUMOS!C:G,4,0))</f>
        <v/>
      </c>
      <c r="H1079" s="119" t="str">
        <f t="shared" si="174"/>
        <v/>
      </c>
      <c r="I1079" s="119" t="str">
        <f t="shared" si="175"/>
        <v/>
      </c>
      <c r="J1079" s="115" t="str">
        <f t="shared" si="176"/>
        <v/>
      </c>
      <c r="K1079" s="102" t="str">
        <f>IF(A1079&amp;B1079="","",VLOOKUP(A1079&amp;B1079,INSUMOS!C:G,5,0))</f>
        <v/>
      </c>
    </row>
    <row r="1080" spans="1:17" ht="15" x14ac:dyDescent="0.25">
      <c r="A1080" s="109"/>
      <c r="B1080" s="116"/>
      <c r="C1080" s="518" t="str">
        <f>IF(A1080&amp;B1080="","",VLOOKUP(A1080&amp;B1080,INSUMOS!C:G,2,0))</f>
        <v/>
      </c>
      <c r="D1080" s="519"/>
      <c r="E1080" s="117" t="str">
        <f>IF(A1080&amp;B1080="","",VLOOKUP(A1080&amp;B1080,INSUMOS!C:G,3,0))</f>
        <v/>
      </c>
      <c r="F1080" s="118"/>
      <c r="G1080" s="113" t="str">
        <f>IF(A1080&amp;B1080="","",VLOOKUP(A1080&amp;B1080,INSUMOS!C:G,4,0))</f>
        <v/>
      </c>
      <c r="H1080" s="119" t="str">
        <f t="shared" si="174"/>
        <v/>
      </c>
      <c r="I1080" s="119" t="str">
        <f t="shared" si="175"/>
        <v/>
      </c>
      <c r="J1080" s="115" t="str">
        <f t="shared" si="176"/>
        <v/>
      </c>
      <c r="K1080" s="102" t="str">
        <f>IF(A1080&amp;B1080="","",VLOOKUP(A1080&amp;B1080,INSUMOS!C:G,5,0))</f>
        <v/>
      </c>
    </row>
    <row r="1081" spans="1:17" ht="15" x14ac:dyDescent="0.25">
      <c r="A1081" s="120"/>
      <c r="B1081" s="121"/>
      <c r="C1081" s="518" t="str">
        <f>IF(A1081&amp;B1081="","",VLOOKUP(A1081&amp;B1081,INSUMOS!C:G,2,0))</f>
        <v/>
      </c>
      <c r="D1081" s="519"/>
      <c r="E1081" s="117" t="str">
        <f>IF(A1081&amp;B1081="","",VLOOKUP(A1081&amp;B1081,INSUMOS!C:G,3,0))</f>
        <v/>
      </c>
      <c r="F1081" s="118"/>
      <c r="G1081" s="122" t="str">
        <f>IF(A1081&amp;B1081="","",VLOOKUP(A1081&amp;B1081,INSUMOS!C:G,4,0))</f>
        <v/>
      </c>
      <c r="H1081" s="119" t="str">
        <f t="shared" si="174"/>
        <v/>
      </c>
      <c r="I1081" s="119" t="str">
        <f t="shared" si="175"/>
        <v/>
      </c>
      <c r="J1081" s="115" t="str">
        <f t="shared" si="176"/>
        <v/>
      </c>
      <c r="K1081" s="102" t="str">
        <f>IF(A1081&amp;B1081="","",VLOOKUP(A1081&amp;B1081,INSUMOS!C:G,5,0))</f>
        <v/>
      </c>
    </row>
    <row r="1082" spans="1:17" ht="15" x14ac:dyDescent="0.25">
      <c r="A1082" s="120"/>
      <c r="B1082" s="121"/>
      <c r="C1082" s="518" t="str">
        <f>IF(A1082&amp;B1082="","",VLOOKUP(A1082&amp;B1082,INSUMOS!C:G,2,0))</f>
        <v/>
      </c>
      <c r="D1082" s="519"/>
      <c r="E1082" s="117" t="str">
        <f>IF(A1082&amp;B1082="","",VLOOKUP(A1082&amp;B1082,INSUMOS!C:G,3,0))</f>
        <v/>
      </c>
      <c r="F1082" s="118"/>
      <c r="G1082" s="122" t="str">
        <f>IF(A1082&amp;B1082="","",VLOOKUP(A1082&amp;B1082,INSUMOS!C:G,4,0))</f>
        <v/>
      </c>
      <c r="H1082" s="119" t="str">
        <f t="shared" si="174"/>
        <v/>
      </c>
      <c r="I1082" s="119" t="str">
        <f t="shared" si="175"/>
        <v/>
      </c>
      <c r="J1082" s="115" t="str">
        <f t="shared" si="176"/>
        <v/>
      </c>
      <c r="K1082" s="102" t="str">
        <f>IF(A1082&amp;B1082="","",VLOOKUP(A1082&amp;B1082,INSUMOS!C:G,5,0))</f>
        <v/>
      </c>
    </row>
    <row r="1083" spans="1:17" ht="15" x14ac:dyDescent="0.25">
      <c r="A1083" s="120"/>
      <c r="B1083" s="121"/>
      <c r="C1083" s="518" t="str">
        <f>IF(A1083&amp;B1083="","",VLOOKUP(A1083&amp;B1083,INSUMOS!C:G,2,0))</f>
        <v/>
      </c>
      <c r="D1083" s="519"/>
      <c r="E1083" s="117" t="str">
        <f>IF(A1083&amp;B1083="","",VLOOKUP(A1083&amp;B1083,INSUMOS!C:G,3,0))</f>
        <v/>
      </c>
      <c r="F1083" s="118"/>
      <c r="G1083" s="122" t="str">
        <f>IF(A1083&amp;B1083="","",VLOOKUP(A1083&amp;B1083,INSUMOS!C:G,4,0))</f>
        <v/>
      </c>
      <c r="H1083" s="119" t="str">
        <f t="shared" si="174"/>
        <v/>
      </c>
      <c r="I1083" s="119" t="str">
        <f t="shared" si="175"/>
        <v/>
      </c>
      <c r="J1083" s="115" t="str">
        <f t="shared" si="176"/>
        <v/>
      </c>
      <c r="K1083" s="102" t="str">
        <f>IF(A1083&amp;B1083="","",VLOOKUP(A1083&amp;B1083,INSUMOS!C:G,5,0))</f>
        <v/>
      </c>
    </row>
    <row r="1084" spans="1:17" ht="15" x14ac:dyDescent="0.25">
      <c r="A1084" s="123" t="s">
        <v>4399</v>
      </c>
      <c r="B1084" s="520"/>
      <c r="C1084" s="520"/>
      <c r="D1084" s="520"/>
      <c r="E1084" s="520"/>
      <c r="F1084" s="521"/>
      <c r="G1084" s="124" t="s">
        <v>50</v>
      </c>
      <c r="H1084" s="125">
        <f>SUM(H1071:H1083)</f>
        <v>1.96</v>
      </c>
      <c r="I1084" s="125">
        <f>SUM(I1071:I1083)</f>
        <v>67.27</v>
      </c>
      <c r="J1084" s="126">
        <f>SUM(J1071:J1083)</f>
        <v>0</v>
      </c>
    </row>
    <row r="1085" spans="1:17" ht="15" x14ac:dyDescent="0.25">
      <c r="A1085" s="127" t="s">
        <v>4400</v>
      </c>
      <c r="B1085" s="128"/>
      <c r="C1085" s="128"/>
      <c r="D1085" s="127" t="s">
        <v>51</v>
      </c>
      <c r="E1085" s="128"/>
      <c r="F1085" s="129"/>
      <c r="G1085" s="130" t="s">
        <v>55</v>
      </c>
      <c r="H1085" s="131" t="s">
        <v>52</v>
      </c>
      <c r="I1085" s="132"/>
      <c r="J1085" s="125">
        <f>SUM(H1084:J1084)</f>
        <v>69.22999999999999</v>
      </c>
    </row>
    <row r="1086" spans="1:17" ht="15" x14ac:dyDescent="0.25">
      <c r="A1086" s="313" t="str">
        <f>$I$3</f>
        <v>Carlos Wieck</v>
      </c>
      <c r="B1086" s="133"/>
      <c r="C1086" s="133"/>
      <c r="D1086" s="134"/>
      <c r="E1086" s="133"/>
      <c r="F1086" s="135"/>
      <c r="G1086" s="522">
        <f>$J$5</f>
        <v>43040</v>
      </c>
      <c r="H1086" s="136" t="s">
        <v>53</v>
      </c>
      <c r="I1086" s="137"/>
      <c r="J1086" s="125">
        <f>TRUNC(I1086*J1085,2)</f>
        <v>0</v>
      </c>
    </row>
    <row r="1087" spans="1:17" ht="15" x14ac:dyDescent="0.25">
      <c r="A1087" s="138"/>
      <c r="B1087" s="139"/>
      <c r="C1087" s="139"/>
      <c r="D1087" s="138"/>
      <c r="E1087" s="139"/>
      <c r="F1087" s="140"/>
      <c r="G1087" s="523"/>
      <c r="H1087" s="141" t="s">
        <v>54</v>
      </c>
      <c r="I1087" s="142"/>
      <c r="J1087" s="143">
        <f>J1086+J1085</f>
        <v>69.22999999999999</v>
      </c>
      <c r="L1087" s="102" t="str">
        <f>A1068</f>
        <v>COMPOSIÇÃO</v>
      </c>
      <c r="M1087" s="144" t="str">
        <f>B1068</f>
        <v>FF-039</v>
      </c>
      <c r="N1087" s="102" t="str">
        <f>L1087&amp;M1087</f>
        <v>COMPOSIÇÃOFF-039</v>
      </c>
      <c r="O1087" s="103" t="str">
        <f>D1067</f>
        <v>Fornecimento e plantio de Scaevola plumieri - Mangue da praia</v>
      </c>
      <c r="P1087" s="145" t="str">
        <f>J1068</f>
        <v>un</v>
      </c>
      <c r="Q1087" s="145">
        <f>J1087</f>
        <v>69.22999999999999</v>
      </c>
    </row>
    <row r="1088" spans="1:17" ht="15" customHeight="1" x14ac:dyDescent="0.25">
      <c r="A1088" s="524" t="s">
        <v>40</v>
      </c>
      <c r="B1088" s="525"/>
      <c r="C1088" s="104" t="s">
        <v>41</v>
      </c>
      <c r="D1088" s="526" t="str">
        <f>IF(B1089="","",VLOOKUP(B1089,SERVIÇOS!B:E,3,0))</f>
        <v>Fornecimento e plantio de Bactris setosa - Tucum</v>
      </c>
      <c r="E1088" s="526"/>
      <c r="F1088" s="526"/>
      <c r="G1088" s="526"/>
      <c r="H1088" s="526"/>
      <c r="I1088" s="527"/>
      <c r="J1088" s="105" t="s">
        <v>42</v>
      </c>
    </row>
    <row r="1089" spans="1:11" ht="15" x14ac:dyDescent="0.25">
      <c r="A1089" s="230" t="s">
        <v>4715</v>
      </c>
      <c r="B1089" s="230" t="s">
        <v>4919</v>
      </c>
      <c r="C1089" s="106"/>
      <c r="D1089" s="528"/>
      <c r="E1089" s="528"/>
      <c r="F1089" s="528"/>
      <c r="G1089" s="528"/>
      <c r="H1089" s="528"/>
      <c r="I1089" s="529"/>
      <c r="J1089" s="107" t="str">
        <f>IF(B1089="","",VLOOKUP(B1089,SERVIÇOS!B:E,4,0))</f>
        <v>un</v>
      </c>
    </row>
    <row r="1090" spans="1:11" ht="15" x14ac:dyDescent="0.25">
      <c r="A1090" s="530" t="s">
        <v>4397</v>
      </c>
      <c r="B1090" s="531" t="s">
        <v>11</v>
      </c>
      <c r="C1090" s="533" t="s">
        <v>43</v>
      </c>
      <c r="D1090" s="534"/>
      <c r="E1090" s="530" t="s">
        <v>13</v>
      </c>
      <c r="F1090" s="530" t="s">
        <v>44</v>
      </c>
      <c r="G1090" s="538" t="s">
        <v>45</v>
      </c>
      <c r="H1090" s="108" t="s">
        <v>46</v>
      </c>
      <c r="I1090" s="108"/>
      <c r="J1090" s="108"/>
    </row>
    <row r="1091" spans="1:11" ht="15" x14ac:dyDescent="0.25">
      <c r="A1091" s="530"/>
      <c r="B1091" s="532"/>
      <c r="C1091" s="535"/>
      <c r="D1091" s="536"/>
      <c r="E1091" s="537"/>
      <c r="F1091" s="537"/>
      <c r="G1091" s="539"/>
      <c r="H1091" s="108" t="s">
        <v>47</v>
      </c>
      <c r="I1091" s="108" t="s">
        <v>48</v>
      </c>
      <c r="J1091" s="108" t="s">
        <v>49</v>
      </c>
    </row>
    <row r="1092" spans="1:11" ht="15" x14ac:dyDescent="0.25">
      <c r="A1092" s="109" t="s">
        <v>4717</v>
      </c>
      <c r="B1092" s="116" t="s">
        <v>4951</v>
      </c>
      <c r="C1092" s="540" t="str">
        <f>IF(A1092&amp;B1092="","",VLOOKUP(A1092&amp;B1092,INSUMOS!C:G,2,0))</f>
        <v>Fornecimento e plantio de Bactris setosa - Tucum</v>
      </c>
      <c r="D1092" s="541"/>
      <c r="E1092" s="111" t="str">
        <f>IF(A1092&amp;B1092="","",VLOOKUP(A1092&amp;B1092,INSUMOS!C:G,3,0))</f>
        <v>un</v>
      </c>
      <c r="F1092" s="112">
        <v>1</v>
      </c>
      <c r="G1092" s="113">
        <f>IF(A1092&amp;B1092="","",VLOOKUP(A1092&amp;B1092,INSUMOS!C:G,4,0))</f>
        <v>164.67</v>
      </c>
      <c r="H1092" s="114" t="str">
        <f>IF(K1092="MO",TRUNC(F1092*G1092,2),"")</f>
        <v/>
      </c>
      <c r="I1092" s="114">
        <f>IF(K1092="MT",TRUNC(F1092*G1092,2),"")</f>
        <v>164.67</v>
      </c>
      <c r="J1092" s="115" t="str">
        <f>IF(K1092="EQ",TRUNC(F1092*G1092,2),"")</f>
        <v/>
      </c>
      <c r="K1092" s="102" t="str">
        <f>IF(A1092&amp;B1092="","",VLOOKUP(A1092&amp;B1092,INSUMOS!C:G,5,0))</f>
        <v>MT</v>
      </c>
    </row>
    <row r="1093" spans="1:11" ht="15" x14ac:dyDescent="0.25">
      <c r="A1093" s="109" t="s">
        <v>4398</v>
      </c>
      <c r="B1093" s="116">
        <v>10101</v>
      </c>
      <c r="C1093" s="518" t="str">
        <f>IF(A1093&amp;B1093="","",VLOOKUP(A1093&amp;B1093,INSUMOS!C:G,2,0))</f>
        <v>Ajudante geral</v>
      </c>
      <c r="D1093" s="519"/>
      <c r="E1093" s="117" t="str">
        <f>IF(A1093&amp;B1093="","",VLOOKUP(A1093&amp;B1093,INSUMOS!C:G,3,0))</f>
        <v>h</v>
      </c>
      <c r="F1093" s="118">
        <v>1</v>
      </c>
      <c r="G1093" s="113">
        <f>IF(A1093&amp;B1093="","",VLOOKUP(A1093&amp;B1093,INSUMOS!C:G,4,0))</f>
        <v>11.238228999999999</v>
      </c>
      <c r="H1093" s="119">
        <f t="shared" ref="H1093:H1104" si="177">IF(K1093="MO",TRUNC(F1093*G1093,2),"")</f>
        <v>11.23</v>
      </c>
      <c r="I1093" s="119" t="str">
        <f t="shared" ref="I1093:I1104" si="178">IF(K1093="MT",TRUNC(F1093*G1093,2),"")</f>
        <v/>
      </c>
      <c r="J1093" s="115" t="str">
        <f t="shared" ref="J1093:J1104" si="179">IF(K1093="EQ",TRUNC(F1093*G1093,2),"")</f>
        <v/>
      </c>
      <c r="K1093" s="102" t="str">
        <f>IF(A1093&amp;B1093="","",VLOOKUP(A1093&amp;B1093,INSUMOS!C:G,5,0))</f>
        <v>MO</v>
      </c>
    </row>
    <row r="1094" spans="1:11" ht="15" x14ac:dyDescent="0.25">
      <c r="A1094" s="109" t="s">
        <v>4398</v>
      </c>
      <c r="B1094" s="116">
        <v>10126</v>
      </c>
      <c r="C1094" s="518" t="str">
        <f>IF(A1094&amp;B1094="","",VLOOKUP(A1094&amp;B1094,INSUMOS!C:G,2,0))</f>
        <v>Jardineiro</v>
      </c>
      <c r="D1094" s="519"/>
      <c r="E1094" s="117" t="str">
        <f>IF(A1094&amp;B1094="","",VLOOKUP(A1094&amp;B1094,INSUMOS!C:G,3,0))</f>
        <v>h</v>
      </c>
      <c r="F1094" s="118">
        <v>0.5</v>
      </c>
      <c r="G1094" s="113">
        <f>IF(A1094&amp;B1094="","",VLOOKUP(A1094&amp;B1094,INSUMOS!C:G,4,0))</f>
        <v>12.07574</v>
      </c>
      <c r="H1094" s="119">
        <f t="shared" si="177"/>
        <v>6.03</v>
      </c>
      <c r="I1094" s="119" t="str">
        <f t="shared" si="178"/>
        <v/>
      </c>
      <c r="J1094" s="115" t="str">
        <f t="shared" si="179"/>
        <v/>
      </c>
      <c r="K1094" s="102" t="str">
        <f>IF(A1094&amp;B1094="","",VLOOKUP(A1094&amp;B1094,INSUMOS!C:G,5,0))</f>
        <v>MO</v>
      </c>
    </row>
    <row r="1095" spans="1:11" ht="15" x14ac:dyDescent="0.25">
      <c r="A1095" s="109" t="s">
        <v>4398</v>
      </c>
      <c r="B1095" s="116">
        <v>38511</v>
      </c>
      <c r="C1095" s="518" t="str">
        <f>IF(A1095&amp;B1095="","",VLOOKUP(A1095&amp;B1095,INSUMOS!C:G,2,0))</f>
        <v>Terra vegetal orgânica comum</v>
      </c>
      <c r="D1095" s="519"/>
      <c r="E1095" s="117" t="str">
        <f>IF(A1095&amp;B1095="","",VLOOKUP(A1095&amp;B1095,INSUMOS!C:G,3,0))</f>
        <v>m³</v>
      </c>
      <c r="F1095" s="118">
        <v>0.1</v>
      </c>
      <c r="G1095" s="113">
        <f>IF(A1095&amp;B1095="","",VLOOKUP(A1095&amp;B1095,INSUMOS!C:G,4,0))</f>
        <v>92.46</v>
      </c>
      <c r="H1095" s="119" t="str">
        <f t="shared" si="177"/>
        <v/>
      </c>
      <c r="I1095" s="119">
        <f t="shared" si="178"/>
        <v>9.24</v>
      </c>
      <c r="J1095" s="115" t="str">
        <f t="shared" si="179"/>
        <v/>
      </c>
      <c r="K1095" s="102" t="str">
        <f>IF(A1095&amp;B1095="","",VLOOKUP(A1095&amp;B1095,INSUMOS!C:G,5,0))</f>
        <v>MT</v>
      </c>
    </row>
    <row r="1096" spans="1:11" ht="15" x14ac:dyDescent="0.25">
      <c r="A1096" s="109"/>
      <c r="B1096" s="116"/>
      <c r="C1096" s="518" t="str">
        <f>IF(A1096&amp;B1096="","",VLOOKUP(A1096&amp;B1096,INSUMOS!C:G,2,0))</f>
        <v/>
      </c>
      <c r="D1096" s="519"/>
      <c r="E1096" s="117" t="str">
        <f>IF(A1096&amp;B1096="","",VLOOKUP(A1096&amp;B1096,INSUMOS!C:G,3,0))</f>
        <v/>
      </c>
      <c r="F1096" s="118"/>
      <c r="G1096" s="113" t="str">
        <f>IF(A1096&amp;B1096="","",VLOOKUP(A1096&amp;B1096,INSUMOS!C:G,4,0))</f>
        <v/>
      </c>
      <c r="H1096" s="119" t="str">
        <f t="shared" si="177"/>
        <v/>
      </c>
      <c r="I1096" s="119" t="str">
        <f t="shared" si="178"/>
        <v/>
      </c>
      <c r="J1096" s="115" t="str">
        <f t="shared" si="179"/>
        <v/>
      </c>
      <c r="K1096" s="102" t="str">
        <f>IF(A1096&amp;B1096="","",VLOOKUP(A1096&amp;B1096,INSUMOS!C:G,5,0))</f>
        <v/>
      </c>
    </row>
    <row r="1097" spans="1:11" ht="15" x14ac:dyDescent="0.25">
      <c r="A1097" s="109"/>
      <c r="B1097" s="116"/>
      <c r="C1097" s="518" t="str">
        <f>IF(A1097&amp;B1097="","",VLOOKUP(A1097&amp;B1097,INSUMOS!C:G,2,0))</f>
        <v/>
      </c>
      <c r="D1097" s="519"/>
      <c r="E1097" s="117" t="str">
        <f>IF(A1097&amp;B1097="","",VLOOKUP(A1097&amp;B1097,INSUMOS!C:G,3,0))</f>
        <v/>
      </c>
      <c r="F1097" s="118"/>
      <c r="G1097" s="113" t="str">
        <f>IF(A1097&amp;B1097="","",VLOOKUP(A1097&amp;B1097,INSUMOS!C:G,4,0))</f>
        <v/>
      </c>
      <c r="H1097" s="119" t="str">
        <f t="shared" si="177"/>
        <v/>
      </c>
      <c r="I1097" s="119" t="str">
        <f t="shared" si="178"/>
        <v/>
      </c>
      <c r="J1097" s="115" t="str">
        <f t="shared" si="179"/>
        <v/>
      </c>
      <c r="K1097" s="102" t="str">
        <f>IF(A1097&amp;B1097="","",VLOOKUP(A1097&amp;B1097,INSUMOS!C:G,5,0))</f>
        <v/>
      </c>
    </row>
    <row r="1098" spans="1:11" ht="15" x14ac:dyDescent="0.25">
      <c r="A1098" s="109"/>
      <c r="B1098" s="116"/>
      <c r="C1098" s="518" t="str">
        <f>IF(A1098&amp;B1098="","",VLOOKUP(A1098&amp;B1098,INSUMOS!C:G,2,0))</f>
        <v/>
      </c>
      <c r="D1098" s="519"/>
      <c r="E1098" s="117" t="str">
        <f>IF(A1098&amp;B1098="","",VLOOKUP(A1098&amp;B1098,INSUMOS!C:G,3,0))</f>
        <v/>
      </c>
      <c r="F1098" s="118"/>
      <c r="G1098" s="113" t="str">
        <f>IF(A1098&amp;B1098="","",VLOOKUP(A1098&amp;B1098,INSUMOS!C:G,4,0))</f>
        <v/>
      </c>
      <c r="H1098" s="119" t="str">
        <f t="shared" si="177"/>
        <v/>
      </c>
      <c r="I1098" s="119" t="str">
        <f t="shared" si="178"/>
        <v/>
      </c>
      <c r="J1098" s="115" t="str">
        <f t="shared" si="179"/>
        <v/>
      </c>
      <c r="K1098" s="102" t="str">
        <f>IF(A1098&amp;B1098="","",VLOOKUP(A1098&amp;B1098,INSUMOS!C:G,5,0))</f>
        <v/>
      </c>
    </row>
    <row r="1099" spans="1:11" ht="15" x14ac:dyDescent="0.25">
      <c r="A1099" s="109"/>
      <c r="B1099" s="116"/>
      <c r="C1099" s="518" t="str">
        <f>IF(A1099&amp;B1099="","",VLOOKUP(A1099&amp;B1099,INSUMOS!C:G,2,0))</f>
        <v/>
      </c>
      <c r="D1099" s="519"/>
      <c r="E1099" s="117" t="str">
        <f>IF(A1099&amp;B1099="","",VLOOKUP(A1099&amp;B1099,INSUMOS!C:G,3,0))</f>
        <v/>
      </c>
      <c r="F1099" s="118"/>
      <c r="G1099" s="113" t="str">
        <f>IF(A1099&amp;B1099="","",VLOOKUP(A1099&amp;B1099,INSUMOS!C:G,4,0))</f>
        <v/>
      </c>
      <c r="H1099" s="119" t="str">
        <f t="shared" si="177"/>
        <v/>
      </c>
      <c r="I1099" s="119" t="str">
        <f t="shared" si="178"/>
        <v/>
      </c>
      <c r="J1099" s="115" t="str">
        <f t="shared" si="179"/>
        <v/>
      </c>
      <c r="K1099" s="102" t="str">
        <f>IF(A1099&amp;B1099="","",VLOOKUP(A1099&amp;B1099,INSUMOS!C:G,5,0))</f>
        <v/>
      </c>
    </row>
    <row r="1100" spans="1:11" ht="15" x14ac:dyDescent="0.25">
      <c r="A1100" s="109"/>
      <c r="B1100" s="116"/>
      <c r="C1100" s="518" t="str">
        <f>IF(A1100&amp;B1100="","",VLOOKUP(A1100&amp;B1100,INSUMOS!C:G,2,0))</f>
        <v/>
      </c>
      <c r="D1100" s="519"/>
      <c r="E1100" s="117" t="str">
        <f>IF(A1100&amp;B1100="","",VLOOKUP(A1100&amp;B1100,INSUMOS!C:G,3,0))</f>
        <v/>
      </c>
      <c r="F1100" s="118"/>
      <c r="G1100" s="113" t="str">
        <f>IF(A1100&amp;B1100="","",VLOOKUP(A1100&amp;B1100,INSUMOS!C:G,4,0))</f>
        <v/>
      </c>
      <c r="H1100" s="119" t="str">
        <f t="shared" si="177"/>
        <v/>
      </c>
      <c r="I1100" s="119" t="str">
        <f t="shared" si="178"/>
        <v/>
      </c>
      <c r="J1100" s="115" t="str">
        <f t="shared" si="179"/>
        <v/>
      </c>
      <c r="K1100" s="102" t="str">
        <f>IF(A1100&amp;B1100="","",VLOOKUP(A1100&amp;B1100,INSUMOS!C:G,5,0))</f>
        <v/>
      </c>
    </row>
    <row r="1101" spans="1:11" ht="15" x14ac:dyDescent="0.25">
      <c r="A1101" s="109"/>
      <c r="B1101" s="116"/>
      <c r="C1101" s="518" t="str">
        <f>IF(A1101&amp;B1101="","",VLOOKUP(A1101&amp;B1101,INSUMOS!C:G,2,0))</f>
        <v/>
      </c>
      <c r="D1101" s="519"/>
      <c r="E1101" s="117" t="str">
        <f>IF(A1101&amp;B1101="","",VLOOKUP(A1101&amp;B1101,INSUMOS!C:G,3,0))</f>
        <v/>
      </c>
      <c r="F1101" s="118"/>
      <c r="G1101" s="113" t="str">
        <f>IF(A1101&amp;B1101="","",VLOOKUP(A1101&amp;B1101,INSUMOS!C:G,4,0))</f>
        <v/>
      </c>
      <c r="H1101" s="119" t="str">
        <f t="shared" si="177"/>
        <v/>
      </c>
      <c r="I1101" s="119" t="str">
        <f t="shared" si="178"/>
        <v/>
      </c>
      <c r="J1101" s="115" t="str">
        <f t="shared" si="179"/>
        <v/>
      </c>
      <c r="K1101" s="102" t="str">
        <f>IF(A1101&amp;B1101="","",VLOOKUP(A1101&amp;B1101,INSUMOS!C:G,5,0))</f>
        <v/>
      </c>
    </row>
    <row r="1102" spans="1:11" ht="15" x14ac:dyDescent="0.25">
      <c r="A1102" s="120"/>
      <c r="B1102" s="121"/>
      <c r="C1102" s="518" t="str">
        <f>IF(A1102&amp;B1102="","",VLOOKUP(A1102&amp;B1102,INSUMOS!C:G,2,0))</f>
        <v/>
      </c>
      <c r="D1102" s="519"/>
      <c r="E1102" s="117" t="str">
        <f>IF(A1102&amp;B1102="","",VLOOKUP(A1102&amp;B1102,INSUMOS!C:G,3,0))</f>
        <v/>
      </c>
      <c r="F1102" s="118"/>
      <c r="G1102" s="122" t="str">
        <f>IF(A1102&amp;B1102="","",VLOOKUP(A1102&amp;B1102,INSUMOS!C:G,4,0))</f>
        <v/>
      </c>
      <c r="H1102" s="119" t="str">
        <f t="shared" si="177"/>
        <v/>
      </c>
      <c r="I1102" s="119" t="str">
        <f t="shared" si="178"/>
        <v/>
      </c>
      <c r="J1102" s="115" t="str">
        <f t="shared" si="179"/>
        <v/>
      </c>
      <c r="K1102" s="102" t="str">
        <f>IF(A1102&amp;B1102="","",VLOOKUP(A1102&amp;B1102,INSUMOS!C:G,5,0))</f>
        <v/>
      </c>
    </row>
    <row r="1103" spans="1:11" ht="15" x14ac:dyDescent="0.25">
      <c r="A1103" s="120"/>
      <c r="B1103" s="121"/>
      <c r="C1103" s="518" t="str">
        <f>IF(A1103&amp;B1103="","",VLOOKUP(A1103&amp;B1103,INSUMOS!C:G,2,0))</f>
        <v/>
      </c>
      <c r="D1103" s="519"/>
      <c r="E1103" s="117" t="str">
        <f>IF(A1103&amp;B1103="","",VLOOKUP(A1103&amp;B1103,INSUMOS!C:G,3,0))</f>
        <v/>
      </c>
      <c r="F1103" s="118"/>
      <c r="G1103" s="122" t="str">
        <f>IF(A1103&amp;B1103="","",VLOOKUP(A1103&amp;B1103,INSUMOS!C:G,4,0))</f>
        <v/>
      </c>
      <c r="H1103" s="119" t="str">
        <f t="shared" si="177"/>
        <v/>
      </c>
      <c r="I1103" s="119" t="str">
        <f t="shared" si="178"/>
        <v/>
      </c>
      <c r="J1103" s="115" t="str">
        <f t="shared" si="179"/>
        <v/>
      </c>
      <c r="K1103" s="102" t="str">
        <f>IF(A1103&amp;B1103="","",VLOOKUP(A1103&amp;B1103,INSUMOS!C:G,5,0))</f>
        <v/>
      </c>
    </row>
    <row r="1104" spans="1:11" ht="15" x14ac:dyDescent="0.25">
      <c r="A1104" s="120"/>
      <c r="B1104" s="121"/>
      <c r="C1104" s="518" t="str">
        <f>IF(A1104&amp;B1104="","",VLOOKUP(A1104&amp;B1104,INSUMOS!C:G,2,0))</f>
        <v/>
      </c>
      <c r="D1104" s="519"/>
      <c r="E1104" s="117" t="str">
        <f>IF(A1104&amp;B1104="","",VLOOKUP(A1104&amp;B1104,INSUMOS!C:G,3,0))</f>
        <v/>
      </c>
      <c r="F1104" s="118"/>
      <c r="G1104" s="122" t="str">
        <f>IF(A1104&amp;B1104="","",VLOOKUP(A1104&amp;B1104,INSUMOS!C:G,4,0))</f>
        <v/>
      </c>
      <c r="H1104" s="119" t="str">
        <f t="shared" si="177"/>
        <v/>
      </c>
      <c r="I1104" s="119" t="str">
        <f t="shared" si="178"/>
        <v/>
      </c>
      <c r="J1104" s="115" t="str">
        <f t="shared" si="179"/>
        <v/>
      </c>
      <c r="K1104" s="102" t="str">
        <f>IF(A1104&amp;B1104="","",VLOOKUP(A1104&amp;B1104,INSUMOS!C:G,5,0))</f>
        <v/>
      </c>
    </row>
    <row r="1105" spans="1:17" ht="15" x14ac:dyDescent="0.25">
      <c r="A1105" s="123" t="s">
        <v>4399</v>
      </c>
      <c r="B1105" s="520"/>
      <c r="C1105" s="520"/>
      <c r="D1105" s="520"/>
      <c r="E1105" s="520"/>
      <c r="F1105" s="521"/>
      <c r="G1105" s="124" t="s">
        <v>50</v>
      </c>
      <c r="H1105" s="125">
        <f>SUM(H1092:H1104)</f>
        <v>17.260000000000002</v>
      </c>
      <c r="I1105" s="125">
        <f>SUM(I1092:I1104)</f>
        <v>173.91</v>
      </c>
      <c r="J1105" s="126">
        <f>SUM(J1092:J1104)</f>
        <v>0</v>
      </c>
    </row>
    <row r="1106" spans="1:17" ht="15" x14ac:dyDescent="0.25">
      <c r="A1106" s="127" t="s">
        <v>4400</v>
      </c>
      <c r="B1106" s="128"/>
      <c r="C1106" s="128"/>
      <c r="D1106" s="127" t="s">
        <v>51</v>
      </c>
      <c r="E1106" s="128"/>
      <c r="F1106" s="129"/>
      <c r="G1106" s="130" t="s">
        <v>55</v>
      </c>
      <c r="H1106" s="131" t="s">
        <v>52</v>
      </c>
      <c r="I1106" s="132"/>
      <c r="J1106" s="125">
        <f>SUM(H1105:J1105)</f>
        <v>191.17</v>
      </c>
    </row>
    <row r="1107" spans="1:17" ht="15" x14ac:dyDescent="0.25">
      <c r="A1107" s="313" t="str">
        <f>$I$3</f>
        <v>Carlos Wieck</v>
      </c>
      <c r="B1107" s="133"/>
      <c r="C1107" s="133"/>
      <c r="D1107" s="134"/>
      <c r="E1107" s="133"/>
      <c r="F1107" s="135"/>
      <c r="G1107" s="522">
        <f>$J$5</f>
        <v>43040</v>
      </c>
      <c r="H1107" s="136" t="s">
        <v>53</v>
      </c>
      <c r="I1107" s="137"/>
      <c r="J1107" s="125">
        <f>TRUNC(I1107*J1106,2)</f>
        <v>0</v>
      </c>
    </row>
    <row r="1108" spans="1:17" ht="15" x14ac:dyDescent="0.25">
      <c r="A1108" s="138"/>
      <c r="B1108" s="139"/>
      <c r="C1108" s="139"/>
      <c r="D1108" s="138"/>
      <c r="E1108" s="139"/>
      <c r="F1108" s="140"/>
      <c r="G1108" s="523"/>
      <c r="H1108" s="141" t="s">
        <v>54</v>
      </c>
      <c r="I1108" s="142"/>
      <c r="J1108" s="143">
        <f>J1107+J1106</f>
        <v>191.17</v>
      </c>
      <c r="L1108" s="102" t="str">
        <f>A1089</f>
        <v>COMPOSIÇÃO</v>
      </c>
      <c r="M1108" s="144" t="str">
        <f>B1089</f>
        <v>FF-040</v>
      </c>
      <c r="N1108" s="102" t="str">
        <f>L1108&amp;M1108</f>
        <v>COMPOSIÇÃOFF-040</v>
      </c>
      <c r="O1108" s="103" t="str">
        <f>D1088</f>
        <v>Fornecimento e plantio de Bactris setosa - Tucum</v>
      </c>
      <c r="P1108" s="145" t="str">
        <f>J1089</f>
        <v>un</v>
      </c>
      <c r="Q1108" s="145">
        <f>J1108</f>
        <v>191.17</v>
      </c>
    </row>
    <row r="1109" spans="1:17" ht="15" customHeight="1" x14ac:dyDescent="0.25">
      <c r="A1109" s="524" t="s">
        <v>40</v>
      </c>
      <c r="B1109" s="525"/>
      <c r="C1109" s="104" t="s">
        <v>41</v>
      </c>
      <c r="D1109" s="526" t="str">
        <f>IF(B1110="","",VLOOKUP(B1110,SERVIÇOS!B:E,3,0))</f>
        <v>Fornecimento e plantio de Ocotea odorifera - Canela sassafrás</v>
      </c>
      <c r="E1109" s="526"/>
      <c r="F1109" s="526"/>
      <c r="G1109" s="526"/>
      <c r="H1109" s="526"/>
      <c r="I1109" s="527"/>
      <c r="J1109" s="105" t="s">
        <v>42</v>
      </c>
    </row>
    <row r="1110" spans="1:17" ht="15" x14ac:dyDescent="0.25">
      <c r="A1110" s="230" t="s">
        <v>4715</v>
      </c>
      <c r="B1110" s="230" t="s">
        <v>4920</v>
      </c>
      <c r="C1110" s="106"/>
      <c r="D1110" s="528"/>
      <c r="E1110" s="528"/>
      <c r="F1110" s="528"/>
      <c r="G1110" s="528"/>
      <c r="H1110" s="528"/>
      <c r="I1110" s="529"/>
      <c r="J1110" s="107" t="str">
        <f>IF(B1110="","",VLOOKUP(B1110,SERVIÇOS!B:E,4,0))</f>
        <v>un</v>
      </c>
    </row>
    <row r="1111" spans="1:17" ht="15" x14ac:dyDescent="0.25">
      <c r="A1111" s="530" t="s">
        <v>4397</v>
      </c>
      <c r="B1111" s="531" t="s">
        <v>11</v>
      </c>
      <c r="C1111" s="533" t="s">
        <v>43</v>
      </c>
      <c r="D1111" s="534"/>
      <c r="E1111" s="530" t="s">
        <v>13</v>
      </c>
      <c r="F1111" s="530" t="s">
        <v>44</v>
      </c>
      <c r="G1111" s="538" t="s">
        <v>45</v>
      </c>
      <c r="H1111" s="108" t="s">
        <v>46</v>
      </c>
      <c r="I1111" s="108"/>
      <c r="J1111" s="108"/>
    </row>
    <row r="1112" spans="1:17" ht="15" x14ac:dyDescent="0.25">
      <c r="A1112" s="530"/>
      <c r="B1112" s="532"/>
      <c r="C1112" s="535"/>
      <c r="D1112" s="536"/>
      <c r="E1112" s="537"/>
      <c r="F1112" s="537"/>
      <c r="G1112" s="539"/>
      <c r="H1112" s="108" t="s">
        <v>47</v>
      </c>
      <c r="I1112" s="108" t="s">
        <v>48</v>
      </c>
      <c r="J1112" s="108" t="s">
        <v>49</v>
      </c>
    </row>
    <row r="1113" spans="1:17" ht="15" x14ac:dyDescent="0.25">
      <c r="A1113" s="109" t="s">
        <v>4717</v>
      </c>
      <c r="B1113" s="116" t="s">
        <v>4952</v>
      </c>
      <c r="C1113" s="540" t="str">
        <f>IF(A1113&amp;B1113="","",VLOOKUP(A1113&amp;B1113,INSUMOS!C:G,2,0))</f>
        <v>Fornecimento e plantio de Ocotea odorifera - Canela sassafrás</v>
      </c>
      <c r="D1113" s="541"/>
      <c r="E1113" s="111" t="str">
        <f>IF(A1113&amp;B1113="","",VLOOKUP(A1113&amp;B1113,INSUMOS!C:G,3,0))</f>
        <v>un</v>
      </c>
      <c r="F1113" s="112">
        <v>1</v>
      </c>
      <c r="G1113" s="113">
        <f>IF(A1113&amp;B1113="","",VLOOKUP(A1113&amp;B1113,INSUMOS!C:G,4,0))</f>
        <v>123.752</v>
      </c>
      <c r="H1113" s="114" t="str">
        <f>IF(K1113="MO",TRUNC(F1113*G1113,2),"")</f>
        <v/>
      </c>
      <c r="I1113" s="114">
        <f>IF(K1113="MT",TRUNC(F1113*G1113,2),"")</f>
        <v>123.75</v>
      </c>
      <c r="J1113" s="115" t="str">
        <f>IF(K1113="EQ",TRUNC(F1113*G1113,2),"")</f>
        <v/>
      </c>
      <c r="K1113" s="102" t="str">
        <f>IF(A1113&amp;B1113="","",VLOOKUP(A1113&amp;B1113,INSUMOS!C:G,5,0))</f>
        <v>MT</v>
      </c>
    </row>
    <row r="1114" spans="1:17" ht="15" x14ac:dyDescent="0.25">
      <c r="A1114" s="109" t="s">
        <v>4398</v>
      </c>
      <c r="B1114" s="116">
        <v>10101</v>
      </c>
      <c r="C1114" s="518" t="str">
        <f>IF(A1114&amp;B1114="","",VLOOKUP(A1114&amp;B1114,INSUMOS!C:G,2,0))</f>
        <v>Ajudante geral</v>
      </c>
      <c r="D1114" s="519"/>
      <c r="E1114" s="117" t="str">
        <f>IF(A1114&amp;B1114="","",VLOOKUP(A1114&amp;B1114,INSUMOS!C:G,3,0))</f>
        <v>h</v>
      </c>
      <c r="F1114" s="118">
        <v>1</v>
      </c>
      <c r="G1114" s="113">
        <f>IF(A1114&amp;B1114="","",VLOOKUP(A1114&amp;B1114,INSUMOS!C:G,4,0))</f>
        <v>11.238228999999999</v>
      </c>
      <c r="H1114" s="119">
        <f t="shared" ref="H1114:H1125" si="180">IF(K1114="MO",TRUNC(F1114*G1114,2),"")</f>
        <v>11.23</v>
      </c>
      <c r="I1114" s="119" t="str">
        <f t="shared" ref="I1114:I1125" si="181">IF(K1114="MT",TRUNC(F1114*G1114,2),"")</f>
        <v/>
      </c>
      <c r="J1114" s="115" t="str">
        <f t="shared" ref="J1114:J1125" si="182">IF(K1114="EQ",TRUNC(F1114*G1114,2),"")</f>
        <v/>
      </c>
      <c r="K1114" s="102" t="str">
        <f>IF(A1114&amp;B1114="","",VLOOKUP(A1114&amp;B1114,INSUMOS!C:G,5,0))</f>
        <v>MO</v>
      </c>
    </row>
    <row r="1115" spans="1:17" ht="15" x14ac:dyDescent="0.25">
      <c r="A1115" s="109" t="s">
        <v>4398</v>
      </c>
      <c r="B1115" s="116">
        <v>10126</v>
      </c>
      <c r="C1115" s="518" t="str">
        <f>IF(A1115&amp;B1115="","",VLOOKUP(A1115&amp;B1115,INSUMOS!C:G,2,0))</f>
        <v>Jardineiro</v>
      </c>
      <c r="D1115" s="519"/>
      <c r="E1115" s="117" t="str">
        <f>IF(A1115&amp;B1115="","",VLOOKUP(A1115&amp;B1115,INSUMOS!C:G,3,0))</f>
        <v>h</v>
      </c>
      <c r="F1115" s="118">
        <v>0.5</v>
      </c>
      <c r="G1115" s="113">
        <f>IF(A1115&amp;B1115="","",VLOOKUP(A1115&amp;B1115,INSUMOS!C:G,4,0))</f>
        <v>12.07574</v>
      </c>
      <c r="H1115" s="119">
        <f t="shared" si="180"/>
        <v>6.03</v>
      </c>
      <c r="I1115" s="119" t="str">
        <f t="shared" si="181"/>
        <v/>
      </c>
      <c r="J1115" s="115" t="str">
        <f t="shared" si="182"/>
        <v/>
      </c>
      <c r="K1115" s="102" t="str">
        <f>IF(A1115&amp;B1115="","",VLOOKUP(A1115&amp;B1115,INSUMOS!C:G,5,0))</f>
        <v>MO</v>
      </c>
    </row>
    <row r="1116" spans="1:17" ht="15" x14ac:dyDescent="0.25">
      <c r="A1116" s="109" t="s">
        <v>4398</v>
      </c>
      <c r="B1116" s="116">
        <v>38511</v>
      </c>
      <c r="C1116" s="518" t="str">
        <f>IF(A1116&amp;B1116="","",VLOOKUP(A1116&amp;B1116,INSUMOS!C:G,2,0))</f>
        <v>Terra vegetal orgânica comum</v>
      </c>
      <c r="D1116" s="519"/>
      <c r="E1116" s="117" t="str">
        <f>IF(A1116&amp;B1116="","",VLOOKUP(A1116&amp;B1116,INSUMOS!C:G,3,0))</f>
        <v>m³</v>
      </c>
      <c r="F1116" s="118">
        <v>0.1</v>
      </c>
      <c r="G1116" s="113">
        <f>IF(A1116&amp;B1116="","",VLOOKUP(A1116&amp;B1116,INSUMOS!C:G,4,0))</f>
        <v>92.46</v>
      </c>
      <c r="H1116" s="119" t="str">
        <f t="shared" si="180"/>
        <v/>
      </c>
      <c r="I1116" s="119">
        <f t="shared" si="181"/>
        <v>9.24</v>
      </c>
      <c r="J1116" s="115" t="str">
        <f t="shared" si="182"/>
        <v/>
      </c>
      <c r="K1116" s="102" t="str">
        <f>IF(A1116&amp;B1116="","",VLOOKUP(A1116&amp;B1116,INSUMOS!C:G,5,0))</f>
        <v>MT</v>
      </c>
    </row>
    <row r="1117" spans="1:17" ht="15" x14ac:dyDescent="0.25">
      <c r="A1117" s="109"/>
      <c r="B1117" s="116"/>
      <c r="C1117" s="518" t="str">
        <f>IF(A1117&amp;B1117="","",VLOOKUP(A1117&amp;B1117,INSUMOS!C:G,2,0))</f>
        <v/>
      </c>
      <c r="D1117" s="519"/>
      <c r="E1117" s="117" t="str">
        <f>IF(A1117&amp;B1117="","",VLOOKUP(A1117&amp;B1117,INSUMOS!C:G,3,0))</f>
        <v/>
      </c>
      <c r="F1117" s="118"/>
      <c r="G1117" s="113" t="str">
        <f>IF(A1117&amp;B1117="","",VLOOKUP(A1117&amp;B1117,INSUMOS!C:G,4,0))</f>
        <v/>
      </c>
      <c r="H1117" s="119" t="str">
        <f t="shared" si="180"/>
        <v/>
      </c>
      <c r="I1117" s="119" t="str">
        <f t="shared" si="181"/>
        <v/>
      </c>
      <c r="J1117" s="115" t="str">
        <f t="shared" si="182"/>
        <v/>
      </c>
      <c r="K1117" s="102" t="str">
        <f>IF(A1117&amp;B1117="","",VLOOKUP(A1117&amp;B1117,INSUMOS!C:G,5,0))</f>
        <v/>
      </c>
    </row>
    <row r="1118" spans="1:17" ht="15" x14ac:dyDescent="0.25">
      <c r="A1118" s="109"/>
      <c r="B1118" s="116"/>
      <c r="C1118" s="518" t="str">
        <f>IF(A1118&amp;B1118="","",VLOOKUP(A1118&amp;B1118,INSUMOS!C:G,2,0))</f>
        <v/>
      </c>
      <c r="D1118" s="519"/>
      <c r="E1118" s="117" t="str">
        <f>IF(A1118&amp;B1118="","",VLOOKUP(A1118&amp;B1118,INSUMOS!C:G,3,0))</f>
        <v/>
      </c>
      <c r="F1118" s="118"/>
      <c r="G1118" s="113" t="str">
        <f>IF(A1118&amp;B1118="","",VLOOKUP(A1118&amp;B1118,INSUMOS!C:G,4,0))</f>
        <v/>
      </c>
      <c r="H1118" s="119" t="str">
        <f t="shared" si="180"/>
        <v/>
      </c>
      <c r="I1118" s="119" t="str">
        <f t="shared" si="181"/>
        <v/>
      </c>
      <c r="J1118" s="115" t="str">
        <f t="shared" si="182"/>
        <v/>
      </c>
      <c r="K1118" s="102" t="str">
        <f>IF(A1118&amp;B1118="","",VLOOKUP(A1118&amp;B1118,INSUMOS!C:G,5,0))</f>
        <v/>
      </c>
    </row>
    <row r="1119" spans="1:17" ht="15" x14ac:dyDescent="0.25">
      <c r="A1119" s="109"/>
      <c r="B1119" s="116"/>
      <c r="C1119" s="518" t="str">
        <f>IF(A1119&amp;B1119="","",VLOOKUP(A1119&amp;B1119,INSUMOS!C:G,2,0))</f>
        <v/>
      </c>
      <c r="D1119" s="519"/>
      <c r="E1119" s="117" t="str">
        <f>IF(A1119&amp;B1119="","",VLOOKUP(A1119&amp;B1119,INSUMOS!C:G,3,0))</f>
        <v/>
      </c>
      <c r="F1119" s="118"/>
      <c r="G1119" s="113" t="str">
        <f>IF(A1119&amp;B1119="","",VLOOKUP(A1119&amp;B1119,INSUMOS!C:G,4,0))</f>
        <v/>
      </c>
      <c r="H1119" s="119" t="str">
        <f t="shared" si="180"/>
        <v/>
      </c>
      <c r="I1119" s="119" t="str">
        <f t="shared" si="181"/>
        <v/>
      </c>
      <c r="J1119" s="115" t="str">
        <f t="shared" si="182"/>
        <v/>
      </c>
      <c r="K1119" s="102" t="str">
        <f>IF(A1119&amp;B1119="","",VLOOKUP(A1119&amp;B1119,INSUMOS!C:G,5,0))</f>
        <v/>
      </c>
    </row>
    <row r="1120" spans="1:17" ht="15" x14ac:dyDescent="0.25">
      <c r="A1120" s="109"/>
      <c r="B1120" s="116"/>
      <c r="C1120" s="518" t="str">
        <f>IF(A1120&amp;B1120="","",VLOOKUP(A1120&amp;B1120,INSUMOS!C:G,2,0))</f>
        <v/>
      </c>
      <c r="D1120" s="519"/>
      <c r="E1120" s="117" t="str">
        <f>IF(A1120&amp;B1120="","",VLOOKUP(A1120&amp;B1120,INSUMOS!C:G,3,0))</f>
        <v/>
      </c>
      <c r="F1120" s="118"/>
      <c r="G1120" s="113" t="str">
        <f>IF(A1120&amp;B1120="","",VLOOKUP(A1120&amp;B1120,INSUMOS!C:G,4,0))</f>
        <v/>
      </c>
      <c r="H1120" s="119" t="str">
        <f t="shared" si="180"/>
        <v/>
      </c>
      <c r="I1120" s="119" t="str">
        <f t="shared" si="181"/>
        <v/>
      </c>
      <c r="J1120" s="115" t="str">
        <f t="shared" si="182"/>
        <v/>
      </c>
      <c r="K1120" s="102" t="str">
        <f>IF(A1120&amp;B1120="","",VLOOKUP(A1120&amp;B1120,INSUMOS!C:G,5,0))</f>
        <v/>
      </c>
    </row>
    <row r="1121" spans="1:17" ht="15" x14ac:dyDescent="0.25">
      <c r="A1121" s="109"/>
      <c r="B1121" s="116"/>
      <c r="C1121" s="518" t="str">
        <f>IF(A1121&amp;B1121="","",VLOOKUP(A1121&amp;B1121,INSUMOS!C:G,2,0))</f>
        <v/>
      </c>
      <c r="D1121" s="519"/>
      <c r="E1121" s="117" t="str">
        <f>IF(A1121&amp;B1121="","",VLOOKUP(A1121&amp;B1121,INSUMOS!C:G,3,0))</f>
        <v/>
      </c>
      <c r="F1121" s="118"/>
      <c r="G1121" s="113" t="str">
        <f>IF(A1121&amp;B1121="","",VLOOKUP(A1121&amp;B1121,INSUMOS!C:G,4,0))</f>
        <v/>
      </c>
      <c r="H1121" s="119" t="str">
        <f t="shared" si="180"/>
        <v/>
      </c>
      <c r="I1121" s="119" t="str">
        <f t="shared" si="181"/>
        <v/>
      </c>
      <c r="J1121" s="115" t="str">
        <f t="shared" si="182"/>
        <v/>
      </c>
      <c r="K1121" s="102" t="str">
        <f>IF(A1121&amp;B1121="","",VLOOKUP(A1121&amp;B1121,INSUMOS!C:G,5,0))</f>
        <v/>
      </c>
    </row>
    <row r="1122" spans="1:17" ht="15" x14ac:dyDescent="0.25">
      <c r="A1122" s="109"/>
      <c r="B1122" s="116"/>
      <c r="C1122" s="518" t="str">
        <f>IF(A1122&amp;B1122="","",VLOOKUP(A1122&amp;B1122,INSUMOS!C:G,2,0))</f>
        <v/>
      </c>
      <c r="D1122" s="519"/>
      <c r="E1122" s="117" t="str">
        <f>IF(A1122&amp;B1122="","",VLOOKUP(A1122&amp;B1122,INSUMOS!C:G,3,0))</f>
        <v/>
      </c>
      <c r="F1122" s="118"/>
      <c r="G1122" s="113" t="str">
        <f>IF(A1122&amp;B1122="","",VLOOKUP(A1122&amp;B1122,INSUMOS!C:G,4,0))</f>
        <v/>
      </c>
      <c r="H1122" s="119" t="str">
        <f t="shared" si="180"/>
        <v/>
      </c>
      <c r="I1122" s="119" t="str">
        <f t="shared" si="181"/>
        <v/>
      </c>
      <c r="J1122" s="115" t="str">
        <f t="shared" si="182"/>
        <v/>
      </c>
      <c r="K1122" s="102" t="str">
        <f>IF(A1122&amp;B1122="","",VLOOKUP(A1122&amp;B1122,INSUMOS!C:G,5,0))</f>
        <v/>
      </c>
    </row>
    <row r="1123" spans="1:17" ht="15" x14ac:dyDescent="0.25">
      <c r="A1123" s="120"/>
      <c r="B1123" s="121"/>
      <c r="C1123" s="518" t="str">
        <f>IF(A1123&amp;B1123="","",VLOOKUP(A1123&amp;B1123,INSUMOS!C:G,2,0))</f>
        <v/>
      </c>
      <c r="D1123" s="519"/>
      <c r="E1123" s="117" t="str">
        <f>IF(A1123&amp;B1123="","",VLOOKUP(A1123&amp;B1123,INSUMOS!C:G,3,0))</f>
        <v/>
      </c>
      <c r="F1123" s="118"/>
      <c r="G1123" s="122" t="str">
        <f>IF(A1123&amp;B1123="","",VLOOKUP(A1123&amp;B1123,INSUMOS!C:G,4,0))</f>
        <v/>
      </c>
      <c r="H1123" s="119" t="str">
        <f t="shared" si="180"/>
        <v/>
      </c>
      <c r="I1123" s="119" t="str">
        <f t="shared" si="181"/>
        <v/>
      </c>
      <c r="J1123" s="115" t="str">
        <f t="shared" si="182"/>
        <v/>
      </c>
      <c r="K1123" s="102" t="str">
        <f>IF(A1123&amp;B1123="","",VLOOKUP(A1123&amp;B1123,INSUMOS!C:G,5,0))</f>
        <v/>
      </c>
    </row>
    <row r="1124" spans="1:17" ht="15" x14ac:dyDescent="0.25">
      <c r="A1124" s="120"/>
      <c r="B1124" s="121"/>
      <c r="C1124" s="518" t="str">
        <f>IF(A1124&amp;B1124="","",VLOOKUP(A1124&amp;B1124,INSUMOS!C:G,2,0))</f>
        <v/>
      </c>
      <c r="D1124" s="519"/>
      <c r="E1124" s="117" t="str">
        <f>IF(A1124&amp;B1124="","",VLOOKUP(A1124&amp;B1124,INSUMOS!C:G,3,0))</f>
        <v/>
      </c>
      <c r="F1124" s="118"/>
      <c r="G1124" s="122" t="str">
        <f>IF(A1124&amp;B1124="","",VLOOKUP(A1124&amp;B1124,INSUMOS!C:G,4,0))</f>
        <v/>
      </c>
      <c r="H1124" s="119" t="str">
        <f t="shared" si="180"/>
        <v/>
      </c>
      <c r="I1124" s="119" t="str">
        <f t="shared" si="181"/>
        <v/>
      </c>
      <c r="J1124" s="115" t="str">
        <f t="shared" si="182"/>
        <v/>
      </c>
      <c r="K1124" s="102" t="str">
        <f>IF(A1124&amp;B1124="","",VLOOKUP(A1124&amp;B1124,INSUMOS!C:G,5,0))</f>
        <v/>
      </c>
    </row>
    <row r="1125" spans="1:17" ht="15" x14ac:dyDescent="0.25">
      <c r="A1125" s="120"/>
      <c r="B1125" s="121"/>
      <c r="C1125" s="518" t="str">
        <f>IF(A1125&amp;B1125="","",VLOOKUP(A1125&amp;B1125,INSUMOS!C:G,2,0))</f>
        <v/>
      </c>
      <c r="D1125" s="519"/>
      <c r="E1125" s="117" t="str">
        <f>IF(A1125&amp;B1125="","",VLOOKUP(A1125&amp;B1125,INSUMOS!C:G,3,0))</f>
        <v/>
      </c>
      <c r="F1125" s="118"/>
      <c r="G1125" s="122" t="str">
        <f>IF(A1125&amp;B1125="","",VLOOKUP(A1125&amp;B1125,INSUMOS!C:G,4,0))</f>
        <v/>
      </c>
      <c r="H1125" s="119" t="str">
        <f t="shared" si="180"/>
        <v/>
      </c>
      <c r="I1125" s="119" t="str">
        <f t="shared" si="181"/>
        <v/>
      </c>
      <c r="J1125" s="115" t="str">
        <f t="shared" si="182"/>
        <v/>
      </c>
      <c r="K1125" s="102" t="str">
        <f>IF(A1125&amp;B1125="","",VLOOKUP(A1125&amp;B1125,INSUMOS!C:G,5,0))</f>
        <v/>
      </c>
    </row>
    <row r="1126" spans="1:17" ht="15" x14ac:dyDescent="0.25">
      <c r="A1126" s="123" t="s">
        <v>4399</v>
      </c>
      <c r="B1126" s="520"/>
      <c r="C1126" s="520"/>
      <c r="D1126" s="520"/>
      <c r="E1126" s="520"/>
      <c r="F1126" s="521"/>
      <c r="G1126" s="124" t="s">
        <v>50</v>
      </c>
      <c r="H1126" s="125">
        <f>SUM(H1113:H1125)</f>
        <v>17.260000000000002</v>
      </c>
      <c r="I1126" s="125">
        <f>SUM(I1113:I1125)</f>
        <v>132.99</v>
      </c>
      <c r="J1126" s="126">
        <f>SUM(J1113:J1125)</f>
        <v>0</v>
      </c>
    </row>
    <row r="1127" spans="1:17" ht="15" x14ac:dyDescent="0.25">
      <c r="A1127" s="127" t="s">
        <v>4400</v>
      </c>
      <c r="B1127" s="128"/>
      <c r="C1127" s="128"/>
      <c r="D1127" s="127" t="s">
        <v>51</v>
      </c>
      <c r="E1127" s="128"/>
      <c r="F1127" s="129"/>
      <c r="G1127" s="130" t="s">
        <v>55</v>
      </c>
      <c r="H1127" s="131" t="s">
        <v>52</v>
      </c>
      <c r="I1127" s="132"/>
      <c r="J1127" s="125">
        <f>SUM(H1126:J1126)</f>
        <v>150.25</v>
      </c>
    </row>
    <row r="1128" spans="1:17" ht="15" x14ac:dyDescent="0.25">
      <c r="A1128" s="313" t="str">
        <f>$I$3</f>
        <v>Carlos Wieck</v>
      </c>
      <c r="B1128" s="133"/>
      <c r="C1128" s="133"/>
      <c r="D1128" s="134"/>
      <c r="E1128" s="133"/>
      <c r="F1128" s="135"/>
      <c r="G1128" s="522">
        <f>$J$5</f>
        <v>43040</v>
      </c>
      <c r="H1128" s="136" t="s">
        <v>53</v>
      </c>
      <c r="I1128" s="137"/>
      <c r="J1128" s="125">
        <f>TRUNC(I1128*J1127,2)</f>
        <v>0</v>
      </c>
    </row>
    <row r="1129" spans="1:17" ht="15" x14ac:dyDescent="0.25">
      <c r="A1129" s="138"/>
      <c r="B1129" s="139"/>
      <c r="C1129" s="139"/>
      <c r="D1129" s="138"/>
      <c r="E1129" s="139"/>
      <c r="F1129" s="140"/>
      <c r="G1129" s="523"/>
      <c r="H1129" s="141" t="s">
        <v>54</v>
      </c>
      <c r="I1129" s="142"/>
      <c r="J1129" s="143">
        <f>J1128+J1127</f>
        <v>150.25</v>
      </c>
      <c r="L1129" s="102" t="str">
        <f>A1110</f>
        <v>COMPOSIÇÃO</v>
      </c>
      <c r="M1129" s="144" t="str">
        <f>B1110</f>
        <v>FF-041</v>
      </c>
      <c r="N1129" s="102" t="str">
        <f>L1129&amp;M1129</f>
        <v>COMPOSIÇÃOFF-041</v>
      </c>
      <c r="O1129" s="103" t="str">
        <f>D1109</f>
        <v>Fornecimento e plantio de Ocotea odorifera - Canela sassafrás</v>
      </c>
      <c r="P1129" s="145" t="str">
        <f>J1110</f>
        <v>un</v>
      </c>
      <c r="Q1129" s="145">
        <f>J1129</f>
        <v>150.25</v>
      </c>
    </row>
    <row r="1130" spans="1:17" ht="15" customHeight="1" x14ac:dyDescent="0.25">
      <c r="A1130" s="524" t="s">
        <v>40</v>
      </c>
      <c r="B1130" s="525"/>
      <c r="C1130" s="104" t="s">
        <v>41</v>
      </c>
      <c r="D1130" s="526" t="str">
        <f>IF(B1131="","",VLOOKUP(B1131,SERVIÇOS!B:E,3,0))</f>
        <v>Fornecimento e plantio de Aechmea  tomentosa  - Bromélia</v>
      </c>
      <c r="E1130" s="526"/>
      <c r="F1130" s="526"/>
      <c r="G1130" s="526"/>
      <c r="H1130" s="526"/>
      <c r="I1130" s="527"/>
      <c r="J1130" s="105" t="s">
        <v>42</v>
      </c>
    </row>
    <row r="1131" spans="1:17" ht="15" x14ac:dyDescent="0.25">
      <c r="A1131" s="230" t="s">
        <v>4715</v>
      </c>
      <c r="B1131" s="230" t="s">
        <v>4921</v>
      </c>
      <c r="C1131" s="106"/>
      <c r="D1131" s="528"/>
      <c r="E1131" s="528"/>
      <c r="F1131" s="528"/>
      <c r="G1131" s="528"/>
      <c r="H1131" s="528"/>
      <c r="I1131" s="529"/>
      <c r="J1131" s="107" t="str">
        <f>IF(B1131="","",VLOOKUP(B1131,SERVIÇOS!B:E,4,0))</f>
        <v>un</v>
      </c>
    </row>
    <row r="1132" spans="1:17" ht="15" x14ac:dyDescent="0.25">
      <c r="A1132" s="530" t="s">
        <v>4397</v>
      </c>
      <c r="B1132" s="531" t="s">
        <v>11</v>
      </c>
      <c r="C1132" s="533" t="s">
        <v>43</v>
      </c>
      <c r="D1132" s="534"/>
      <c r="E1132" s="530" t="s">
        <v>13</v>
      </c>
      <c r="F1132" s="530" t="s">
        <v>44</v>
      </c>
      <c r="G1132" s="538" t="s">
        <v>45</v>
      </c>
      <c r="H1132" s="108" t="s">
        <v>46</v>
      </c>
      <c r="I1132" s="108"/>
      <c r="J1132" s="108"/>
    </row>
    <row r="1133" spans="1:17" ht="15" x14ac:dyDescent="0.25">
      <c r="A1133" s="530"/>
      <c r="B1133" s="532"/>
      <c r="C1133" s="535"/>
      <c r="D1133" s="536"/>
      <c r="E1133" s="537"/>
      <c r="F1133" s="537"/>
      <c r="G1133" s="539"/>
      <c r="H1133" s="108" t="s">
        <v>47</v>
      </c>
      <c r="I1133" s="108" t="s">
        <v>48</v>
      </c>
      <c r="J1133" s="108" t="s">
        <v>49</v>
      </c>
    </row>
    <row r="1134" spans="1:17" ht="15" x14ac:dyDescent="0.25">
      <c r="A1134" s="109" t="s">
        <v>4717</v>
      </c>
      <c r="B1134" s="116" t="s">
        <v>4953</v>
      </c>
      <c r="C1134" s="540" t="str">
        <f>IF(A1134&amp;B1134="","",VLOOKUP(A1134&amp;B1134,INSUMOS!C:G,2,0))</f>
        <v>Fornecimento e plantio de Aechmea  tomentosa  - Bromélia</v>
      </c>
      <c r="D1134" s="541"/>
      <c r="E1134" s="111" t="str">
        <f>IF(A1134&amp;B1134="","",VLOOKUP(A1134&amp;B1134,INSUMOS!C:G,3,0))</f>
        <v>un</v>
      </c>
      <c r="F1134" s="112">
        <v>1</v>
      </c>
      <c r="G1134" s="113">
        <f>IF(A1134&amp;B1134="","",VLOOKUP(A1134&amp;B1134,INSUMOS!C:G,4,0))</f>
        <v>54.89</v>
      </c>
      <c r="H1134" s="114" t="str">
        <f>IF(K1134="MO",TRUNC(F1134*G1134,2),"")</f>
        <v/>
      </c>
      <c r="I1134" s="114">
        <f>IF(K1134="MT",TRUNC(F1134*G1134,2),"")</f>
        <v>54.89</v>
      </c>
      <c r="J1134" s="115" t="str">
        <f>IF(K1134="EQ",TRUNC(F1134*G1134,2),"")</f>
        <v/>
      </c>
      <c r="K1134" s="102" t="str">
        <f>IF(A1134&amp;B1134="","",VLOOKUP(A1134&amp;B1134,INSUMOS!C:G,5,0))</f>
        <v>MT</v>
      </c>
    </row>
    <row r="1135" spans="1:17" ht="15" x14ac:dyDescent="0.25">
      <c r="A1135" s="109" t="s">
        <v>4398</v>
      </c>
      <c r="B1135" s="116">
        <v>10101</v>
      </c>
      <c r="C1135" s="518" t="str">
        <f>IF(A1135&amp;B1135="","",VLOOKUP(A1135&amp;B1135,INSUMOS!C:G,2,0))</f>
        <v>Ajudante geral</v>
      </c>
      <c r="D1135" s="519"/>
      <c r="E1135" s="117" t="str">
        <f>IF(A1135&amp;B1135="","",VLOOKUP(A1135&amp;B1135,INSUMOS!C:G,3,0))</f>
        <v>h</v>
      </c>
      <c r="F1135" s="118">
        <v>0.1</v>
      </c>
      <c r="G1135" s="113">
        <f>IF(A1135&amp;B1135="","",VLOOKUP(A1135&amp;B1135,INSUMOS!C:G,4,0))</f>
        <v>11.238228999999999</v>
      </c>
      <c r="H1135" s="119">
        <f t="shared" ref="H1135:H1146" si="183">IF(K1135="MO",TRUNC(F1135*G1135,2),"")</f>
        <v>1.1200000000000001</v>
      </c>
      <c r="I1135" s="119" t="str">
        <f t="shared" ref="I1135:I1146" si="184">IF(K1135="MT",TRUNC(F1135*G1135,2),"")</f>
        <v/>
      </c>
      <c r="J1135" s="115" t="str">
        <f t="shared" ref="J1135:J1146" si="185">IF(K1135="EQ",TRUNC(F1135*G1135,2),"")</f>
        <v/>
      </c>
      <c r="K1135" s="102" t="str">
        <f>IF(A1135&amp;B1135="","",VLOOKUP(A1135&amp;B1135,INSUMOS!C:G,5,0))</f>
        <v>MO</v>
      </c>
    </row>
    <row r="1136" spans="1:17" ht="15" x14ac:dyDescent="0.25">
      <c r="A1136" s="109" t="s">
        <v>4398</v>
      </c>
      <c r="B1136" s="116">
        <v>10126</v>
      </c>
      <c r="C1136" s="518" t="str">
        <f>IF(A1136&amp;B1136="","",VLOOKUP(A1136&amp;B1136,INSUMOS!C:G,2,0))</f>
        <v>Jardineiro</v>
      </c>
      <c r="D1136" s="519"/>
      <c r="E1136" s="117" t="str">
        <f>IF(A1136&amp;B1136="","",VLOOKUP(A1136&amp;B1136,INSUMOS!C:G,3,0))</f>
        <v>h</v>
      </c>
      <c r="F1136" s="118">
        <v>7.0000000000000007E-2</v>
      </c>
      <c r="G1136" s="113">
        <f>IF(A1136&amp;B1136="","",VLOOKUP(A1136&amp;B1136,INSUMOS!C:G,4,0))</f>
        <v>12.07574</v>
      </c>
      <c r="H1136" s="119">
        <f t="shared" si="183"/>
        <v>0.84</v>
      </c>
      <c r="I1136" s="119" t="str">
        <f t="shared" si="184"/>
        <v/>
      </c>
      <c r="J1136" s="115" t="str">
        <f t="shared" si="185"/>
        <v/>
      </c>
      <c r="K1136" s="102" t="str">
        <f>IF(A1136&amp;B1136="","",VLOOKUP(A1136&amp;B1136,INSUMOS!C:G,5,0))</f>
        <v>MO</v>
      </c>
    </row>
    <row r="1137" spans="1:17" ht="15" x14ac:dyDescent="0.25">
      <c r="A1137" s="109" t="s">
        <v>4398</v>
      </c>
      <c r="B1137" s="116">
        <v>38511</v>
      </c>
      <c r="C1137" s="518" t="str">
        <f>IF(A1137&amp;B1137="","",VLOOKUP(A1137&amp;B1137,INSUMOS!C:G,2,0))</f>
        <v>Terra vegetal orgânica comum</v>
      </c>
      <c r="D1137" s="519"/>
      <c r="E1137" s="117" t="str">
        <f>IF(A1137&amp;B1137="","",VLOOKUP(A1137&amp;B1137,INSUMOS!C:G,3,0))</f>
        <v>m³</v>
      </c>
      <c r="F1137" s="118">
        <v>0.08</v>
      </c>
      <c r="G1137" s="113">
        <f>IF(A1137&amp;B1137="","",VLOOKUP(A1137&amp;B1137,INSUMOS!C:G,4,0))</f>
        <v>92.46</v>
      </c>
      <c r="H1137" s="119" t="str">
        <f t="shared" si="183"/>
        <v/>
      </c>
      <c r="I1137" s="119">
        <f t="shared" si="184"/>
        <v>7.39</v>
      </c>
      <c r="J1137" s="115" t="str">
        <f t="shared" si="185"/>
        <v/>
      </c>
      <c r="K1137" s="102" t="str">
        <f>IF(A1137&amp;B1137="","",VLOOKUP(A1137&amp;B1137,INSUMOS!C:G,5,0))</f>
        <v>MT</v>
      </c>
    </row>
    <row r="1138" spans="1:17" ht="15" x14ac:dyDescent="0.25">
      <c r="A1138" s="109"/>
      <c r="B1138" s="116"/>
      <c r="C1138" s="518" t="str">
        <f>IF(A1138&amp;B1138="","",VLOOKUP(A1138&amp;B1138,INSUMOS!C:G,2,0))</f>
        <v/>
      </c>
      <c r="D1138" s="519"/>
      <c r="E1138" s="117" t="str">
        <f>IF(A1138&amp;B1138="","",VLOOKUP(A1138&amp;B1138,INSUMOS!C:G,3,0))</f>
        <v/>
      </c>
      <c r="F1138" s="118"/>
      <c r="G1138" s="113" t="str">
        <f>IF(A1138&amp;B1138="","",VLOOKUP(A1138&amp;B1138,INSUMOS!C:G,4,0))</f>
        <v/>
      </c>
      <c r="H1138" s="119" t="str">
        <f t="shared" si="183"/>
        <v/>
      </c>
      <c r="I1138" s="119" t="str">
        <f t="shared" si="184"/>
        <v/>
      </c>
      <c r="J1138" s="115" t="str">
        <f t="shared" si="185"/>
        <v/>
      </c>
      <c r="K1138" s="102" t="str">
        <f>IF(A1138&amp;B1138="","",VLOOKUP(A1138&amp;B1138,INSUMOS!C:G,5,0))</f>
        <v/>
      </c>
    </row>
    <row r="1139" spans="1:17" ht="15" x14ac:dyDescent="0.25">
      <c r="A1139" s="109"/>
      <c r="B1139" s="116"/>
      <c r="C1139" s="518" t="str">
        <f>IF(A1139&amp;B1139="","",VLOOKUP(A1139&amp;B1139,INSUMOS!C:G,2,0))</f>
        <v/>
      </c>
      <c r="D1139" s="519"/>
      <c r="E1139" s="117" t="str">
        <f>IF(A1139&amp;B1139="","",VLOOKUP(A1139&amp;B1139,INSUMOS!C:G,3,0))</f>
        <v/>
      </c>
      <c r="F1139" s="118"/>
      <c r="G1139" s="113" t="str">
        <f>IF(A1139&amp;B1139="","",VLOOKUP(A1139&amp;B1139,INSUMOS!C:G,4,0))</f>
        <v/>
      </c>
      <c r="H1139" s="119" t="str">
        <f t="shared" si="183"/>
        <v/>
      </c>
      <c r="I1139" s="119" t="str">
        <f t="shared" si="184"/>
        <v/>
      </c>
      <c r="J1139" s="115" t="str">
        <f t="shared" si="185"/>
        <v/>
      </c>
      <c r="K1139" s="102" t="str">
        <f>IF(A1139&amp;B1139="","",VLOOKUP(A1139&amp;B1139,INSUMOS!C:G,5,0))</f>
        <v/>
      </c>
    </row>
    <row r="1140" spans="1:17" ht="15" x14ac:dyDescent="0.25">
      <c r="A1140" s="109"/>
      <c r="B1140" s="116"/>
      <c r="C1140" s="518" t="str">
        <f>IF(A1140&amp;B1140="","",VLOOKUP(A1140&amp;B1140,INSUMOS!C:G,2,0))</f>
        <v/>
      </c>
      <c r="D1140" s="519"/>
      <c r="E1140" s="117" t="str">
        <f>IF(A1140&amp;B1140="","",VLOOKUP(A1140&amp;B1140,INSUMOS!C:G,3,0))</f>
        <v/>
      </c>
      <c r="F1140" s="118"/>
      <c r="G1140" s="113" t="str">
        <f>IF(A1140&amp;B1140="","",VLOOKUP(A1140&amp;B1140,INSUMOS!C:G,4,0))</f>
        <v/>
      </c>
      <c r="H1140" s="119" t="str">
        <f t="shared" si="183"/>
        <v/>
      </c>
      <c r="I1140" s="119" t="str">
        <f t="shared" si="184"/>
        <v/>
      </c>
      <c r="J1140" s="115" t="str">
        <f t="shared" si="185"/>
        <v/>
      </c>
      <c r="K1140" s="102" t="str">
        <f>IF(A1140&amp;B1140="","",VLOOKUP(A1140&amp;B1140,INSUMOS!C:G,5,0))</f>
        <v/>
      </c>
    </row>
    <row r="1141" spans="1:17" ht="15" x14ac:dyDescent="0.25">
      <c r="A1141" s="109"/>
      <c r="B1141" s="116"/>
      <c r="C1141" s="518" t="str">
        <f>IF(A1141&amp;B1141="","",VLOOKUP(A1141&amp;B1141,INSUMOS!C:G,2,0))</f>
        <v/>
      </c>
      <c r="D1141" s="519"/>
      <c r="E1141" s="117" t="str">
        <f>IF(A1141&amp;B1141="","",VLOOKUP(A1141&amp;B1141,INSUMOS!C:G,3,0))</f>
        <v/>
      </c>
      <c r="F1141" s="118"/>
      <c r="G1141" s="113" t="str">
        <f>IF(A1141&amp;B1141="","",VLOOKUP(A1141&amp;B1141,INSUMOS!C:G,4,0))</f>
        <v/>
      </c>
      <c r="H1141" s="119" t="str">
        <f t="shared" si="183"/>
        <v/>
      </c>
      <c r="I1141" s="119" t="str">
        <f t="shared" si="184"/>
        <v/>
      </c>
      <c r="J1141" s="115" t="str">
        <f t="shared" si="185"/>
        <v/>
      </c>
      <c r="K1141" s="102" t="str">
        <f>IF(A1141&amp;B1141="","",VLOOKUP(A1141&amp;B1141,INSUMOS!C:G,5,0))</f>
        <v/>
      </c>
    </row>
    <row r="1142" spans="1:17" ht="15" x14ac:dyDescent="0.25">
      <c r="A1142" s="109"/>
      <c r="B1142" s="116"/>
      <c r="C1142" s="518" t="str">
        <f>IF(A1142&amp;B1142="","",VLOOKUP(A1142&amp;B1142,INSUMOS!C:G,2,0))</f>
        <v/>
      </c>
      <c r="D1142" s="519"/>
      <c r="E1142" s="117" t="str">
        <f>IF(A1142&amp;B1142="","",VLOOKUP(A1142&amp;B1142,INSUMOS!C:G,3,0))</f>
        <v/>
      </c>
      <c r="F1142" s="118"/>
      <c r="G1142" s="113" t="str">
        <f>IF(A1142&amp;B1142="","",VLOOKUP(A1142&amp;B1142,INSUMOS!C:G,4,0))</f>
        <v/>
      </c>
      <c r="H1142" s="119" t="str">
        <f t="shared" si="183"/>
        <v/>
      </c>
      <c r="I1142" s="119" t="str">
        <f t="shared" si="184"/>
        <v/>
      </c>
      <c r="J1142" s="115" t="str">
        <f t="shared" si="185"/>
        <v/>
      </c>
      <c r="K1142" s="102" t="str">
        <f>IF(A1142&amp;B1142="","",VLOOKUP(A1142&amp;B1142,INSUMOS!C:G,5,0))</f>
        <v/>
      </c>
    </row>
    <row r="1143" spans="1:17" ht="15" x14ac:dyDescent="0.25">
      <c r="A1143" s="109"/>
      <c r="B1143" s="116"/>
      <c r="C1143" s="518" t="str">
        <f>IF(A1143&amp;B1143="","",VLOOKUP(A1143&amp;B1143,INSUMOS!C:G,2,0))</f>
        <v/>
      </c>
      <c r="D1143" s="519"/>
      <c r="E1143" s="117" t="str">
        <f>IF(A1143&amp;B1143="","",VLOOKUP(A1143&amp;B1143,INSUMOS!C:G,3,0))</f>
        <v/>
      </c>
      <c r="F1143" s="118"/>
      <c r="G1143" s="113" t="str">
        <f>IF(A1143&amp;B1143="","",VLOOKUP(A1143&amp;B1143,INSUMOS!C:G,4,0))</f>
        <v/>
      </c>
      <c r="H1143" s="119" t="str">
        <f t="shared" si="183"/>
        <v/>
      </c>
      <c r="I1143" s="119" t="str">
        <f t="shared" si="184"/>
        <v/>
      </c>
      <c r="J1143" s="115" t="str">
        <f t="shared" si="185"/>
        <v/>
      </c>
      <c r="K1143" s="102" t="str">
        <f>IF(A1143&amp;B1143="","",VLOOKUP(A1143&amp;B1143,INSUMOS!C:G,5,0))</f>
        <v/>
      </c>
    </row>
    <row r="1144" spans="1:17" ht="15" x14ac:dyDescent="0.25">
      <c r="A1144" s="120"/>
      <c r="B1144" s="121"/>
      <c r="C1144" s="518" t="str">
        <f>IF(A1144&amp;B1144="","",VLOOKUP(A1144&amp;B1144,INSUMOS!C:G,2,0))</f>
        <v/>
      </c>
      <c r="D1144" s="519"/>
      <c r="E1144" s="117" t="str">
        <f>IF(A1144&amp;B1144="","",VLOOKUP(A1144&amp;B1144,INSUMOS!C:G,3,0))</f>
        <v/>
      </c>
      <c r="F1144" s="118"/>
      <c r="G1144" s="122" t="str">
        <f>IF(A1144&amp;B1144="","",VLOOKUP(A1144&amp;B1144,INSUMOS!C:G,4,0))</f>
        <v/>
      </c>
      <c r="H1144" s="119" t="str">
        <f t="shared" si="183"/>
        <v/>
      </c>
      <c r="I1144" s="119" t="str">
        <f t="shared" si="184"/>
        <v/>
      </c>
      <c r="J1144" s="115" t="str">
        <f t="shared" si="185"/>
        <v/>
      </c>
      <c r="K1144" s="102" t="str">
        <f>IF(A1144&amp;B1144="","",VLOOKUP(A1144&amp;B1144,INSUMOS!C:G,5,0))</f>
        <v/>
      </c>
    </row>
    <row r="1145" spans="1:17" ht="15" x14ac:dyDescent="0.25">
      <c r="A1145" s="120"/>
      <c r="B1145" s="121"/>
      <c r="C1145" s="518" t="str">
        <f>IF(A1145&amp;B1145="","",VLOOKUP(A1145&amp;B1145,INSUMOS!C:G,2,0))</f>
        <v/>
      </c>
      <c r="D1145" s="519"/>
      <c r="E1145" s="117" t="str">
        <f>IF(A1145&amp;B1145="","",VLOOKUP(A1145&amp;B1145,INSUMOS!C:G,3,0))</f>
        <v/>
      </c>
      <c r="F1145" s="118"/>
      <c r="G1145" s="122" t="str">
        <f>IF(A1145&amp;B1145="","",VLOOKUP(A1145&amp;B1145,INSUMOS!C:G,4,0))</f>
        <v/>
      </c>
      <c r="H1145" s="119" t="str">
        <f t="shared" si="183"/>
        <v/>
      </c>
      <c r="I1145" s="119" t="str">
        <f t="shared" si="184"/>
        <v/>
      </c>
      <c r="J1145" s="115" t="str">
        <f t="shared" si="185"/>
        <v/>
      </c>
      <c r="K1145" s="102" t="str">
        <f>IF(A1145&amp;B1145="","",VLOOKUP(A1145&amp;B1145,INSUMOS!C:G,5,0))</f>
        <v/>
      </c>
    </row>
    <row r="1146" spans="1:17" ht="15" x14ac:dyDescent="0.25">
      <c r="A1146" s="120"/>
      <c r="B1146" s="121"/>
      <c r="C1146" s="518" t="str">
        <f>IF(A1146&amp;B1146="","",VLOOKUP(A1146&amp;B1146,INSUMOS!C:G,2,0))</f>
        <v/>
      </c>
      <c r="D1146" s="519"/>
      <c r="E1146" s="117" t="str">
        <f>IF(A1146&amp;B1146="","",VLOOKUP(A1146&amp;B1146,INSUMOS!C:G,3,0))</f>
        <v/>
      </c>
      <c r="F1146" s="118"/>
      <c r="G1146" s="122" t="str">
        <f>IF(A1146&amp;B1146="","",VLOOKUP(A1146&amp;B1146,INSUMOS!C:G,4,0))</f>
        <v/>
      </c>
      <c r="H1146" s="119" t="str">
        <f t="shared" si="183"/>
        <v/>
      </c>
      <c r="I1146" s="119" t="str">
        <f t="shared" si="184"/>
        <v/>
      </c>
      <c r="J1146" s="115" t="str">
        <f t="shared" si="185"/>
        <v/>
      </c>
      <c r="K1146" s="102" t="str">
        <f>IF(A1146&amp;B1146="","",VLOOKUP(A1146&amp;B1146,INSUMOS!C:G,5,0))</f>
        <v/>
      </c>
    </row>
    <row r="1147" spans="1:17" ht="15" x14ac:dyDescent="0.25">
      <c r="A1147" s="123" t="s">
        <v>4399</v>
      </c>
      <c r="B1147" s="520"/>
      <c r="C1147" s="520"/>
      <c r="D1147" s="520"/>
      <c r="E1147" s="520"/>
      <c r="F1147" s="521"/>
      <c r="G1147" s="124" t="s">
        <v>50</v>
      </c>
      <c r="H1147" s="125">
        <f>SUM(H1134:H1146)</f>
        <v>1.96</v>
      </c>
      <c r="I1147" s="125">
        <f>SUM(I1134:I1146)</f>
        <v>62.28</v>
      </c>
      <c r="J1147" s="126">
        <f>SUM(J1134:J1146)</f>
        <v>0</v>
      </c>
    </row>
    <row r="1148" spans="1:17" ht="15" x14ac:dyDescent="0.25">
      <c r="A1148" s="127" t="s">
        <v>4400</v>
      </c>
      <c r="B1148" s="128"/>
      <c r="C1148" s="128"/>
      <c r="D1148" s="127" t="s">
        <v>51</v>
      </c>
      <c r="E1148" s="128"/>
      <c r="F1148" s="129"/>
      <c r="G1148" s="130" t="s">
        <v>55</v>
      </c>
      <c r="H1148" s="131" t="s">
        <v>52</v>
      </c>
      <c r="I1148" s="132"/>
      <c r="J1148" s="125">
        <f>SUM(H1147:J1147)</f>
        <v>64.239999999999995</v>
      </c>
    </row>
    <row r="1149" spans="1:17" ht="15" x14ac:dyDescent="0.25">
      <c r="A1149" s="313" t="str">
        <f>$I$3</f>
        <v>Carlos Wieck</v>
      </c>
      <c r="B1149" s="133"/>
      <c r="C1149" s="133"/>
      <c r="D1149" s="134"/>
      <c r="E1149" s="133"/>
      <c r="F1149" s="135"/>
      <c r="G1149" s="522">
        <f>$J$5</f>
        <v>43040</v>
      </c>
      <c r="H1149" s="136" t="s">
        <v>53</v>
      </c>
      <c r="I1149" s="137"/>
      <c r="J1149" s="125">
        <f>TRUNC(I1149*J1148,2)</f>
        <v>0</v>
      </c>
    </row>
    <row r="1150" spans="1:17" ht="15" x14ac:dyDescent="0.25">
      <c r="A1150" s="138"/>
      <c r="B1150" s="139"/>
      <c r="C1150" s="139"/>
      <c r="D1150" s="138"/>
      <c r="E1150" s="139"/>
      <c r="F1150" s="140"/>
      <c r="G1150" s="523"/>
      <c r="H1150" s="141" t="s">
        <v>54</v>
      </c>
      <c r="I1150" s="142"/>
      <c r="J1150" s="143">
        <f>J1149+J1148</f>
        <v>64.239999999999995</v>
      </c>
      <c r="L1150" s="102" t="str">
        <f>A1131</f>
        <v>COMPOSIÇÃO</v>
      </c>
      <c r="M1150" s="144" t="str">
        <f>B1131</f>
        <v>FF-042</v>
      </c>
      <c r="N1150" s="102" t="str">
        <f>L1150&amp;M1150</f>
        <v>COMPOSIÇÃOFF-042</v>
      </c>
      <c r="O1150" s="103" t="str">
        <f>D1130</f>
        <v>Fornecimento e plantio de Aechmea  tomentosa  - Bromélia</v>
      </c>
      <c r="P1150" s="145" t="str">
        <f>J1131</f>
        <v>un</v>
      </c>
      <c r="Q1150" s="145">
        <f>J1150</f>
        <v>64.239999999999995</v>
      </c>
    </row>
    <row r="1151" spans="1:17" ht="15" customHeight="1" x14ac:dyDescent="0.25">
      <c r="A1151" s="524" t="s">
        <v>40</v>
      </c>
      <c r="B1151" s="525"/>
      <c r="C1151" s="104" t="s">
        <v>41</v>
      </c>
      <c r="D1151" s="526" t="str">
        <f>IF(B1152="","",VLOOKUP(B1152,SERVIÇOS!B:E,3,0))</f>
        <v>Fornecimento e plantio de Hydrocotyle bonariensis - Erva capitão</v>
      </c>
      <c r="E1151" s="526"/>
      <c r="F1151" s="526"/>
      <c r="G1151" s="526"/>
      <c r="H1151" s="526"/>
      <c r="I1151" s="527"/>
      <c r="J1151" s="105" t="s">
        <v>42</v>
      </c>
    </row>
    <row r="1152" spans="1:17" ht="15" x14ac:dyDescent="0.25">
      <c r="A1152" s="230" t="s">
        <v>4715</v>
      </c>
      <c r="B1152" s="230" t="s">
        <v>4922</v>
      </c>
      <c r="C1152" s="106"/>
      <c r="D1152" s="528"/>
      <c r="E1152" s="528"/>
      <c r="F1152" s="528"/>
      <c r="G1152" s="528"/>
      <c r="H1152" s="528"/>
      <c r="I1152" s="529"/>
      <c r="J1152" s="107" t="str">
        <f>IF(B1152="","",VLOOKUP(B1152,SERVIÇOS!B:E,4,0))</f>
        <v>m²</v>
      </c>
    </row>
    <row r="1153" spans="1:11" ht="15" x14ac:dyDescent="0.25">
      <c r="A1153" s="530" t="s">
        <v>4397</v>
      </c>
      <c r="B1153" s="531" t="s">
        <v>11</v>
      </c>
      <c r="C1153" s="533" t="s">
        <v>43</v>
      </c>
      <c r="D1153" s="534"/>
      <c r="E1153" s="530" t="s">
        <v>13</v>
      </c>
      <c r="F1153" s="530" t="s">
        <v>44</v>
      </c>
      <c r="G1153" s="538" t="s">
        <v>45</v>
      </c>
      <c r="H1153" s="108" t="s">
        <v>46</v>
      </c>
      <c r="I1153" s="108"/>
      <c r="J1153" s="108"/>
    </row>
    <row r="1154" spans="1:11" ht="15" x14ac:dyDescent="0.25">
      <c r="A1154" s="530"/>
      <c r="B1154" s="532"/>
      <c r="C1154" s="535"/>
      <c r="D1154" s="536"/>
      <c r="E1154" s="537"/>
      <c r="F1154" s="537"/>
      <c r="G1154" s="539"/>
      <c r="H1154" s="108" t="s">
        <v>47</v>
      </c>
      <c r="I1154" s="108" t="s">
        <v>48</v>
      </c>
      <c r="J1154" s="108" t="s">
        <v>49</v>
      </c>
    </row>
    <row r="1155" spans="1:11" ht="15" x14ac:dyDescent="0.25">
      <c r="A1155" s="109" t="s">
        <v>4717</v>
      </c>
      <c r="B1155" s="116" t="s">
        <v>4954</v>
      </c>
      <c r="C1155" s="540" t="str">
        <f>IF(A1155&amp;B1155="","",VLOOKUP(A1155&amp;B1155,INSUMOS!C:G,2,0))</f>
        <v>Fornecimento e plantio de Hydrocotyle bonariensis - Erva capitão</v>
      </c>
      <c r="D1155" s="541"/>
      <c r="E1155" s="111" t="str">
        <f>IF(A1155&amp;B1155="","",VLOOKUP(A1155&amp;B1155,INSUMOS!C:G,3,0))</f>
        <v>m²</v>
      </c>
      <c r="F1155" s="112">
        <v>1</v>
      </c>
      <c r="G1155" s="113">
        <f>IF(A1155&amp;B1155="","",VLOOKUP(A1155&amp;B1155,INSUMOS!C:G,4,0))</f>
        <v>20.957999999999998</v>
      </c>
      <c r="H1155" s="114" t="str">
        <f>IF(K1155="MO",TRUNC(F1155*G1155,2),"")</f>
        <v/>
      </c>
      <c r="I1155" s="114">
        <f>IF(K1155="MT",TRUNC(F1155*G1155,2),"")</f>
        <v>20.95</v>
      </c>
      <c r="J1155" s="115" t="str">
        <f>IF(K1155="EQ",TRUNC(F1155*G1155,2),"")</f>
        <v/>
      </c>
      <c r="K1155" s="102" t="str">
        <f>IF(A1155&amp;B1155="","",VLOOKUP(A1155&amp;B1155,INSUMOS!C:G,5,0))</f>
        <v>MT</v>
      </c>
    </row>
    <row r="1156" spans="1:11" ht="15" x14ac:dyDescent="0.25">
      <c r="A1156" s="109" t="s">
        <v>4398</v>
      </c>
      <c r="B1156" s="116">
        <v>10101</v>
      </c>
      <c r="C1156" s="518" t="str">
        <f>IF(A1156&amp;B1156="","",VLOOKUP(A1156&amp;B1156,INSUMOS!C:G,2,0))</f>
        <v>Ajudante geral</v>
      </c>
      <c r="D1156" s="519"/>
      <c r="E1156" s="117" t="str">
        <f>IF(A1156&amp;B1156="","",VLOOKUP(A1156&amp;B1156,INSUMOS!C:G,3,0))</f>
        <v>h</v>
      </c>
      <c r="F1156" s="118">
        <v>0.2</v>
      </c>
      <c r="G1156" s="113">
        <f>IF(A1156&amp;B1156="","",VLOOKUP(A1156&amp;B1156,INSUMOS!C:G,4,0))</f>
        <v>11.238228999999999</v>
      </c>
      <c r="H1156" s="119">
        <f t="shared" ref="H1156:H1167" si="186">IF(K1156="MO",TRUNC(F1156*G1156,2),"")</f>
        <v>2.2400000000000002</v>
      </c>
      <c r="I1156" s="119" t="str">
        <f t="shared" ref="I1156:I1167" si="187">IF(K1156="MT",TRUNC(F1156*G1156,2),"")</f>
        <v/>
      </c>
      <c r="J1156" s="115" t="str">
        <f t="shared" ref="J1156:J1167" si="188">IF(K1156="EQ",TRUNC(F1156*G1156,2),"")</f>
        <v/>
      </c>
      <c r="K1156" s="102" t="str">
        <f>IF(A1156&amp;B1156="","",VLOOKUP(A1156&amp;B1156,INSUMOS!C:G,5,0))</f>
        <v>MO</v>
      </c>
    </row>
    <row r="1157" spans="1:11" ht="15" x14ac:dyDescent="0.25">
      <c r="A1157" s="109" t="s">
        <v>4398</v>
      </c>
      <c r="B1157" s="116">
        <v>10126</v>
      </c>
      <c r="C1157" s="518" t="str">
        <f>IF(A1157&amp;B1157="","",VLOOKUP(A1157&amp;B1157,INSUMOS!C:G,2,0))</f>
        <v>Jardineiro</v>
      </c>
      <c r="D1157" s="519"/>
      <c r="E1157" s="117" t="str">
        <f>IF(A1157&amp;B1157="","",VLOOKUP(A1157&amp;B1157,INSUMOS!C:G,3,0))</f>
        <v>h</v>
      </c>
      <c r="F1157" s="118">
        <v>0.1</v>
      </c>
      <c r="G1157" s="113">
        <f>IF(A1157&amp;B1157="","",VLOOKUP(A1157&amp;B1157,INSUMOS!C:G,4,0))</f>
        <v>12.07574</v>
      </c>
      <c r="H1157" s="119">
        <f t="shared" si="186"/>
        <v>1.2</v>
      </c>
      <c r="I1157" s="119" t="str">
        <f t="shared" si="187"/>
        <v/>
      </c>
      <c r="J1157" s="115" t="str">
        <f t="shared" si="188"/>
        <v/>
      </c>
      <c r="K1157" s="102" t="str">
        <f>IF(A1157&amp;B1157="","",VLOOKUP(A1157&amp;B1157,INSUMOS!C:G,5,0))</f>
        <v>MO</v>
      </c>
    </row>
    <row r="1158" spans="1:11" ht="15" x14ac:dyDescent="0.25">
      <c r="A1158" s="109" t="s">
        <v>4398</v>
      </c>
      <c r="B1158" s="116">
        <v>38511</v>
      </c>
      <c r="C1158" s="518" t="str">
        <f>IF(A1158&amp;B1158="","",VLOOKUP(A1158&amp;B1158,INSUMOS!C:G,2,0))</f>
        <v>Terra vegetal orgânica comum</v>
      </c>
      <c r="D1158" s="519"/>
      <c r="E1158" s="117" t="str">
        <f>IF(A1158&amp;B1158="","",VLOOKUP(A1158&amp;B1158,INSUMOS!C:G,3,0))</f>
        <v>m³</v>
      </c>
      <c r="F1158" s="118">
        <v>0.05</v>
      </c>
      <c r="G1158" s="113">
        <f>IF(A1158&amp;B1158="","",VLOOKUP(A1158&amp;B1158,INSUMOS!C:G,4,0))</f>
        <v>92.46</v>
      </c>
      <c r="H1158" s="119" t="str">
        <f t="shared" si="186"/>
        <v/>
      </c>
      <c r="I1158" s="119">
        <f t="shared" si="187"/>
        <v>4.62</v>
      </c>
      <c r="J1158" s="115" t="str">
        <f t="shared" si="188"/>
        <v/>
      </c>
      <c r="K1158" s="102" t="str">
        <f>IF(A1158&amp;B1158="","",VLOOKUP(A1158&amp;B1158,INSUMOS!C:G,5,0))</f>
        <v>MT</v>
      </c>
    </row>
    <row r="1159" spans="1:11" ht="15" x14ac:dyDescent="0.25">
      <c r="A1159" s="109"/>
      <c r="B1159" s="116"/>
      <c r="C1159" s="518" t="str">
        <f>IF(A1159&amp;B1159="","",VLOOKUP(A1159&amp;B1159,INSUMOS!C:G,2,0))</f>
        <v/>
      </c>
      <c r="D1159" s="519"/>
      <c r="E1159" s="117" t="str">
        <f>IF(A1159&amp;B1159="","",VLOOKUP(A1159&amp;B1159,INSUMOS!C:G,3,0))</f>
        <v/>
      </c>
      <c r="F1159" s="118"/>
      <c r="G1159" s="113" t="str">
        <f>IF(A1159&amp;B1159="","",VLOOKUP(A1159&amp;B1159,INSUMOS!C:G,4,0))</f>
        <v/>
      </c>
      <c r="H1159" s="119" t="str">
        <f t="shared" si="186"/>
        <v/>
      </c>
      <c r="I1159" s="119" t="str">
        <f t="shared" si="187"/>
        <v/>
      </c>
      <c r="J1159" s="115" t="str">
        <f t="shared" si="188"/>
        <v/>
      </c>
      <c r="K1159" s="102" t="str">
        <f>IF(A1159&amp;B1159="","",VLOOKUP(A1159&amp;B1159,INSUMOS!C:G,5,0))</f>
        <v/>
      </c>
    </row>
    <row r="1160" spans="1:11" ht="15" x14ac:dyDescent="0.25">
      <c r="A1160" s="109"/>
      <c r="B1160" s="116"/>
      <c r="C1160" s="518" t="str">
        <f>IF(A1160&amp;B1160="","",VLOOKUP(A1160&amp;B1160,INSUMOS!C:G,2,0))</f>
        <v/>
      </c>
      <c r="D1160" s="519"/>
      <c r="E1160" s="117" t="str">
        <f>IF(A1160&amp;B1160="","",VLOOKUP(A1160&amp;B1160,INSUMOS!C:G,3,0))</f>
        <v/>
      </c>
      <c r="F1160" s="118"/>
      <c r="G1160" s="113" t="str">
        <f>IF(A1160&amp;B1160="","",VLOOKUP(A1160&amp;B1160,INSUMOS!C:G,4,0))</f>
        <v/>
      </c>
      <c r="H1160" s="119" t="str">
        <f t="shared" si="186"/>
        <v/>
      </c>
      <c r="I1160" s="119" t="str">
        <f t="shared" si="187"/>
        <v/>
      </c>
      <c r="J1160" s="115" t="str">
        <f t="shared" si="188"/>
        <v/>
      </c>
      <c r="K1160" s="102" t="str">
        <f>IF(A1160&amp;B1160="","",VLOOKUP(A1160&amp;B1160,INSUMOS!C:G,5,0))</f>
        <v/>
      </c>
    </row>
    <row r="1161" spans="1:11" ht="15" x14ac:dyDescent="0.25">
      <c r="A1161" s="109"/>
      <c r="B1161" s="116"/>
      <c r="C1161" s="518" t="str">
        <f>IF(A1161&amp;B1161="","",VLOOKUP(A1161&amp;B1161,INSUMOS!C:G,2,0))</f>
        <v/>
      </c>
      <c r="D1161" s="519"/>
      <c r="E1161" s="117" t="str">
        <f>IF(A1161&amp;B1161="","",VLOOKUP(A1161&amp;B1161,INSUMOS!C:G,3,0))</f>
        <v/>
      </c>
      <c r="F1161" s="118"/>
      <c r="G1161" s="113" t="str">
        <f>IF(A1161&amp;B1161="","",VLOOKUP(A1161&amp;B1161,INSUMOS!C:G,4,0))</f>
        <v/>
      </c>
      <c r="H1161" s="119" t="str">
        <f t="shared" si="186"/>
        <v/>
      </c>
      <c r="I1161" s="119" t="str">
        <f t="shared" si="187"/>
        <v/>
      </c>
      <c r="J1161" s="115" t="str">
        <f t="shared" si="188"/>
        <v/>
      </c>
      <c r="K1161" s="102" t="str">
        <f>IF(A1161&amp;B1161="","",VLOOKUP(A1161&amp;B1161,INSUMOS!C:G,5,0))</f>
        <v/>
      </c>
    </row>
    <row r="1162" spans="1:11" ht="15" x14ac:dyDescent="0.25">
      <c r="A1162" s="109"/>
      <c r="B1162" s="116"/>
      <c r="C1162" s="518" t="str">
        <f>IF(A1162&amp;B1162="","",VLOOKUP(A1162&amp;B1162,INSUMOS!C:G,2,0))</f>
        <v/>
      </c>
      <c r="D1162" s="519"/>
      <c r="E1162" s="117" t="str">
        <f>IF(A1162&amp;B1162="","",VLOOKUP(A1162&amp;B1162,INSUMOS!C:G,3,0))</f>
        <v/>
      </c>
      <c r="F1162" s="118"/>
      <c r="G1162" s="113" t="str">
        <f>IF(A1162&amp;B1162="","",VLOOKUP(A1162&amp;B1162,INSUMOS!C:G,4,0))</f>
        <v/>
      </c>
      <c r="H1162" s="119" t="str">
        <f t="shared" si="186"/>
        <v/>
      </c>
      <c r="I1162" s="119" t="str">
        <f t="shared" si="187"/>
        <v/>
      </c>
      <c r="J1162" s="115" t="str">
        <f t="shared" si="188"/>
        <v/>
      </c>
      <c r="K1162" s="102" t="str">
        <f>IF(A1162&amp;B1162="","",VLOOKUP(A1162&amp;B1162,INSUMOS!C:G,5,0))</f>
        <v/>
      </c>
    </row>
    <row r="1163" spans="1:11" ht="15" x14ac:dyDescent="0.25">
      <c r="A1163" s="109"/>
      <c r="B1163" s="116"/>
      <c r="C1163" s="518" t="str">
        <f>IF(A1163&amp;B1163="","",VLOOKUP(A1163&amp;B1163,INSUMOS!C:G,2,0))</f>
        <v/>
      </c>
      <c r="D1163" s="519"/>
      <c r="E1163" s="117" t="str">
        <f>IF(A1163&amp;B1163="","",VLOOKUP(A1163&amp;B1163,INSUMOS!C:G,3,0))</f>
        <v/>
      </c>
      <c r="F1163" s="118"/>
      <c r="G1163" s="113" t="str">
        <f>IF(A1163&amp;B1163="","",VLOOKUP(A1163&amp;B1163,INSUMOS!C:G,4,0))</f>
        <v/>
      </c>
      <c r="H1163" s="119" t="str">
        <f t="shared" si="186"/>
        <v/>
      </c>
      <c r="I1163" s="119" t="str">
        <f t="shared" si="187"/>
        <v/>
      </c>
      <c r="J1163" s="115" t="str">
        <f t="shared" si="188"/>
        <v/>
      </c>
      <c r="K1163" s="102" t="str">
        <f>IF(A1163&amp;B1163="","",VLOOKUP(A1163&amp;B1163,INSUMOS!C:G,5,0))</f>
        <v/>
      </c>
    </row>
    <row r="1164" spans="1:11" ht="15" x14ac:dyDescent="0.25">
      <c r="A1164" s="109"/>
      <c r="B1164" s="116"/>
      <c r="C1164" s="518" t="str">
        <f>IF(A1164&amp;B1164="","",VLOOKUP(A1164&amp;B1164,INSUMOS!C:G,2,0))</f>
        <v/>
      </c>
      <c r="D1164" s="519"/>
      <c r="E1164" s="117" t="str">
        <f>IF(A1164&amp;B1164="","",VLOOKUP(A1164&amp;B1164,INSUMOS!C:G,3,0))</f>
        <v/>
      </c>
      <c r="F1164" s="118"/>
      <c r="G1164" s="113" t="str">
        <f>IF(A1164&amp;B1164="","",VLOOKUP(A1164&amp;B1164,INSUMOS!C:G,4,0))</f>
        <v/>
      </c>
      <c r="H1164" s="119" t="str">
        <f t="shared" si="186"/>
        <v/>
      </c>
      <c r="I1164" s="119" t="str">
        <f t="shared" si="187"/>
        <v/>
      </c>
      <c r="J1164" s="115" t="str">
        <f t="shared" si="188"/>
        <v/>
      </c>
      <c r="K1164" s="102" t="str">
        <f>IF(A1164&amp;B1164="","",VLOOKUP(A1164&amp;B1164,INSUMOS!C:G,5,0))</f>
        <v/>
      </c>
    </row>
    <row r="1165" spans="1:11" ht="15" x14ac:dyDescent="0.25">
      <c r="A1165" s="120"/>
      <c r="B1165" s="121"/>
      <c r="C1165" s="518" t="str">
        <f>IF(A1165&amp;B1165="","",VLOOKUP(A1165&amp;B1165,INSUMOS!C:G,2,0))</f>
        <v/>
      </c>
      <c r="D1165" s="519"/>
      <c r="E1165" s="117" t="str">
        <f>IF(A1165&amp;B1165="","",VLOOKUP(A1165&amp;B1165,INSUMOS!C:G,3,0))</f>
        <v/>
      </c>
      <c r="F1165" s="118"/>
      <c r="G1165" s="122" t="str">
        <f>IF(A1165&amp;B1165="","",VLOOKUP(A1165&amp;B1165,INSUMOS!C:G,4,0))</f>
        <v/>
      </c>
      <c r="H1165" s="119" t="str">
        <f t="shared" si="186"/>
        <v/>
      </c>
      <c r="I1165" s="119" t="str">
        <f t="shared" si="187"/>
        <v/>
      </c>
      <c r="J1165" s="115" t="str">
        <f t="shared" si="188"/>
        <v/>
      </c>
      <c r="K1165" s="102" t="str">
        <f>IF(A1165&amp;B1165="","",VLOOKUP(A1165&amp;B1165,INSUMOS!C:G,5,0))</f>
        <v/>
      </c>
    </row>
    <row r="1166" spans="1:11" ht="15" x14ac:dyDescent="0.25">
      <c r="A1166" s="120"/>
      <c r="B1166" s="121"/>
      <c r="C1166" s="518" t="str">
        <f>IF(A1166&amp;B1166="","",VLOOKUP(A1166&amp;B1166,INSUMOS!C:G,2,0))</f>
        <v/>
      </c>
      <c r="D1166" s="519"/>
      <c r="E1166" s="117" t="str">
        <f>IF(A1166&amp;B1166="","",VLOOKUP(A1166&amp;B1166,INSUMOS!C:G,3,0))</f>
        <v/>
      </c>
      <c r="F1166" s="118"/>
      <c r="G1166" s="122" t="str">
        <f>IF(A1166&amp;B1166="","",VLOOKUP(A1166&amp;B1166,INSUMOS!C:G,4,0))</f>
        <v/>
      </c>
      <c r="H1166" s="119" t="str">
        <f t="shared" si="186"/>
        <v/>
      </c>
      <c r="I1166" s="119" t="str">
        <f t="shared" si="187"/>
        <v/>
      </c>
      <c r="J1166" s="115" t="str">
        <f t="shared" si="188"/>
        <v/>
      </c>
      <c r="K1166" s="102" t="str">
        <f>IF(A1166&amp;B1166="","",VLOOKUP(A1166&amp;B1166,INSUMOS!C:G,5,0))</f>
        <v/>
      </c>
    </row>
    <row r="1167" spans="1:11" ht="15" x14ac:dyDescent="0.25">
      <c r="A1167" s="120"/>
      <c r="B1167" s="121"/>
      <c r="C1167" s="518" t="str">
        <f>IF(A1167&amp;B1167="","",VLOOKUP(A1167&amp;B1167,INSUMOS!C:G,2,0))</f>
        <v/>
      </c>
      <c r="D1167" s="519"/>
      <c r="E1167" s="117" t="str">
        <f>IF(A1167&amp;B1167="","",VLOOKUP(A1167&amp;B1167,INSUMOS!C:G,3,0))</f>
        <v/>
      </c>
      <c r="F1167" s="118"/>
      <c r="G1167" s="122" t="str">
        <f>IF(A1167&amp;B1167="","",VLOOKUP(A1167&amp;B1167,INSUMOS!C:G,4,0))</f>
        <v/>
      </c>
      <c r="H1167" s="119" t="str">
        <f t="shared" si="186"/>
        <v/>
      </c>
      <c r="I1167" s="119" t="str">
        <f t="shared" si="187"/>
        <v/>
      </c>
      <c r="J1167" s="115" t="str">
        <f t="shared" si="188"/>
        <v/>
      </c>
      <c r="K1167" s="102" t="str">
        <f>IF(A1167&amp;B1167="","",VLOOKUP(A1167&amp;B1167,INSUMOS!C:G,5,0))</f>
        <v/>
      </c>
    </row>
    <row r="1168" spans="1:11" ht="15" x14ac:dyDescent="0.25">
      <c r="A1168" s="123" t="s">
        <v>4399</v>
      </c>
      <c r="B1168" s="520"/>
      <c r="C1168" s="520"/>
      <c r="D1168" s="520"/>
      <c r="E1168" s="520"/>
      <c r="F1168" s="521"/>
      <c r="G1168" s="124" t="s">
        <v>50</v>
      </c>
      <c r="H1168" s="125">
        <f>SUM(H1155:H1167)</f>
        <v>3.4400000000000004</v>
      </c>
      <c r="I1168" s="125">
        <f>SUM(I1155:I1167)</f>
        <v>25.57</v>
      </c>
      <c r="J1168" s="126">
        <f>SUM(J1155:J1167)</f>
        <v>0</v>
      </c>
    </row>
    <row r="1169" spans="1:17" ht="15" x14ac:dyDescent="0.25">
      <c r="A1169" s="127" t="s">
        <v>4400</v>
      </c>
      <c r="B1169" s="128"/>
      <c r="C1169" s="128"/>
      <c r="D1169" s="127" t="s">
        <v>51</v>
      </c>
      <c r="E1169" s="128"/>
      <c r="F1169" s="129"/>
      <c r="G1169" s="130" t="s">
        <v>55</v>
      </c>
      <c r="H1169" s="131" t="s">
        <v>52</v>
      </c>
      <c r="I1169" s="132"/>
      <c r="J1169" s="125">
        <f>SUM(H1168:J1168)</f>
        <v>29.01</v>
      </c>
    </row>
    <row r="1170" spans="1:17" ht="15" x14ac:dyDescent="0.25">
      <c r="A1170" s="313" t="str">
        <f>$I$3</f>
        <v>Carlos Wieck</v>
      </c>
      <c r="B1170" s="133"/>
      <c r="C1170" s="133"/>
      <c r="D1170" s="134"/>
      <c r="E1170" s="133"/>
      <c r="F1170" s="135"/>
      <c r="G1170" s="522">
        <f>$J$5</f>
        <v>43040</v>
      </c>
      <c r="H1170" s="136" t="s">
        <v>53</v>
      </c>
      <c r="I1170" s="137"/>
      <c r="J1170" s="125">
        <f>TRUNC(I1170*J1169,2)</f>
        <v>0</v>
      </c>
    </row>
    <row r="1171" spans="1:17" ht="15" x14ac:dyDescent="0.25">
      <c r="A1171" s="138"/>
      <c r="B1171" s="139"/>
      <c r="C1171" s="139"/>
      <c r="D1171" s="138"/>
      <c r="E1171" s="139"/>
      <c r="F1171" s="140"/>
      <c r="G1171" s="523"/>
      <c r="H1171" s="141" t="s">
        <v>54</v>
      </c>
      <c r="I1171" s="142"/>
      <c r="J1171" s="143">
        <f>J1170+J1169</f>
        <v>29.01</v>
      </c>
      <c r="L1171" s="102" t="str">
        <f>A1152</f>
        <v>COMPOSIÇÃO</v>
      </c>
      <c r="M1171" s="144" t="str">
        <f>B1152</f>
        <v>FF-043</v>
      </c>
      <c r="N1171" s="102" t="str">
        <f>L1171&amp;M1171</f>
        <v>COMPOSIÇÃOFF-043</v>
      </c>
      <c r="O1171" s="103" t="str">
        <f>D1151</f>
        <v>Fornecimento e plantio de Hydrocotyle bonariensis - Erva capitão</v>
      </c>
      <c r="P1171" s="145" t="str">
        <f>J1152</f>
        <v>m²</v>
      </c>
      <c r="Q1171" s="145">
        <f>J1171</f>
        <v>29.01</v>
      </c>
    </row>
    <row r="1172" spans="1:17" ht="15" customHeight="1" x14ac:dyDescent="0.25">
      <c r="A1172" s="524" t="s">
        <v>40</v>
      </c>
      <c r="B1172" s="525"/>
      <c r="C1172" s="104" t="s">
        <v>41</v>
      </c>
      <c r="D1172" s="526" t="str">
        <f>IF(B1173="","",VLOOKUP(B1173,SERVIÇOS!B:E,3,0))</f>
        <v>Fornecimento e plantio de Ipomea imperati - Ipomeia branca</v>
      </c>
      <c r="E1172" s="526"/>
      <c r="F1172" s="526"/>
      <c r="G1172" s="526"/>
      <c r="H1172" s="526"/>
      <c r="I1172" s="527"/>
      <c r="J1172" s="105" t="s">
        <v>42</v>
      </c>
    </row>
    <row r="1173" spans="1:17" ht="15" x14ac:dyDescent="0.25">
      <c r="A1173" s="230" t="s">
        <v>4715</v>
      </c>
      <c r="B1173" s="230" t="s">
        <v>4923</v>
      </c>
      <c r="C1173" s="106"/>
      <c r="D1173" s="528"/>
      <c r="E1173" s="528"/>
      <c r="F1173" s="528"/>
      <c r="G1173" s="528"/>
      <c r="H1173" s="528"/>
      <c r="I1173" s="529"/>
      <c r="J1173" s="107" t="str">
        <f>IF(B1173="","",VLOOKUP(B1173,SERVIÇOS!B:E,4,0))</f>
        <v>m²</v>
      </c>
    </row>
    <row r="1174" spans="1:17" ht="15" x14ac:dyDescent="0.25">
      <c r="A1174" s="530" t="s">
        <v>4397</v>
      </c>
      <c r="B1174" s="531" t="s">
        <v>11</v>
      </c>
      <c r="C1174" s="533" t="s">
        <v>43</v>
      </c>
      <c r="D1174" s="534"/>
      <c r="E1174" s="530" t="s">
        <v>13</v>
      </c>
      <c r="F1174" s="530" t="s">
        <v>44</v>
      </c>
      <c r="G1174" s="538" t="s">
        <v>45</v>
      </c>
      <c r="H1174" s="108" t="s">
        <v>46</v>
      </c>
      <c r="I1174" s="108"/>
      <c r="J1174" s="108"/>
    </row>
    <row r="1175" spans="1:17" ht="15" x14ac:dyDescent="0.25">
      <c r="A1175" s="530"/>
      <c r="B1175" s="532"/>
      <c r="C1175" s="535"/>
      <c r="D1175" s="536"/>
      <c r="E1175" s="537"/>
      <c r="F1175" s="537"/>
      <c r="G1175" s="539"/>
      <c r="H1175" s="108" t="s">
        <v>47</v>
      </c>
      <c r="I1175" s="108" t="s">
        <v>48</v>
      </c>
      <c r="J1175" s="108" t="s">
        <v>49</v>
      </c>
    </row>
    <row r="1176" spans="1:17" ht="15" x14ac:dyDescent="0.25">
      <c r="A1176" s="109" t="s">
        <v>4717</v>
      </c>
      <c r="B1176" s="116" t="s">
        <v>4955</v>
      </c>
      <c r="C1176" s="540" t="str">
        <f>IF(A1176&amp;B1176="","",VLOOKUP(A1176&amp;B1176,INSUMOS!C:G,2,0))</f>
        <v>Fornecimento e plantio de Ipomea imperati - Ipomeia branca</v>
      </c>
      <c r="D1176" s="541"/>
      <c r="E1176" s="111" t="str">
        <f>IF(A1176&amp;B1176="","",VLOOKUP(A1176&amp;B1176,INSUMOS!C:G,3,0))</f>
        <v>m²</v>
      </c>
      <c r="F1176" s="112">
        <v>1</v>
      </c>
      <c r="G1176" s="113">
        <f>IF(A1176&amp;B1176="","",VLOOKUP(A1176&amp;B1176,INSUMOS!C:G,4,0))</f>
        <v>41.915999999999997</v>
      </c>
      <c r="H1176" s="114" t="str">
        <f>IF(K1176="MO",TRUNC(F1176*G1176,2),"")</f>
        <v/>
      </c>
      <c r="I1176" s="114">
        <f>IF(K1176="MT",TRUNC(F1176*G1176,2),"")</f>
        <v>41.91</v>
      </c>
      <c r="J1176" s="115" t="str">
        <f>IF(K1176="EQ",TRUNC(F1176*G1176,2),"")</f>
        <v/>
      </c>
      <c r="K1176" s="102" t="str">
        <f>IF(A1176&amp;B1176="","",VLOOKUP(A1176&amp;B1176,INSUMOS!C:G,5,0))</f>
        <v>MT</v>
      </c>
    </row>
    <row r="1177" spans="1:17" ht="15" x14ac:dyDescent="0.25">
      <c r="A1177" s="109" t="s">
        <v>4398</v>
      </c>
      <c r="B1177" s="116">
        <v>10101</v>
      </c>
      <c r="C1177" s="518" t="str">
        <f>IF(A1177&amp;B1177="","",VLOOKUP(A1177&amp;B1177,INSUMOS!C:G,2,0))</f>
        <v>Ajudante geral</v>
      </c>
      <c r="D1177" s="519"/>
      <c r="E1177" s="117" t="str">
        <f>IF(A1177&amp;B1177="","",VLOOKUP(A1177&amp;B1177,INSUMOS!C:G,3,0))</f>
        <v>h</v>
      </c>
      <c r="F1177" s="118">
        <v>0.2</v>
      </c>
      <c r="G1177" s="113">
        <f>IF(A1177&amp;B1177="","",VLOOKUP(A1177&amp;B1177,INSUMOS!C:G,4,0))</f>
        <v>11.238228999999999</v>
      </c>
      <c r="H1177" s="119">
        <f t="shared" ref="H1177:H1188" si="189">IF(K1177="MO",TRUNC(F1177*G1177,2),"")</f>
        <v>2.2400000000000002</v>
      </c>
      <c r="I1177" s="119" t="str">
        <f t="shared" ref="I1177:I1188" si="190">IF(K1177="MT",TRUNC(F1177*G1177,2),"")</f>
        <v/>
      </c>
      <c r="J1177" s="115" t="str">
        <f t="shared" ref="J1177:J1188" si="191">IF(K1177="EQ",TRUNC(F1177*G1177,2),"")</f>
        <v/>
      </c>
      <c r="K1177" s="102" t="str">
        <f>IF(A1177&amp;B1177="","",VLOOKUP(A1177&amp;B1177,INSUMOS!C:G,5,0))</f>
        <v>MO</v>
      </c>
    </row>
    <row r="1178" spans="1:17" ht="15" x14ac:dyDescent="0.25">
      <c r="A1178" s="109" t="s">
        <v>4398</v>
      </c>
      <c r="B1178" s="116">
        <v>10126</v>
      </c>
      <c r="C1178" s="518" t="str">
        <f>IF(A1178&amp;B1178="","",VLOOKUP(A1178&amp;B1178,INSUMOS!C:G,2,0))</f>
        <v>Jardineiro</v>
      </c>
      <c r="D1178" s="519"/>
      <c r="E1178" s="117" t="str">
        <f>IF(A1178&amp;B1178="","",VLOOKUP(A1178&amp;B1178,INSUMOS!C:G,3,0))</f>
        <v>h</v>
      </c>
      <c r="F1178" s="118">
        <v>0.1</v>
      </c>
      <c r="G1178" s="113">
        <f>IF(A1178&amp;B1178="","",VLOOKUP(A1178&amp;B1178,INSUMOS!C:G,4,0))</f>
        <v>12.07574</v>
      </c>
      <c r="H1178" s="119">
        <f t="shared" si="189"/>
        <v>1.2</v>
      </c>
      <c r="I1178" s="119" t="str">
        <f t="shared" si="190"/>
        <v/>
      </c>
      <c r="J1178" s="115" t="str">
        <f t="shared" si="191"/>
        <v/>
      </c>
      <c r="K1178" s="102" t="str">
        <f>IF(A1178&amp;B1178="","",VLOOKUP(A1178&amp;B1178,INSUMOS!C:G,5,0))</f>
        <v>MO</v>
      </c>
    </row>
    <row r="1179" spans="1:17" ht="15" x14ac:dyDescent="0.25">
      <c r="A1179" s="109" t="s">
        <v>4398</v>
      </c>
      <c r="B1179" s="116">
        <v>38511</v>
      </c>
      <c r="C1179" s="518" t="str">
        <f>IF(A1179&amp;B1179="","",VLOOKUP(A1179&amp;B1179,INSUMOS!C:G,2,0))</f>
        <v>Terra vegetal orgânica comum</v>
      </c>
      <c r="D1179" s="519"/>
      <c r="E1179" s="117" t="str">
        <f>IF(A1179&amp;B1179="","",VLOOKUP(A1179&amp;B1179,INSUMOS!C:G,3,0))</f>
        <v>m³</v>
      </c>
      <c r="F1179" s="118">
        <v>0.05</v>
      </c>
      <c r="G1179" s="113">
        <f>IF(A1179&amp;B1179="","",VLOOKUP(A1179&amp;B1179,INSUMOS!C:G,4,0))</f>
        <v>92.46</v>
      </c>
      <c r="H1179" s="119" t="str">
        <f t="shared" si="189"/>
        <v/>
      </c>
      <c r="I1179" s="119">
        <f t="shared" si="190"/>
        <v>4.62</v>
      </c>
      <c r="J1179" s="115" t="str">
        <f t="shared" si="191"/>
        <v/>
      </c>
      <c r="K1179" s="102" t="str">
        <f>IF(A1179&amp;B1179="","",VLOOKUP(A1179&amp;B1179,INSUMOS!C:G,5,0))</f>
        <v>MT</v>
      </c>
    </row>
    <row r="1180" spans="1:17" ht="15" x14ac:dyDescent="0.25">
      <c r="A1180" s="109"/>
      <c r="B1180" s="116"/>
      <c r="C1180" s="518" t="str">
        <f>IF(A1180&amp;B1180="","",VLOOKUP(A1180&amp;B1180,INSUMOS!C:G,2,0))</f>
        <v/>
      </c>
      <c r="D1180" s="519"/>
      <c r="E1180" s="117" t="str">
        <f>IF(A1180&amp;B1180="","",VLOOKUP(A1180&amp;B1180,INSUMOS!C:G,3,0))</f>
        <v/>
      </c>
      <c r="F1180" s="118"/>
      <c r="G1180" s="113" t="str">
        <f>IF(A1180&amp;B1180="","",VLOOKUP(A1180&amp;B1180,INSUMOS!C:G,4,0))</f>
        <v/>
      </c>
      <c r="H1180" s="119" t="str">
        <f t="shared" si="189"/>
        <v/>
      </c>
      <c r="I1180" s="119" t="str">
        <f t="shared" si="190"/>
        <v/>
      </c>
      <c r="J1180" s="115" t="str">
        <f t="shared" si="191"/>
        <v/>
      </c>
      <c r="K1180" s="102" t="str">
        <f>IF(A1180&amp;B1180="","",VLOOKUP(A1180&amp;B1180,INSUMOS!C:G,5,0))</f>
        <v/>
      </c>
    </row>
    <row r="1181" spans="1:17" ht="15" x14ac:dyDescent="0.25">
      <c r="A1181" s="109"/>
      <c r="B1181" s="116"/>
      <c r="C1181" s="518" t="str">
        <f>IF(A1181&amp;B1181="","",VLOOKUP(A1181&amp;B1181,INSUMOS!C:G,2,0))</f>
        <v/>
      </c>
      <c r="D1181" s="519"/>
      <c r="E1181" s="117" t="str">
        <f>IF(A1181&amp;B1181="","",VLOOKUP(A1181&amp;B1181,INSUMOS!C:G,3,0))</f>
        <v/>
      </c>
      <c r="F1181" s="118"/>
      <c r="G1181" s="113" t="str">
        <f>IF(A1181&amp;B1181="","",VLOOKUP(A1181&amp;B1181,INSUMOS!C:G,4,0))</f>
        <v/>
      </c>
      <c r="H1181" s="119" t="str">
        <f t="shared" si="189"/>
        <v/>
      </c>
      <c r="I1181" s="119" t="str">
        <f t="shared" si="190"/>
        <v/>
      </c>
      <c r="J1181" s="115" t="str">
        <f t="shared" si="191"/>
        <v/>
      </c>
      <c r="K1181" s="102" t="str">
        <f>IF(A1181&amp;B1181="","",VLOOKUP(A1181&amp;B1181,INSUMOS!C:G,5,0))</f>
        <v/>
      </c>
    </row>
    <row r="1182" spans="1:17" ht="15" x14ac:dyDescent="0.25">
      <c r="A1182" s="109"/>
      <c r="B1182" s="116"/>
      <c r="C1182" s="518" t="str">
        <f>IF(A1182&amp;B1182="","",VLOOKUP(A1182&amp;B1182,INSUMOS!C:G,2,0))</f>
        <v/>
      </c>
      <c r="D1182" s="519"/>
      <c r="E1182" s="117" t="str">
        <f>IF(A1182&amp;B1182="","",VLOOKUP(A1182&amp;B1182,INSUMOS!C:G,3,0))</f>
        <v/>
      </c>
      <c r="F1182" s="118"/>
      <c r="G1182" s="113" t="str">
        <f>IF(A1182&amp;B1182="","",VLOOKUP(A1182&amp;B1182,INSUMOS!C:G,4,0))</f>
        <v/>
      </c>
      <c r="H1182" s="119" t="str">
        <f t="shared" si="189"/>
        <v/>
      </c>
      <c r="I1182" s="119" t="str">
        <f t="shared" si="190"/>
        <v/>
      </c>
      <c r="J1182" s="115" t="str">
        <f t="shared" si="191"/>
        <v/>
      </c>
      <c r="K1182" s="102" t="str">
        <f>IF(A1182&amp;B1182="","",VLOOKUP(A1182&amp;B1182,INSUMOS!C:G,5,0))</f>
        <v/>
      </c>
    </row>
    <row r="1183" spans="1:17" ht="15" x14ac:dyDescent="0.25">
      <c r="A1183" s="109"/>
      <c r="B1183" s="116"/>
      <c r="C1183" s="518" t="str">
        <f>IF(A1183&amp;B1183="","",VLOOKUP(A1183&amp;B1183,INSUMOS!C:G,2,0))</f>
        <v/>
      </c>
      <c r="D1183" s="519"/>
      <c r="E1183" s="117" t="str">
        <f>IF(A1183&amp;B1183="","",VLOOKUP(A1183&amp;B1183,INSUMOS!C:G,3,0))</f>
        <v/>
      </c>
      <c r="F1183" s="118"/>
      <c r="G1183" s="113" t="str">
        <f>IF(A1183&amp;B1183="","",VLOOKUP(A1183&amp;B1183,INSUMOS!C:G,4,0))</f>
        <v/>
      </c>
      <c r="H1183" s="119" t="str">
        <f t="shared" si="189"/>
        <v/>
      </c>
      <c r="I1183" s="119" t="str">
        <f t="shared" si="190"/>
        <v/>
      </c>
      <c r="J1183" s="115" t="str">
        <f t="shared" si="191"/>
        <v/>
      </c>
      <c r="K1183" s="102" t="str">
        <f>IF(A1183&amp;B1183="","",VLOOKUP(A1183&amp;B1183,INSUMOS!C:G,5,0))</f>
        <v/>
      </c>
    </row>
    <row r="1184" spans="1:17" ht="15" x14ac:dyDescent="0.25">
      <c r="A1184" s="109"/>
      <c r="B1184" s="116"/>
      <c r="C1184" s="518" t="str">
        <f>IF(A1184&amp;B1184="","",VLOOKUP(A1184&amp;B1184,INSUMOS!C:G,2,0))</f>
        <v/>
      </c>
      <c r="D1184" s="519"/>
      <c r="E1184" s="117" t="str">
        <f>IF(A1184&amp;B1184="","",VLOOKUP(A1184&amp;B1184,INSUMOS!C:G,3,0))</f>
        <v/>
      </c>
      <c r="F1184" s="118"/>
      <c r="G1184" s="113" t="str">
        <f>IF(A1184&amp;B1184="","",VLOOKUP(A1184&amp;B1184,INSUMOS!C:G,4,0))</f>
        <v/>
      </c>
      <c r="H1184" s="119" t="str">
        <f t="shared" si="189"/>
        <v/>
      </c>
      <c r="I1184" s="119" t="str">
        <f t="shared" si="190"/>
        <v/>
      </c>
      <c r="J1184" s="115" t="str">
        <f t="shared" si="191"/>
        <v/>
      </c>
      <c r="K1184" s="102" t="str">
        <f>IF(A1184&amp;B1184="","",VLOOKUP(A1184&amp;B1184,INSUMOS!C:G,5,0))</f>
        <v/>
      </c>
    </row>
    <row r="1185" spans="1:17" ht="15" x14ac:dyDescent="0.25">
      <c r="A1185" s="109"/>
      <c r="B1185" s="116"/>
      <c r="C1185" s="518" t="str">
        <f>IF(A1185&amp;B1185="","",VLOOKUP(A1185&amp;B1185,INSUMOS!C:G,2,0))</f>
        <v/>
      </c>
      <c r="D1185" s="519"/>
      <c r="E1185" s="117" t="str">
        <f>IF(A1185&amp;B1185="","",VLOOKUP(A1185&amp;B1185,INSUMOS!C:G,3,0))</f>
        <v/>
      </c>
      <c r="F1185" s="118"/>
      <c r="G1185" s="113" t="str">
        <f>IF(A1185&amp;B1185="","",VLOOKUP(A1185&amp;B1185,INSUMOS!C:G,4,0))</f>
        <v/>
      </c>
      <c r="H1185" s="119" t="str">
        <f t="shared" si="189"/>
        <v/>
      </c>
      <c r="I1185" s="119" t="str">
        <f t="shared" si="190"/>
        <v/>
      </c>
      <c r="J1185" s="115" t="str">
        <f t="shared" si="191"/>
        <v/>
      </c>
      <c r="K1185" s="102" t="str">
        <f>IF(A1185&amp;B1185="","",VLOOKUP(A1185&amp;B1185,INSUMOS!C:G,5,0))</f>
        <v/>
      </c>
    </row>
    <row r="1186" spans="1:17" ht="15" x14ac:dyDescent="0.25">
      <c r="A1186" s="120"/>
      <c r="B1186" s="121"/>
      <c r="C1186" s="518" t="str">
        <f>IF(A1186&amp;B1186="","",VLOOKUP(A1186&amp;B1186,INSUMOS!C:G,2,0))</f>
        <v/>
      </c>
      <c r="D1186" s="519"/>
      <c r="E1186" s="117" t="str">
        <f>IF(A1186&amp;B1186="","",VLOOKUP(A1186&amp;B1186,INSUMOS!C:G,3,0))</f>
        <v/>
      </c>
      <c r="F1186" s="118"/>
      <c r="G1186" s="122" t="str">
        <f>IF(A1186&amp;B1186="","",VLOOKUP(A1186&amp;B1186,INSUMOS!C:G,4,0))</f>
        <v/>
      </c>
      <c r="H1186" s="119" t="str">
        <f t="shared" si="189"/>
        <v/>
      </c>
      <c r="I1186" s="119" t="str">
        <f t="shared" si="190"/>
        <v/>
      </c>
      <c r="J1186" s="115" t="str">
        <f t="shared" si="191"/>
        <v/>
      </c>
      <c r="K1186" s="102" t="str">
        <f>IF(A1186&amp;B1186="","",VLOOKUP(A1186&amp;B1186,INSUMOS!C:G,5,0))</f>
        <v/>
      </c>
    </row>
    <row r="1187" spans="1:17" ht="15" x14ac:dyDescent="0.25">
      <c r="A1187" s="120"/>
      <c r="B1187" s="121"/>
      <c r="C1187" s="518" t="str">
        <f>IF(A1187&amp;B1187="","",VLOOKUP(A1187&amp;B1187,INSUMOS!C:G,2,0))</f>
        <v/>
      </c>
      <c r="D1187" s="519"/>
      <c r="E1187" s="117" t="str">
        <f>IF(A1187&amp;B1187="","",VLOOKUP(A1187&amp;B1187,INSUMOS!C:G,3,0))</f>
        <v/>
      </c>
      <c r="F1187" s="118"/>
      <c r="G1187" s="122" t="str">
        <f>IF(A1187&amp;B1187="","",VLOOKUP(A1187&amp;B1187,INSUMOS!C:G,4,0))</f>
        <v/>
      </c>
      <c r="H1187" s="119" t="str">
        <f t="shared" si="189"/>
        <v/>
      </c>
      <c r="I1187" s="119" t="str">
        <f t="shared" si="190"/>
        <v/>
      </c>
      <c r="J1187" s="115" t="str">
        <f t="shared" si="191"/>
        <v/>
      </c>
      <c r="K1187" s="102" t="str">
        <f>IF(A1187&amp;B1187="","",VLOOKUP(A1187&amp;B1187,INSUMOS!C:G,5,0))</f>
        <v/>
      </c>
    </row>
    <row r="1188" spans="1:17" ht="15" x14ac:dyDescent="0.25">
      <c r="A1188" s="120"/>
      <c r="B1188" s="121"/>
      <c r="C1188" s="518" t="str">
        <f>IF(A1188&amp;B1188="","",VLOOKUP(A1188&amp;B1188,INSUMOS!C:G,2,0))</f>
        <v/>
      </c>
      <c r="D1188" s="519"/>
      <c r="E1188" s="117" t="str">
        <f>IF(A1188&amp;B1188="","",VLOOKUP(A1188&amp;B1188,INSUMOS!C:G,3,0))</f>
        <v/>
      </c>
      <c r="F1188" s="118"/>
      <c r="G1188" s="122" t="str">
        <f>IF(A1188&amp;B1188="","",VLOOKUP(A1188&amp;B1188,INSUMOS!C:G,4,0))</f>
        <v/>
      </c>
      <c r="H1188" s="119" t="str">
        <f t="shared" si="189"/>
        <v/>
      </c>
      <c r="I1188" s="119" t="str">
        <f t="shared" si="190"/>
        <v/>
      </c>
      <c r="J1188" s="115" t="str">
        <f t="shared" si="191"/>
        <v/>
      </c>
      <c r="K1188" s="102" t="str">
        <f>IF(A1188&amp;B1188="","",VLOOKUP(A1188&amp;B1188,INSUMOS!C:G,5,0))</f>
        <v/>
      </c>
    </row>
    <row r="1189" spans="1:17" ht="15" x14ac:dyDescent="0.25">
      <c r="A1189" s="123" t="s">
        <v>4399</v>
      </c>
      <c r="B1189" s="520"/>
      <c r="C1189" s="520"/>
      <c r="D1189" s="520"/>
      <c r="E1189" s="520"/>
      <c r="F1189" s="521"/>
      <c r="G1189" s="124" t="s">
        <v>50</v>
      </c>
      <c r="H1189" s="125">
        <f>SUM(H1176:H1188)</f>
        <v>3.4400000000000004</v>
      </c>
      <c r="I1189" s="125">
        <f>SUM(I1176:I1188)</f>
        <v>46.529999999999994</v>
      </c>
      <c r="J1189" s="126">
        <f>SUM(J1176:J1188)</f>
        <v>0</v>
      </c>
    </row>
    <row r="1190" spans="1:17" ht="15" x14ac:dyDescent="0.25">
      <c r="A1190" s="127" t="s">
        <v>4400</v>
      </c>
      <c r="B1190" s="128"/>
      <c r="C1190" s="128"/>
      <c r="D1190" s="127" t="s">
        <v>51</v>
      </c>
      <c r="E1190" s="128"/>
      <c r="F1190" s="129"/>
      <c r="G1190" s="130" t="s">
        <v>55</v>
      </c>
      <c r="H1190" s="131" t="s">
        <v>52</v>
      </c>
      <c r="I1190" s="132"/>
      <c r="J1190" s="125">
        <f>SUM(H1189:J1189)</f>
        <v>49.969999999999992</v>
      </c>
    </row>
    <row r="1191" spans="1:17" ht="15" x14ac:dyDescent="0.25">
      <c r="A1191" s="313" t="str">
        <f>$I$3</f>
        <v>Carlos Wieck</v>
      </c>
      <c r="B1191" s="133"/>
      <c r="C1191" s="133"/>
      <c r="D1191" s="134"/>
      <c r="E1191" s="133"/>
      <c r="F1191" s="135"/>
      <c r="G1191" s="522">
        <f>$J$5</f>
        <v>43040</v>
      </c>
      <c r="H1191" s="136" t="s">
        <v>53</v>
      </c>
      <c r="I1191" s="137"/>
      <c r="J1191" s="125">
        <f>TRUNC(I1191*J1190,2)</f>
        <v>0</v>
      </c>
    </row>
    <row r="1192" spans="1:17" ht="15" x14ac:dyDescent="0.25">
      <c r="A1192" s="138"/>
      <c r="B1192" s="139"/>
      <c r="C1192" s="139"/>
      <c r="D1192" s="138"/>
      <c r="E1192" s="139"/>
      <c r="F1192" s="140"/>
      <c r="G1192" s="523"/>
      <c r="H1192" s="141" t="s">
        <v>54</v>
      </c>
      <c r="I1192" s="142"/>
      <c r="J1192" s="143">
        <f>J1191+J1190</f>
        <v>49.969999999999992</v>
      </c>
      <c r="L1192" s="102" t="str">
        <f>A1173</f>
        <v>COMPOSIÇÃO</v>
      </c>
      <c r="M1192" s="144" t="str">
        <f>B1173</f>
        <v>FF-044</v>
      </c>
      <c r="N1192" s="102" t="str">
        <f>L1192&amp;M1192</f>
        <v>COMPOSIÇÃOFF-044</v>
      </c>
      <c r="O1192" s="103" t="str">
        <f>D1172</f>
        <v>Fornecimento e plantio de Ipomea imperati - Ipomeia branca</v>
      </c>
      <c r="P1192" s="145" t="str">
        <f>J1173</f>
        <v>m²</v>
      </c>
      <c r="Q1192" s="145">
        <f>J1192</f>
        <v>49.969999999999992</v>
      </c>
    </row>
    <row r="1193" spans="1:17" ht="15" customHeight="1" x14ac:dyDescent="0.25">
      <c r="A1193" s="524" t="s">
        <v>40</v>
      </c>
      <c r="B1193" s="525"/>
      <c r="C1193" s="104" t="s">
        <v>41</v>
      </c>
      <c r="D1193" s="526" t="str">
        <f>IF(B1194="","",VLOOKUP(B1194,SERVIÇOS!B:E,3,0))</f>
        <v>Fornecimento e plantio de Ipomea pes-caprae - Jundu</v>
      </c>
      <c r="E1193" s="526"/>
      <c r="F1193" s="526"/>
      <c r="G1193" s="526"/>
      <c r="H1193" s="526"/>
      <c r="I1193" s="527"/>
      <c r="J1193" s="105" t="s">
        <v>42</v>
      </c>
    </row>
    <row r="1194" spans="1:17" ht="15" x14ac:dyDescent="0.25">
      <c r="A1194" s="230" t="s">
        <v>4715</v>
      </c>
      <c r="B1194" s="230" t="s">
        <v>4924</v>
      </c>
      <c r="C1194" s="106"/>
      <c r="D1194" s="528"/>
      <c r="E1194" s="528"/>
      <c r="F1194" s="528"/>
      <c r="G1194" s="528"/>
      <c r="H1194" s="528"/>
      <c r="I1194" s="529"/>
      <c r="J1194" s="107" t="str">
        <f>IF(B1194="","",VLOOKUP(B1194,SERVIÇOS!B:E,4,0))</f>
        <v>m²</v>
      </c>
    </row>
    <row r="1195" spans="1:17" ht="15" x14ac:dyDescent="0.25">
      <c r="A1195" s="530" t="s">
        <v>4397</v>
      </c>
      <c r="B1195" s="531" t="s">
        <v>11</v>
      </c>
      <c r="C1195" s="533" t="s">
        <v>43</v>
      </c>
      <c r="D1195" s="534"/>
      <c r="E1195" s="530" t="s">
        <v>13</v>
      </c>
      <c r="F1195" s="530" t="s">
        <v>44</v>
      </c>
      <c r="G1195" s="538" t="s">
        <v>45</v>
      </c>
      <c r="H1195" s="108" t="s">
        <v>46</v>
      </c>
      <c r="I1195" s="108"/>
      <c r="J1195" s="108"/>
    </row>
    <row r="1196" spans="1:17" ht="15" x14ac:dyDescent="0.25">
      <c r="A1196" s="530"/>
      <c r="B1196" s="532"/>
      <c r="C1196" s="535"/>
      <c r="D1196" s="536"/>
      <c r="E1196" s="537"/>
      <c r="F1196" s="537"/>
      <c r="G1196" s="539"/>
      <c r="H1196" s="108" t="s">
        <v>47</v>
      </c>
      <c r="I1196" s="108" t="s">
        <v>48</v>
      </c>
      <c r="J1196" s="108" t="s">
        <v>49</v>
      </c>
    </row>
    <row r="1197" spans="1:17" ht="15" x14ac:dyDescent="0.25">
      <c r="A1197" s="109" t="s">
        <v>4717</v>
      </c>
      <c r="B1197" s="116" t="s">
        <v>4956</v>
      </c>
      <c r="C1197" s="540" t="str">
        <f>IF(A1197&amp;B1197="","",VLOOKUP(A1197&amp;B1197,INSUMOS!C:G,2,0))</f>
        <v>Fornecimento e plantio de Ipomea pes-caprae - Jundu</v>
      </c>
      <c r="D1197" s="541"/>
      <c r="E1197" s="111" t="str">
        <f>IF(A1197&amp;B1197="","",VLOOKUP(A1197&amp;B1197,INSUMOS!C:G,3,0))</f>
        <v>m²</v>
      </c>
      <c r="F1197" s="112">
        <v>1</v>
      </c>
      <c r="G1197" s="113">
        <f>IF(A1197&amp;B1197="","",VLOOKUP(A1197&amp;B1197,INSUMOS!C:G,4,0))</f>
        <v>41.915999999999997</v>
      </c>
      <c r="H1197" s="114" t="str">
        <f>IF(K1197="MO",TRUNC(F1197*G1197,2),"")</f>
        <v/>
      </c>
      <c r="I1197" s="114">
        <f>IF(K1197="MT",TRUNC(F1197*G1197,2),"")</f>
        <v>41.91</v>
      </c>
      <c r="J1197" s="115" t="str">
        <f>IF(K1197="EQ",TRUNC(F1197*G1197,2),"")</f>
        <v/>
      </c>
      <c r="K1197" s="102" t="str">
        <f>IF(A1197&amp;B1197="","",VLOOKUP(A1197&amp;B1197,INSUMOS!C:G,5,0))</f>
        <v>MT</v>
      </c>
    </row>
    <row r="1198" spans="1:17" ht="15" x14ac:dyDescent="0.25">
      <c r="A1198" s="109" t="s">
        <v>4398</v>
      </c>
      <c r="B1198" s="116">
        <v>10101</v>
      </c>
      <c r="C1198" s="518" t="str">
        <f>IF(A1198&amp;B1198="","",VLOOKUP(A1198&amp;B1198,INSUMOS!C:G,2,0))</f>
        <v>Ajudante geral</v>
      </c>
      <c r="D1198" s="519"/>
      <c r="E1198" s="117" t="str">
        <f>IF(A1198&amp;B1198="","",VLOOKUP(A1198&amp;B1198,INSUMOS!C:G,3,0))</f>
        <v>h</v>
      </c>
      <c r="F1198" s="118">
        <v>0.2</v>
      </c>
      <c r="G1198" s="113">
        <f>IF(A1198&amp;B1198="","",VLOOKUP(A1198&amp;B1198,INSUMOS!C:G,4,0))</f>
        <v>11.238228999999999</v>
      </c>
      <c r="H1198" s="119">
        <f t="shared" ref="H1198:H1209" si="192">IF(K1198="MO",TRUNC(F1198*G1198,2),"")</f>
        <v>2.2400000000000002</v>
      </c>
      <c r="I1198" s="119" t="str">
        <f t="shared" ref="I1198:I1209" si="193">IF(K1198="MT",TRUNC(F1198*G1198,2),"")</f>
        <v/>
      </c>
      <c r="J1198" s="115" t="str">
        <f t="shared" ref="J1198:J1209" si="194">IF(K1198="EQ",TRUNC(F1198*G1198,2),"")</f>
        <v/>
      </c>
      <c r="K1198" s="102" t="str">
        <f>IF(A1198&amp;B1198="","",VLOOKUP(A1198&amp;B1198,INSUMOS!C:G,5,0))</f>
        <v>MO</v>
      </c>
    </row>
    <row r="1199" spans="1:17" ht="15" x14ac:dyDescent="0.25">
      <c r="A1199" s="109" t="s">
        <v>4398</v>
      </c>
      <c r="B1199" s="116">
        <v>10126</v>
      </c>
      <c r="C1199" s="518" t="str">
        <f>IF(A1199&amp;B1199="","",VLOOKUP(A1199&amp;B1199,INSUMOS!C:G,2,0))</f>
        <v>Jardineiro</v>
      </c>
      <c r="D1199" s="519"/>
      <c r="E1199" s="117" t="str">
        <f>IF(A1199&amp;B1199="","",VLOOKUP(A1199&amp;B1199,INSUMOS!C:G,3,0))</f>
        <v>h</v>
      </c>
      <c r="F1199" s="118">
        <v>0.1</v>
      </c>
      <c r="G1199" s="113">
        <f>IF(A1199&amp;B1199="","",VLOOKUP(A1199&amp;B1199,INSUMOS!C:G,4,0))</f>
        <v>12.07574</v>
      </c>
      <c r="H1199" s="119">
        <f t="shared" si="192"/>
        <v>1.2</v>
      </c>
      <c r="I1199" s="119" t="str">
        <f t="shared" si="193"/>
        <v/>
      </c>
      <c r="J1199" s="115" t="str">
        <f t="shared" si="194"/>
        <v/>
      </c>
      <c r="K1199" s="102" t="str">
        <f>IF(A1199&amp;B1199="","",VLOOKUP(A1199&amp;B1199,INSUMOS!C:G,5,0))</f>
        <v>MO</v>
      </c>
    </row>
    <row r="1200" spans="1:17" ht="15" x14ac:dyDescent="0.25">
      <c r="A1200" s="109" t="s">
        <v>4398</v>
      </c>
      <c r="B1200" s="116">
        <v>38511</v>
      </c>
      <c r="C1200" s="518" t="str">
        <f>IF(A1200&amp;B1200="","",VLOOKUP(A1200&amp;B1200,INSUMOS!C:G,2,0))</f>
        <v>Terra vegetal orgânica comum</v>
      </c>
      <c r="D1200" s="519"/>
      <c r="E1200" s="117" t="str">
        <f>IF(A1200&amp;B1200="","",VLOOKUP(A1200&amp;B1200,INSUMOS!C:G,3,0))</f>
        <v>m³</v>
      </c>
      <c r="F1200" s="118">
        <v>0.05</v>
      </c>
      <c r="G1200" s="113">
        <f>IF(A1200&amp;B1200="","",VLOOKUP(A1200&amp;B1200,INSUMOS!C:G,4,0))</f>
        <v>92.46</v>
      </c>
      <c r="H1200" s="119" t="str">
        <f t="shared" si="192"/>
        <v/>
      </c>
      <c r="I1200" s="119">
        <f t="shared" si="193"/>
        <v>4.62</v>
      </c>
      <c r="J1200" s="115" t="str">
        <f t="shared" si="194"/>
        <v/>
      </c>
      <c r="K1200" s="102" t="str">
        <f>IF(A1200&amp;B1200="","",VLOOKUP(A1200&amp;B1200,INSUMOS!C:G,5,0))</f>
        <v>MT</v>
      </c>
    </row>
    <row r="1201" spans="1:17" ht="15" x14ac:dyDescent="0.25">
      <c r="A1201" s="109"/>
      <c r="B1201" s="116"/>
      <c r="C1201" s="518" t="str">
        <f>IF(A1201&amp;B1201="","",VLOOKUP(A1201&amp;B1201,INSUMOS!C:G,2,0))</f>
        <v/>
      </c>
      <c r="D1201" s="519"/>
      <c r="E1201" s="117" t="str">
        <f>IF(A1201&amp;B1201="","",VLOOKUP(A1201&amp;B1201,INSUMOS!C:G,3,0))</f>
        <v/>
      </c>
      <c r="F1201" s="118"/>
      <c r="G1201" s="113" t="str">
        <f>IF(A1201&amp;B1201="","",VLOOKUP(A1201&amp;B1201,INSUMOS!C:G,4,0))</f>
        <v/>
      </c>
      <c r="H1201" s="119" t="str">
        <f t="shared" si="192"/>
        <v/>
      </c>
      <c r="I1201" s="119" t="str">
        <f t="shared" si="193"/>
        <v/>
      </c>
      <c r="J1201" s="115" t="str">
        <f t="shared" si="194"/>
        <v/>
      </c>
      <c r="K1201" s="102" t="str">
        <f>IF(A1201&amp;B1201="","",VLOOKUP(A1201&amp;B1201,INSUMOS!C:G,5,0))</f>
        <v/>
      </c>
    </row>
    <row r="1202" spans="1:17" ht="15" x14ac:dyDescent="0.25">
      <c r="A1202" s="109"/>
      <c r="B1202" s="116"/>
      <c r="C1202" s="518" t="str">
        <f>IF(A1202&amp;B1202="","",VLOOKUP(A1202&amp;B1202,INSUMOS!C:G,2,0))</f>
        <v/>
      </c>
      <c r="D1202" s="519"/>
      <c r="E1202" s="117" t="str">
        <f>IF(A1202&amp;B1202="","",VLOOKUP(A1202&amp;B1202,INSUMOS!C:G,3,0))</f>
        <v/>
      </c>
      <c r="F1202" s="118"/>
      <c r="G1202" s="113" t="str">
        <f>IF(A1202&amp;B1202="","",VLOOKUP(A1202&amp;B1202,INSUMOS!C:G,4,0))</f>
        <v/>
      </c>
      <c r="H1202" s="119" t="str">
        <f t="shared" si="192"/>
        <v/>
      </c>
      <c r="I1202" s="119" t="str">
        <f t="shared" si="193"/>
        <v/>
      </c>
      <c r="J1202" s="115" t="str">
        <f t="shared" si="194"/>
        <v/>
      </c>
      <c r="K1202" s="102" t="str">
        <f>IF(A1202&amp;B1202="","",VLOOKUP(A1202&amp;B1202,INSUMOS!C:G,5,0))</f>
        <v/>
      </c>
    </row>
    <row r="1203" spans="1:17" ht="15" x14ac:dyDescent="0.25">
      <c r="A1203" s="109"/>
      <c r="B1203" s="116"/>
      <c r="C1203" s="518" t="str">
        <f>IF(A1203&amp;B1203="","",VLOOKUP(A1203&amp;B1203,INSUMOS!C:G,2,0))</f>
        <v/>
      </c>
      <c r="D1203" s="519"/>
      <c r="E1203" s="117" t="str">
        <f>IF(A1203&amp;B1203="","",VLOOKUP(A1203&amp;B1203,INSUMOS!C:G,3,0))</f>
        <v/>
      </c>
      <c r="F1203" s="118"/>
      <c r="G1203" s="113" t="str">
        <f>IF(A1203&amp;B1203="","",VLOOKUP(A1203&amp;B1203,INSUMOS!C:G,4,0))</f>
        <v/>
      </c>
      <c r="H1203" s="119" t="str">
        <f t="shared" si="192"/>
        <v/>
      </c>
      <c r="I1203" s="119" t="str">
        <f t="shared" si="193"/>
        <v/>
      </c>
      <c r="J1203" s="115" t="str">
        <f t="shared" si="194"/>
        <v/>
      </c>
      <c r="K1203" s="102" t="str">
        <f>IF(A1203&amp;B1203="","",VLOOKUP(A1203&amp;B1203,INSUMOS!C:G,5,0))</f>
        <v/>
      </c>
    </row>
    <row r="1204" spans="1:17" ht="15" x14ac:dyDescent="0.25">
      <c r="A1204" s="109"/>
      <c r="B1204" s="116"/>
      <c r="C1204" s="518" t="str">
        <f>IF(A1204&amp;B1204="","",VLOOKUP(A1204&amp;B1204,INSUMOS!C:G,2,0))</f>
        <v/>
      </c>
      <c r="D1204" s="519"/>
      <c r="E1204" s="117" t="str">
        <f>IF(A1204&amp;B1204="","",VLOOKUP(A1204&amp;B1204,INSUMOS!C:G,3,0))</f>
        <v/>
      </c>
      <c r="F1204" s="118"/>
      <c r="G1204" s="113" t="str">
        <f>IF(A1204&amp;B1204="","",VLOOKUP(A1204&amp;B1204,INSUMOS!C:G,4,0))</f>
        <v/>
      </c>
      <c r="H1204" s="119" t="str">
        <f t="shared" si="192"/>
        <v/>
      </c>
      <c r="I1204" s="119" t="str">
        <f t="shared" si="193"/>
        <v/>
      </c>
      <c r="J1204" s="115" t="str">
        <f t="shared" si="194"/>
        <v/>
      </c>
      <c r="K1204" s="102" t="str">
        <f>IF(A1204&amp;B1204="","",VLOOKUP(A1204&amp;B1204,INSUMOS!C:G,5,0))</f>
        <v/>
      </c>
    </row>
    <row r="1205" spans="1:17" ht="15" x14ac:dyDescent="0.25">
      <c r="A1205" s="109"/>
      <c r="B1205" s="116"/>
      <c r="C1205" s="518" t="str">
        <f>IF(A1205&amp;B1205="","",VLOOKUP(A1205&amp;B1205,INSUMOS!C:G,2,0))</f>
        <v/>
      </c>
      <c r="D1205" s="519"/>
      <c r="E1205" s="117" t="str">
        <f>IF(A1205&amp;B1205="","",VLOOKUP(A1205&amp;B1205,INSUMOS!C:G,3,0))</f>
        <v/>
      </c>
      <c r="F1205" s="118"/>
      <c r="G1205" s="113" t="str">
        <f>IF(A1205&amp;B1205="","",VLOOKUP(A1205&amp;B1205,INSUMOS!C:G,4,0))</f>
        <v/>
      </c>
      <c r="H1205" s="119" t="str">
        <f t="shared" si="192"/>
        <v/>
      </c>
      <c r="I1205" s="119" t="str">
        <f t="shared" si="193"/>
        <v/>
      </c>
      <c r="J1205" s="115" t="str">
        <f t="shared" si="194"/>
        <v/>
      </c>
      <c r="K1205" s="102" t="str">
        <f>IF(A1205&amp;B1205="","",VLOOKUP(A1205&amp;B1205,INSUMOS!C:G,5,0))</f>
        <v/>
      </c>
    </row>
    <row r="1206" spans="1:17" ht="15" x14ac:dyDescent="0.25">
      <c r="A1206" s="109"/>
      <c r="B1206" s="116"/>
      <c r="C1206" s="518" t="str">
        <f>IF(A1206&amp;B1206="","",VLOOKUP(A1206&amp;B1206,INSUMOS!C:G,2,0))</f>
        <v/>
      </c>
      <c r="D1206" s="519"/>
      <c r="E1206" s="117" t="str">
        <f>IF(A1206&amp;B1206="","",VLOOKUP(A1206&amp;B1206,INSUMOS!C:G,3,0))</f>
        <v/>
      </c>
      <c r="F1206" s="118"/>
      <c r="G1206" s="113" t="str">
        <f>IF(A1206&amp;B1206="","",VLOOKUP(A1206&amp;B1206,INSUMOS!C:G,4,0))</f>
        <v/>
      </c>
      <c r="H1206" s="119" t="str">
        <f t="shared" si="192"/>
        <v/>
      </c>
      <c r="I1206" s="119" t="str">
        <f t="shared" si="193"/>
        <v/>
      </c>
      <c r="J1206" s="115" t="str">
        <f t="shared" si="194"/>
        <v/>
      </c>
      <c r="K1206" s="102" t="str">
        <f>IF(A1206&amp;B1206="","",VLOOKUP(A1206&amp;B1206,INSUMOS!C:G,5,0))</f>
        <v/>
      </c>
    </row>
    <row r="1207" spans="1:17" ht="15" x14ac:dyDescent="0.25">
      <c r="A1207" s="120"/>
      <c r="B1207" s="121"/>
      <c r="C1207" s="518" t="str">
        <f>IF(A1207&amp;B1207="","",VLOOKUP(A1207&amp;B1207,INSUMOS!C:G,2,0))</f>
        <v/>
      </c>
      <c r="D1207" s="519"/>
      <c r="E1207" s="117" t="str">
        <f>IF(A1207&amp;B1207="","",VLOOKUP(A1207&amp;B1207,INSUMOS!C:G,3,0))</f>
        <v/>
      </c>
      <c r="F1207" s="118"/>
      <c r="G1207" s="122" t="str">
        <f>IF(A1207&amp;B1207="","",VLOOKUP(A1207&amp;B1207,INSUMOS!C:G,4,0))</f>
        <v/>
      </c>
      <c r="H1207" s="119" t="str">
        <f t="shared" si="192"/>
        <v/>
      </c>
      <c r="I1207" s="119" t="str">
        <f t="shared" si="193"/>
        <v/>
      </c>
      <c r="J1207" s="115" t="str">
        <f t="shared" si="194"/>
        <v/>
      </c>
      <c r="K1207" s="102" t="str">
        <f>IF(A1207&amp;B1207="","",VLOOKUP(A1207&amp;B1207,INSUMOS!C:G,5,0))</f>
        <v/>
      </c>
    </row>
    <row r="1208" spans="1:17" ht="15" x14ac:dyDescent="0.25">
      <c r="A1208" s="120"/>
      <c r="B1208" s="121"/>
      <c r="C1208" s="518" t="str">
        <f>IF(A1208&amp;B1208="","",VLOOKUP(A1208&amp;B1208,INSUMOS!C:G,2,0))</f>
        <v/>
      </c>
      <c r="D1208" s="519"/>
      <c r="E1208" s="117" t="str">
        <f>IF(A1208&amp;B1208="","",VLOOKUP(A1208&amp;B1208,INSUMOS!C:G,3,0))</f>
        <v/>
      </c>
      <c r="F1208" s="118"/>
      <c r="G1208" s="122" t="str">
        <f>IF(A1208&amp;B1208="","",VLOOKUP(A1208&amp;B1208,INSUMOS!C:G,4,0))</f>
        <v/>
      </c>
      <c r="H1208" s="119" t="str">
        <f t="shared" si="192"/>
        <v/>
      </c>
      <c r="I1208" s="119" t="str">
        <f t="shared" si="193"/>
        <v/>
      </c>
      <c r="J1208" s="115" t="str">
        <f t="shared" si="194"/>
        <v/>
      </c>
      <c r="K1208" s="102" t="str">
        <f>IF(A1208&amp;B1208="","",VLOOKUP(A1208&amp;B1208,INSUMOS!C:G,5,0))</f>
        <v/>
      </c>
    </row>
    <row r="1209" spans="1:17" ht="15" x14ac:dyDescent="0.25">
      <c r="A1209" s="120"/>
      <c r="B1209" s="121"/>
      <c r="C1209" s="518" t="str">
        <f>IF(A1209&amp;B1209="","",VLOOKUP(A1209&amp;B1209,INSUMOS!C:G,2,0))</f>
        <v/>
      </c>
      <c r="D1209" s="519"/>
      <c r="E1209" s="117" t="str">
        <f>IF(A1209&amp;B1209="","",VLOOKUP(A1209&amp;B1209,INSUMOS!C:G,3,0))</f>
        <v/>
      </c>
      <c r="F1209" s="118"/>
      <c r="G1209" s="122" t="str">
        <f>IF(A1209&amp;B1209="","",VLOOKUP(A1209&amp;B1209,INSUMOS!C:G,4,0))</f>
        <v/>
      </c>
      <c r="H1209" s="119" t="str">
        <f t="shared" si="192"/>
        <v/>
      </c>
      <c r="I1209" s="119" t="str">
        <f t="shared" si="193"/>
        <v/>
      </c>
      <c r="J1209" s="115" t="str">
        <f t="shared" si="194"/>
        <v/>
      </c>
      <c r="K1209" s="102" t="str">
        <f>IF(A1209&amp;B1209="","",VLOOKUP(A1209&amp;B1209,INSUMOS!C:G,5,0))</f>
        <v/>
      </c>
    </row>
    <row r="1210" spans="1:17" ht="15" x14ac:dyDescent="0.25">
      <c r="A1210" s="123" t="s">
        <v>4399</v>
      </c>
      <c r="B1210" s="520"/>
      <c r="C1210" s="520"/>
      <c r="D1210" s="520"/>
      <c r="E1210" s="520"/>
      <c r="F1210" s="521"/>
      <c r="G1210" s="124" t="s">
        <v>50</v>
      </c>
      <c r="H1210" s="125">
        <f>SUM(H1197:H1209)</f>
        <v>3.4400000000000004</v>
      </c>
      <c r="I1210" s="125">
        <f>SUM(I1197:I1209)</f>
        <v>46.529999999999994</v>
      </c>
      <c r="J1210" s="126">
        <f>SUM(J1197:J1209)</f>
        <v>0</v>
      </c>
    </row>
    <row r="1211" spans="1:17" ht="15" x14ac:dyDescent="0.25">
      <c r="A1211" s="127" t="s">
        <v>4400</v>
      </c>
      <c r="B1211" s="128"/>
      <c r="C1211" s="128"/>
      <c r="D1211" s="127" t="s">
        <v>51</v>
      </c>
      <c r="E1211" s="128"/>
      <c r="F1211" s="129"/>
      <c r="G1211" s="130" t="s">
        <v>55</v>
      </c>
      <c r="H1211" s="131" t="s">
        <v>52</v>
      </c>
      <c r="I1211" s="132"/>
      <c r="J1211" s="125">
        <f>SUM(H1210:J1210)</f>
        <v>49.969999999999992</v>
      </c>
    </row>
    <row r="1212" spans="1:17" ht="15" x14ac:dyDescent="0.25">
      <c r="A1212" s="313" t="str">
        <f>$I$3</f>
        <v>Carlos Wieck</v>
      </c>
      <c r="B1212" s="133"/>
      <c r="C1212" s="133"/>
      <c r="D1212" s="134"/>
      <c r="E1212" s="133"/>
      <c r="F1212" s="135"/>
      <c r="G1212" s="522">
        <f>$J$5</f>
        <v>43040</v>
      </c>
      <c r="H1212" s="136" t="s">
        <v>53</v>
      </c>
      <c r="I1212" s="137"/>
      <c r="J1212" s="125">
        <f>TRUNC(I1212*J1211,2)</f>
        <v>0</v>
      </c>
    </row>
    <row r="1213" spans="1:17" ht="15" x14ac:dyDescent="0.25">
      <c r="A1213" s="138"/>
      <c r="B1213" s="139"/>
      <c r="C1213" s="139"/>
      <c r="D1213" s="138"/>
      <c r="E1213" s="139"/>
      <c r="F1213" s="140"/>
      <c r="G1213" s="523"/>
      <c r="H1213" s="141" t="s">
        <v>54</v>
      </c>
      <c r="I1213" s="142"/>
      <c r="J1213" s="143">
        <f>J1212+J1211</f>
        <v>49.969999999999992</v>
      </c>
      <c r="L1213" s="102" t="str">
        <f>A1194</f>
        <v>COMPOSIÇÃO</v>
      </c>
      <c r="M1213" s="144" t="str">
        <f>B1194</f>
        <v>FF-045</v>
      </c>
      <c r="N1213" s="102" t="str">
        <f>L1213&amp;M1213</f>
        <v>COMPOSIÇÃOFF-045</v>
      </c>
      <c r="O1213" s="103" t="str">
        <f>D1193</f>
        <v>Fornecimento e plantio de Ipomea pes-caprae - Jundu</v>
      </c>
      <c r="P1213" s="145" t="str">
        <f>J1194</f>
        <v>m²</v>
      </c>
      <c r="Q1213" s="145">
        <f>J1213</f>
        <v>49.969999999999992</v>
      </c>
    </row>
    <row r="1214" spans="1:17" ht="15" customHeight="1" x14ac:dyDescent="0.25">
      <c r="A1214" s="524" t="s">
        <v>40</v>
      </c>
      <c r="B1214" s="525"/>
      <c r="C1214" s="104" t="s">
        <v>41</v>
      </c>
      <c r="D1214" s="526" t="str">
        <f>IF(B1215="","",VLOOKUP(B1215,SERVIÇOS!B:E,3,0))</f>
        <v>Fornecimento e plantio de Persea pyrifolia (Sin. Persea willdenovii) - Maçaranduba</v>
      </c>
      <c r="E1214" s="526"/>
      <c r="F1214" s="526"/>
      <c r="G1214" s="526"/>
      <c r="H1214" s="526"/>
      <c r="I1214" s="527"/>
      <c r="J1214" s="105" t="s">
        <v>42</v>
      </c>
    </row>
    <row r="1215" spans="1:17" ht="15" x14ac:dyDescent="0.25">
      <c r="A1215" s="230" t="s">
        <v>4715</v>
      </c>
      <c r="B1215" s="230" t="s">
        <v>4925</v>
      </c>
      <c r="C1215" s="106"/>
      <c r="D1215" s="528"/>
      <c r="E1215" s="528"/>
      <c r="F1215" s="528"/>
      <c r="G1215" s="528"/>
      <c r="H1215" s="528"/>
      <c r="I1215" s="529"/>
      <c r="J1215" s="107" t="str">
        <f>IF(B1215="","",VLOOKUP(B1215,SERVIÇOS!B:E,4,0))</f>
        <v>un</v>
      </c>
    </row>
    <row r="1216" spans="1:17" ht="15" x14ac:dyDescent="0.25">
      <c r="A1216" s="530" t="s">
        <v>4397</v>
      </c>
      <c r="B1216" s="531" t="s">
        <v>11</v>
      </c>
      <c r="C1216" s="533" t="s">
        <v>43</v>
      </c>
      <c r="D1216" s="534"/>
      <c r="E1216" s="530" t="s">
        <v>13</v>
      </c>
      <c r="F1216" s="530" t="s">
        <v>44</v>
      </c>
      <c r="G1216" s="538" t="s">
        <v>45</v>
      </c>
      <c r="H1216" s="108" t="s">
        <v>46</v>
      </c>
      <c r="I1216" s="108"/>
      <c r="J1216" s="108"/>
    </row>
    <row r="1217" spans="1:11" ht="15" x14ac:dyDescent="0.25">
      <c r="A1217" s="530"/>
      <c r="B1217" s="532"/>
      <c r="C1217" s="535"/>
      <c r="D1217" s="536"/>
      <c r="E1217" s="537"/>
      <c r="F1217" s="537"/>
      <c r="G1217" s="539"/>
      <c r="H1217" s="108" t="s">
        <v>47</v>
      </c>
      <c r="I1217" s="108" t="s">
        <v>48</v>
      </c>
      <c r="J1217" s="108" t="s">
        <v>49</v>
      </c>
    </row>
    <row r="1218" spans="1:11" ht="15" x14ac:dyDescent="0.25">
      <c r="A1218" s="109" t="s">
        <v>4717</v>
      </c>
      <c r="B1218" s="116" t="s">
        <v>4957</v>
      </c>
      <c r="C1218" s="540" t="str">
        <f>IF(A1218&amp;B1218="","",VLOOKUP(A1218&amp;B1218,INSUMOS!C:G,2,0))</f>
        <v>Fornecimento e plantio de Persea pyrifolia (Sin. Persea willdenovii) - Maçaranduba</v>
      </c>
      <c r="D1218" s="541"/>
      <c r="E1218" s="111" t="str">
        <f>IF(A1218&amp;B1218="","",VLOOKUP(A1218&amp;B1218,INSUMOS!C:G,3,0))</f>
        <v>un</v>
      </c>
      <c r="F1218" s="112">
        <v>1</v>
      </c>
      <c r="G1218" s="113">
        <f>IF(A1218&amp;B1218="","",VLOOKUP(A1218&amp;B1218,INSUMOS!C:G,4,0))</f>
        <v>184.63</v>
      </c>
      <c r="H1218" s="114" t="str">
        <f>IF(K1218="MO",TRUNC(F1218*G1218,2),"")</f>
        <v/>
      </c>
      <c r="I1218" s="114">
        <f>IF(K1218="MT",TRUNC(F1218*G1218,2),"")</f>
        <v>184.63</v>
      </c>
      <c r="J1218" s="115" t="str">
        <f>IF(K1218="EQ",TRUNC(F1218*G1218,2),"")</f>
        <v/>
      </c>
      <c r="K1218" s="102" t="str">
        <f>IF(A1218&amp;B1218="","",VLOOKUP(A1218&amp;B1218,INSUMOS!C:G,5,0))</f>
        <v>MT</v>
      </c>
    </row>
    <row r="1219" spans="1:11" ht="15" x14ac:dyDescent="0.25">
      <c r="A1219" s="109" t="s">
        <v>4398</v>
      </c>
      <c r="B1219" s="116">
        <v>10101</v>
      </c>
      <c r="C1219" s="518" t="str">
        <f>IF(A1219&amp;B1219="","",VLOOKUP(A1219&amp;B1219,INSUMOS!C:G,2,0))</f>
        <v>Ajudante geral</v>
      </c>
      <c r="D1219" s="519"/>
      <c r="E1219" s="117" t="str">
        <f>IF(A1219&amp;B1219="","",VLOOKUP(A1219&amp;B1219,INSUMOS!C:G,3,0))</f>
        <v>h</v>
      </c>
      <c r="F1219" s="118">
        <v>1</v>
      </c>
      <c r="G1219" s="113">
        <f>IF(A1219&amp;B1219="","",VLOOKUP(A1219&amp;B1219,INSUMOS!C:G,4,0))</f>
        <v>11.238228999999999</v>
      </c>
      <c r="H1219" s="119">
        <f t="shared" ref="H1219:H1230" si="195">IF(K1219="MO",TRUNC(F1219*G1219,2),"")</f>
        <v>11.23</v>
      </c>
      <c r="I1219" s="119" t="str">
        <f t="shared" ref="I1219:I1230" si="196">IF(K1219="MT",TRUNC(F1219*G1219,2),"")</f>
        <v/>
      </c>
      <c r="J1219" s="115" t="str">
        <f t="shared" ref="J1219:J1230" si="197">IF(K1219="EQ",TRUNC(F1219*G1219,2),"")</f>
        <v/>
      </c>
      <c r="K1219" s="102" t="str">
        <f>IF(A1219&amp;B1219="","",VLOOKUP(A1219&amp;B1219,INSUMOS!C:G,5,0))</f>
        <v>MO</v>
      </c>
    </row>
    <row r="1220" spans="1:11" ht="15" x14ac:dyDescent="0.25">
      <c r="A1220" s="109" t="s">
        <v>4398</v>
      </c>
      <c r="B1220" s="116">
        <v>10126</v>
      </c>
      <c r="C1220" s="518" t="str">
        <f>IF(A1220&amp;B1220="","",VLOOKUP(A1220&amp;B1220,INSUMOS!C:G,2,0))</f>
        <v>Jardineiro</v>
      </c>
      <c r="D1220" s="519"/>
      <c r="E1220" s="117" t="str">
        <f>IF(A1220&amp;B1220="","",VLOOKUP(A1220&amp;B1220,INSUMOS!C:G,3,0))</f>
        <v>h</v>
      </c>
      <c r="F1220" s="118">
        <v>0.5</v>
      </c>
      <c r="G1220" s="113">
        <f>IF(A1220&amp;B1220="","",VLOOKUP(A1220&amp;B1220,INSUMOS!C:G,4,0))</f>
        <v>12.07574</v>
      </c>
      <c r="H1220" s="119">
        <f t="shared" si="195"/>
        <v>6.03</v>
      </c>
      <c r="I1220" s="119" t="str">
        <f t="shared" si="196"/>
        <v/>
      </c>
      <c r="J1220" s="115" t="str">
        <f t="shared" si="197"/>
        <v/>
      </c>
      <c r="K1220" s="102" t="str">
        <f>IF(A1220&amp;B1220="","",VLOOKUP(A1220&amp;B1220,INSUMOS!C:G,5,0))</f>
        <v>MO</v>
      </c>
    </row>
    <row r="1221" spans="1:11" ht="15" x14ac:dyDescent="0.25">
      <c r="A1221" s="109" t="s">
        <v>4398</v>
      </c>
      <c r="B1221" s="116">
        <v>38511</v>
      </c>
      <c r="C1221" s="518" t="str">
        <f>IF(A1221&amp;B1221="","",VLOOKUP(A1221&amp;B1221,INSUMOS!C:G,2,0))</f>
        <v>Terra vegetal orgânica comum</v>
      </c>
      <c r="D1221" s="519"/>
      <c r="E1221" s="117" t="str">
        <f>IF(A1221&amp;B1221="","",VLOOKUP(A1221&amp;B1221,INSUMOS!C:G,3,0))</f>
        <v>m³</v>
      </c>
      <c r="F1221" s="118">
        <v>0.1</v>
      </c>
      <c r="G1221" s="113">
        <f>IF(A1221&amp;B1221="","",VLOOKUP(A1221&amp;B1221,INSUMOS!C:G,4,0))</f>
        <v>92.46</v>
      </c>
      <c r="H1221" s="119" t="str">
        <f t="shared" si="195"/>
        <v/>
      </c>
      <c r="I1221" s="119">
        <f t="shared" si="196"/>
        <v>9.24</v>
      </c>
      <c r="J1221" s="115" t="str">
        <f t="shared" si="197"/>
        <v/>
      </c>
      <c r="K1221" s="102" t="str">
        <f>IF(A1221&amp;B1221="","",VLOOKUP(A1221&amp;B1221,INSUMOS!C:G,5,0))</f>
        <v>MT</v>
      </c>
    </row>
    <row r="1222" spans="1:11" ht="15" x14ac:dyDescent="0.25">
      <c r="A1222" s="109"/>
      <c r="B1222" s="116"/>
      <c r="C1222" s="518" t="str">
        <f>IF(A1222&amp;B1222="","",VLOOKUP(A1222&amp;B1222,INSUMOS!C:G,2,0))</f>
        <v/>
      </c>
      <c r="D1222" s="519"/>
      <c r="E1222" s="117" t="str">
        <f>IF(A1222&amp;B1222="","",VLOOKUP(A1222&amp;B1222,INSUMOS!C:G,3,0))</f>
        <v/>
      </c>
      <c r="F1222" s="118"/>
      <c r="G1222" s="113" t="str">
        <f>IF(A1222&amp;B1222="","",VLOOKUP(A1222&amp;B1222,INSUMOS!C:G,4,0))</f>
        <v/>
      </c>
      <c r="H1222" s="119" t="str">
        <f t="shared" si="195"/>
        <v/>
      </c>
      <c r="I1222" s="119" t="str">
        <f t="shared" si="196"/>
        <v/>
      </c>
      <c r="J1222" s="115" t="str">
        <f t="shared" si="197"/>
        <v/>
      </c>
      <c r="K1222" s="102" t="str">
        <f>IF(A1222&amp;B1222="","",VLOOKUP(A1222&amp;B1222,INSUMOS!C:G,5,0))</f>
        <v/>
      </c>
    </row>
    <row r="1223" spans="1:11" ht="15" x14ac:dyDescent="0.25">
      <c r="A1223" s="109"/>
      <c r="B1223" s="116"/>
      <c r="C1223" s="518" t="str">
        <f>IF(A1223&amp;B1223="","",VLOOKUP(A1223&amp;B1223,INSUMOS!C:G,2,0))</f>
        <v/>
      </c>
      <c r="D1223" s="519"/>
      <c r="E1223" s="117" t="str">
        <f>IF(A1223&amp;B1223="","",VLOOKUP(A1223&amp;B1223,INSUMOS!C:G,3,0))</f>
        <v/>
      </c>
      <c r="F1223" s="118"/>
      <c r="G1223" s="113" t="str">
        <f>IF(A1223&amp;B1223="","",VLOOKUP(A1223&amp;B1223,INSUMOS!C:G,4,0))</f>
        <v/>
      </c>
      <c r="H1223" s="119" t="str">
        <f t="shared" si="195"/>
        <v/>
      </c>
      <c r="I1223" s="119" t="str">
        <f t="shared" si="196"/>
        <v/>
      </c>
      <c r="J1223" s="115" t="str">
        <f t="shared" si="197"/>
        <v/>
      </c>
      <c r="K1223" s="102" t="str">
        <f>IF(A1223&amp;B1223="","",VLOOKUP(A1223&amp;B1223,INSUMOS!C:G,5,0))</f>
        <v/>
      </c>
    </row>
    <row r="1224" spans="1:11" ht="15" x14ac:dyDescent="0.25">
      <c r="A1224" s="109"/>
      <c r="B1224" s="116"/>
      <c r="C1224" s="518" t="str">
        <f>IF(A1224&amp;B1224="","",VLOOKUP(A1224&amp;B1224,INSUMOS!C:G,2,0))</f>
        <v/>
      </c>
      <c r="D1224" s="519"/>
      <c r="E1224" s="117" t="str">
        <f>IF(A1224&amp;B1224="","",VLOOKUP(A1224&amp;B1224,INSUMOS!C:G,3,0))</f>
        <v/>
      </c>
      <c r="F1224" s="118"/>
      <c r="G1224" s="113" t="str">
        <f>IF(A1224&amp;B1224="","",VLOOKUP(A1224&amp;B1224,INSUMOS!C:G,4,0))</f>
        <v/>
      </c>
      <c r="H1224" s="119" t="str">
        <f t="shared" si="195"/>
        <v/>
      </c>
      <c r="I1224" s="119" t="str">
        <f t="shared" si="196"/>
        <v/>
      </c>
      <c r="J1224" s="115" t="str">
        <f t="shared" si="197"/>
        <v/>
      </c>
      <c r="K1224" s="102" t="str">
        <f>IF(A1224&amp;B1224="","",VLOOKUP(A1224&amp;B1224,INSUMOS!C:G,5,0))</f>
        <v/>
      </c>
    </row>
    <row r="1225" spans="1:11" ht="15" x14ac:dyDescent="0.25">
      <c r="A1225" s="109"/>
      <c r="B1225" s="116"/>
      <c r="C1225" s="518" t="str">
        <f>IF(A1225&amp;B1225="","",VLOOKUP(A1225&amp;B1225,INSUMOS!C:G,2,0))</f>
        <v/>
      </c>
      <c r="D1225" s="519"/>
      <c r="E1225" s="117" t="str">
        <f>IF(A1225&amp;B1225="","",VLOOKUP(A1225&amp;B1225,INSUMOS!C:G,3,0))</f>
        <v/>
      </c>
      <c r="F1225" s="118"/>
      <c r="G1225" s="113" t="str">
        <f>IF(A1225&amp;B1225="","",VLOOKUP(A1225&amp;B1225,INSUMOS!C:G,4,0))</f>
        <v/>
      </c>
      <c r="H1225" s="119" t="str">
        <f t="shared" si="195"/>
        <v/>
      </c>
      <c r="I1225" s="119" t="str">
        <f t="shared" si="196"/>
        <v/>
      </c>
      <c r="J1225" s="115" t="str">
        <f t="shared" si="197"/>
        <v/>
      </c>
      <c r="K1225" s="102" t="str">
        <f>IF(A1225&amp;B1225="","",VLOOKUP(A1225&amp;B1225,INSUMOS!C:G,5,0))</f>
        <v/>
      </c>
    </row>
    <row r="1226" spans="1:11" ht="15" x14ac:dyDescent="0.25">
      <c r="A1226" s="109"/>
      <c r="B1226" s="116"/>
      <c r="C1226" s="518" t="str">
        <f>IF(A1226&amp;B1226="","",VLOOKUP(A1226&amp;B1226,INSUMOS!C:G,2,0))</f>
        <v/>
      </c>
      <c r="D1226" s="519"/>
      <c r="E1226" s="117" t="str">
        <f>IF(A1226&amp;B1226="","",VLOOKUP(A1226&amp;B1226,INSUMOS!C:G,3,0))</f>
        <v/>
      </c>
      <c r="F1226" s="118"/>
      <c r="G1226" s="113" t="str">
        <f>IF(A1226&amp;B1226="","",VLOOKUP(A1226&amp;B1226,INSUMOS!C:G,4,0))</f>
        <v/>
      </c>
      <c r="H1226" s="119" t="str">
        <f t="shared" si="195"/>
        <v/>
      </c>
      <c r="I1226" s="119" t="str">
        <f t="shared" si="196"/>
        <v/>
      </c>
      <c r="J1226" s="115" t="str">
        <f t="shared" si="197"/>
        <v/>
      </c>
      <c r="K1226" s="102" t="str">
        <f>IF(A1226&amp;B1226="","",VLOOKUP(A1226&amp;B1226,INSUMOS!C:G,5,0))</f>
        <v/>
      </c>
    </row>
    <row r="1227" spans="1:11" ht="15" x14ac:dyDescent="0.25">
      <c r="A1227" s="109"/>
      <c r="B1227" s="116"/>
      <c r="C1227" s="518" t="str">
        <f>IF(A1227&amp;B1227="","",VLOOKUP(A1227&amp;B1227,INSUMOS!C:G,2,0))</f>
        <v/>
      </c>
      <c r="D1227" s="519"/>
      <c r="E1227" s="117" t="str">
        <f>IF(A1227&amp;B1227="","",VLOOKUP(A1227&amp;B1227,INSUMOS!C:G,3,0))</f>
        <v/>
      </c>
      <c r="F1227" s="118"/>
      <c r="G1227" s="113" t="str">
        <f>IF(A1227&amp;B1227="","",VLOOKUP(A1227&amp;B1227,INSUMOS!C:G,4,0))</f>
        <v/>
      </c>
      <c r="H1227" s="119" t="str">
        <f t="shared" si="195"/>
        <v/>
      </c>
      <c r="I1227" s="119" t="str">
        <f t="shared" si="196"/>
        <v/>
      </c>
      <c r="J1227" s="115" t="str">
        <f t="shared" si="197"/>
        <v/>
      </c>
      <c r="K1227" s="102" t="str">
        <f>IF(A1227&amp;B1227="","",VLOOKUP(A1227&amp;B1227,INSUMOS!C:G,5,0))</f>
        <v/>
      </c>
    </row>
    <row r="1228" spans="1:11" ht="15" x14ac:dyDescent="0.25">
      <c r="A1228" s="120"/>
      <c r="B1228" s="121"/>
      <c r="C1228" s="518" t="str">
        <f>IF(A1228&amp;B1228="","",VLOOKUP(A1228&amp;B1228,INSUMOS!C:G,2,0))</f>
        <v/>
      </c>
      <c r="D1228" s="519"/>
      <c r="E1228" s="117" t="str">
        <f>IF(A1228&amp;B1228="","",VLOOKUP(A1228&amp;B1228,INSUMOS!C:G,3,0))</f>
        <v/>
      </c>
      <c r="F1228" s="118"/>
      <c r="G1228" s="122" t="str">
        <f>IF(A1228&amp;B1228="","",VLOOKUP(A1228&amp;B1228,INSUMOS!C:G,4,0))</f>
        <v/>
      </c>
      <c r="H1228" s="119" t="str">
        <f t="shared" si="195"/>
        <v/>
      </c>
      <c r="I1228" s="119" t="str">
        <f t="shared" si="196"/>
        <v/>
      </c>
      <c r="J1228" s="115" t="str">
        <f t="shared" si="197"/>
        <v/>
      </c>
      <c r="K1228" s="102" t="str">
        <f>IF(A1228&amp;B1228="","",VLOOKUP(A1228&amp;B1228,INSUMOS!C:G,5,0))</f>
        <v/>
      </c>
    </row>
    <row r="1229" spans="1:11" ht="15" x14ac:dyDescent="0.25">
      <c r="A1229" s="120"/>
      <c r="B1229" s="121"/>
      <c r="C1229" s="518" t="str">
        <f>IF(A1229&amp;B1229="","",VLOOKUP(A1229&amp;B1229,INSUMOS!C:G,2,0))</f>
        <v/>
      </c>
      <c r="D1229" s="519"/>
      <c r="E1229" s="117" t="str">
        <f>IF(A1229&amp;B1229="","",VLOOKUP(A1229&amp;B1229,INSUMOS!C:G,3,0))</f>
        <v/>
      </c>
      <c r="F1229" s="118"/>
      <c r="G1229" s="122" t="str">
        <f>IF(A1229&amp;B1229="","",VLOOKUP(A1229&amp;B1229,INSUMOS!C:G,4,0))</f>
        <v/>
      </c>
      <c r="H1229" s="119" t="str">
        <f t="shared" si="195"/>
        <v/>
      </c>
      <c r="I1229" s="119" t="str">
        <f t="shared" si="196"/>
        <v/>
      </c>
      <c r="J1229" s="115" t="str">
        <f t="shared" si="197"/>
        <v/>
      </c>
      <c r="K1229" s="102" t="str">
        <f>IF(A1229&amp;B1229="","",VLOOKUP(A1229&amp;B1229,INSUMOS!C:G,5,0))</f>
        <v/>
      </c>
    </row>
    <row r="1230" spans="1:11" ht="15" x14ac:dyDescent="0.25">
      <c r="A1230" s="120"/>
      <c r="B1230" s="121"/>
      <c r="C1230" s="518" t="str">
        <f>IF(A1230&amp;B1230="","",VLOOKUP(A1230&amp;B1230,INSUMOS!C:G,2,0))</f>
        <v/>
      </c>
      <c r="D1230" s="519"/>
      <c r="E1230" s="117" t="str">
        <f>IF(A1230&amp;B1230="","",VLOOKUP(A1230&amp;B1230,INSUMOS!C:G,3,0))</f>
        <v/>
      </c>
      <c r="F1230" s="118"/>
      <c r="G1230" s="122" t="str">
        <f>IF(A1230&amp;B1230="","",VLOOKUP(A1230&amp;B1230,INSUMOS!C:G,4,0))</f>
        <v/>
      </c>
      <c r="H1230" s="119" t="str">
        <f t="shared" si="195"/>
        <v/>
      </c>
      <c r="I1230" s="119" t="str">
        <f t="shared" si="196"/>
        <v/>
      </c>
      <c r="J1230" s="115" t="str">
        <f t="shared" si="197"/>
        <v/>
      </c>
      <c r="K1230" s="102" t="str">
        <f>IF(A1230&amp;B1230="","",VLOOKUP(A1230&amp;B1230,INSUMOS!C:G,5,0))</f>
        <v/>
      </c>
    </row>
    <row r="1231" spans="1:11" ht="15" x14ac:dyDescent="0.25">
      <c r="A1231" s="123" t="s">
        <v>4399</v>
      </c>
      <c r="B1231" s="520"/>
      <c r="C1231" s="520"/>
      <c r="D1231" s="520"/>
      <c r="E1231" s="520"/>
      <c r="F1231" s="521"/>
      <c r="G1231" s="124" t="s">
        <v>50</v>
      </c>
      <c r="H1231" s="125">
        <f>SUM(H1218:H1230)</f>
        <v>17.260000000000002</v>
      </c>
      <c r="I1231" s="125">
        <f>SUM(I1218:I1230)</f>
        <v>193.87</v>
      </c>
      <c r="J1231" s="126">
        <f>SUM(J1218:J1230)</f>
        <v>0</v>
      </c>
    </row>
    <row r="1232" spans="1:11" ht="15" x14ac:dyDescent="0.25">
      <c r="A1232" s="127" t="s">
        <v>4400</v>
      </c>
      <c r="B1232" s="128"/>
      <c r="C1232" s="128"/>
      <c r="D1232" s="127" t="s">
        <v>51</v>
      </c>
      <c r="E1232" s="128"/>
      <c r="F1232" s="129"/>
      <c r="G1232" s="130" t="s">
        <v>55</v>
      </c>
      <c r="H1232" s="131" t="s">
        <v>52</v>
      </c>
      <c r="I1232" s="132"/>
      <c r="J1232" s="125">
        <f>SUM(H1231:J1231)</f>
        <v>211.13</v>
      </c>
    </row>
    <row r="1233" spans="1:17" ht="15" x14ac:dyDescent="0.25">
      <c r="A1233" s="313" t="str">
        <f>$I$3</f>
        <v>Carlos Wieck</v>
      </c>
      <c r="B1233" s="133"/>
      <c r="C1233" s="133"/>
      <c r="D1233" s="134"/>
      <c r="E1233" s="133"/>
      <c r="F1233" s="135"/>
      <c r="G1233" s="522">
        <f>$J$5</f>
        <v>43040</v>
      </c>
      <c r="H1233" s="136" t="s">
        <v>53</v>
      </c>
      <c r="I1233" s="137"/>
      <c r="J1233" s="125">
        <f>TRUNC(I1233*J1232,2)</f>
        <v>0</v>
      </c>
    </row>
    <row r="1234" spans="1:17" ht="15" x14ac:dyDescent="0.25">
      <c r="A1234" s="138"/>
      <c r="B1234" s="139"/>
      <c r="C1234" s="139"/>
      <c r="D1234" s="138"/>
      <c r="E1234" s="139"/>
      <c r="F1234" s="140"/>
      <c r="G1234" s="523"/>
      <c r="H1234" s="141" t="s">
        <v>54</v>
      </c>
      <c r="I1234" s="142"/>
      <c r="J1234" s="143">
        <f>J1233+J1232</f>
        <v>211.13</v>
      </c>
      <c r="L1234" s="102" t="str">
        <f>A1215</f>
        <v>COMPOSIÇÃO</v>
      </c>
      <c r="M1234" s="144" t="str">
        <f>B1215</f>
        <v>FF-046</v>
      </c>
      <c r="N1234" s="102" t="str">
        <f>L1234&amp;M1234</f>
        <v>COMPOSIÇÃOFF-046</v>
      </c>
      <c r="O1234" s="103" t="str">
        <f>D1214</f>
        <v>Fornecimento e plantio de Persea pyrifolia (Sin. Persea willdenovii) - Maçaranduba</v>
      </c>
      <c r="P1234" s="145" t="str">
        <f>J1215</f>
        <v>un</v>
      </c>
      <c r="Q1234" s="145">
        <f>J1234</f>
        <v>211.13</v>
      </c>
    </row>
    <row r="1235" spans="1:17" ht="15" customHeight="1" x14ac:dyDescent="0.25">
      <c r="A1235" s="524" t="s">
        <v>40</v>
      </c>
      <c r="B1235" s="525"/>
      <c r="C1235" s="104" t="s">
        <v>41</v>
      </c>
      <c r="D1235" s="526" t="str">
        <f>IF(B1236="","",VLOOKUP(B1236,SERVIÇOS!B:E,3,0))</f>
        <v>Fornecimento e plantio de Aphelandra squarrosa - Afelandra</v>
      </c>
      <c r="E1235" s="526"/>
      <c r="F1235" s="526"/>
      <c r="G1235" s="526"/>
      <c r="H1235" s="526"/>
      <c r="I1235" s="527"/>
      <c r="J1235" s="105" t="s">
        <v>42</v>
      </c>
    </row>
    <row r="1236" spans="1:17" ht="15" x14ac:dyDescent="0.25">
      <c r="A1236" s="230" t="s">
        <v>4715</v>
      </c>
      <c r="B1236" s="230" t="s">
        <v>4926</v>
      </c>
      <c r="C1236" s="106"/>
      <c r="D1236" s="528"/>
      <c r="E1236" s="528"/>
      <c r="F1236" s="528"/>
      <c r="G1236" s="528"/>
      <c r="H1236" s="528"/>
      <c r="I1236" s="529"/>
      <c r="J1236" s="107" t="str">
        <f>IF(B1236="","",VLOOKUP(B1236,SERVIÇOS!B:E,4,0))</f>
        <v>un</v>
      </c>
    </row>
    <row r="1237" spans="1:17" ht="15" x14ac:dyDescent="0.25">
      <c r="A1237" s="530" t="s">
        <v>4397</v>
      </c>
      <c r="B1237" s="531" t="s">
        <v>11</v>
      </c>
      <c r="C1237" s="533" t="s">
        <v>43</v>
      </c>
      <c r="D1237" s="534"/>
      <c r="E1237" s="530" t="s">
        <v>13</v>
      </c>
      <c r="F1237" s="530" t="s">
        <v>44</v>
      </c>
      <c r="G1237" s="538" t="s">
        <v>45</v>
      </c>
      <c r="H1237" s="108" t="s">
        <v>46</v>
      </c>
      <c r="I1237" s="108"/>
      <c r="J1237" s="108"/>
    </row>
    <row r="1238" spans="1:17" ht="15" x14ac:dyDescent="0.25">
      <c r="A1238" s="530"/>
      <c r="B1238" s="532"/>
      <c r="C1238" s="535"/>
      <c r="D1238" s="536"/>
      <c r="E1238" s="537"/>
      <c r="F1238" s="537"/>
      <c r="G1238" s="539"/>
      <c r="H1238" s="108" t="s">
        <v>47</v>
      </c>
      <c r="I1238" s="108" t="s">
        <v>48</v>
      </c>
      <c r="J1238" s="108" t="s">
        <v>49</v>
      </c>
    </row>
    <row r="1239" spans="1:17" ht="15" x14ac:dyDescent="0.25">
      <c r="A1239" s="109" t="s">
        <v>4717</v>
      </c>
      <c r="B1239" s="116" t="s">
        <v>4958</v>
      </c>
      <c r="C1239" s="540" t="str">
        <f>IF(A1239&amp;B1239="","",VLOOKUP(A1239&amp;B1239,INSUMOS!C:G,2,0))</f>
        <v>Fornecimento e plantio de Aphelandra squarrosa - Afelandra</v>
      </c>
      <c r="D1239" s="541"/>
      <c r="E1239" s="111" t="str">
        <f>IF(A1239&amp;B1239="","",VLOOKUP(A1239&amp;B1239,INSUMOS!C:G,3,0))</f>
        <v>un</v>
      </c>
      <c r="F1239" s="112">
        <v>40</v>
      </c>
      <c r="G1239" s="113">
        <f>IF(A1239&amp;B1239="","",VLOOKUP(A1239&amp;B1239,INSUMOS!C:G,4,0))</f>
        <v>15.968</v>
      </c>
      <c r="H1239" s="114" t="str">
        <f>IF(K1239="MO",TRUNC(F1239*G1239,2),"")</f>
        <v/>
      </c>
      <c r="I1239" s="114">
        <f>IF(K1239="MT",TRUNC(F1239*G1239,2),"")</f>
        <v>638.72</v>
      </c>
      <c r="J1239" s="115" t="str">
        <f>IF(K1239="EQ",TRUNC(F1239*G1239,2),"")</f>
        <v/>
      </c>
      <c r="K1239" s="102" t="str">
        <f>IF(A1239&amp;B1239="","",VLOOKUP(A1239&amp;B1239,INSUMOS!C:G,5,0))</f>
        <v>MT</v>
      </c>
    </row>
    <row r="1240" spans="1:17" ht="15" x14ac:dyDescent="0.25">
      <c r="A1240" s="109" t="s">
        <v>4398</v>
      </c>
      <c r="B1240" s="116">
        <v>10101</v>
      </c>
      <c r="C1240" s="518" t="str">
        <f>IF(A1240&amp;B1240="","",VLOOKUP(A1240&amp;B1240,INSUMOS!C:G,2,0))</f>
        <v>Ajudante geral</v>
      </c>
      <c r="D1240" s="519"/>
      <c r="E1240" s="117" t="str">
        <f>IF(A1240&amp;B1240="","",VLOOKUP(A1240&amp;B1240,INSUMOS!C:G,3,0))</f>
        <v>h</v>
      </c>
      <c r="F1240" s="118">
        <v>0.2</v>
      </c>
      <c r="G1240" s="113">
        <f>IF(A1240&amp;B1240="","",VLOOKUP(A1240&amp;B1240,INSUMOS!C:G,4,0))</f>
        <v>11.238228999999999</v>
      </c>
      <c r="H1240" s="119">
        <f t="shared" ref="H1240:H1251" si="198">IF(K1240="MO",TRUNC(F1240*G1240,2),"")</f>
        <v>2.2400000000000002</v>
      </c>
      <c r="I1240" s="119" t="str">
        <f t="shared" ref="I1240:I1251" si="199">IF(K1240="MT",TRUNC(F1240*G1240,2),"")</f>
        <v/>
      </c>
      <c r="J1240" s="115" t="str">
        <f t="shared" ref="J1240:J1251" si="200">IF(K1240="EQ",TRUNC(F1240*G1240,2),"")</f>
        <v/>
      </c>
      <c r="K1240" s="102" t="str">
        <f>IF(A1240&amp;B1240="","",VLOOKUP(A1240&amp;B1240,INSUMOS!C:G,5,0))</f>
        <v>MO</v>
      </c>
    </row>
    <row r="1241" spans="1:17" ht="15" x14ac:dyDescent="0.25">
      <c r="A1241" s="109" t="s">
        <v>4398</v>
      </c>
      <c r="B1241" s="116">
        <v>10126</v>
      </c>
      <c r="C1241" s="518" t="str">
        <f>IF(A1241&amp;B1241="","",VLOOKUP(A1241&amp;B1241,INSUMOS!C:G,2,0))</f>
        <v>Jardineiro</v>
      </c>
      <c r="D1241" s="519"/>
      <c r="E1241" s="117" t="str">
        <f>IF(A1241&amp;B1241="","",VLOOKUP(A1241&amp;B1241,INSUMOS!C:G,3,0))</f>
        <v>h</v>
      </c>
      <c r="F1241" s="118">
        <v>0.1</v>
      </c>
      <c r="G1241" s="113">
        <f>IF(A1241&amp;B1241="","",VLOOKUP(A1241&amp;B1241,INSUMOS!C:G,4,0))</f>
        <v>12.07574</v>
      </c>
      <c r="H1241" s="119">
        <f t="shared" si="198"/>
        <v>1.2</v>
      </c>
      <c r="I1241" s="119" t="str">
        <f t="shared" si="199"/>
        <v/>
      </c>
      <c r="J1241" s="115" t="str">
        <f t="shared" si="200"/>
        <v/>
      </c>
      <c r="K1241" s="102" t="str">
        <f>IF(A1241&amp;B1241="","",VLOOKUP(A1241&amp;B1241,INSUMOS!C:G,5,0))</f>
        <v>MO</v>
      </c>
    </row>
    <row r="1242" spans="1:17" ht="15" x14ac:dyDescent="0.25">
      <c r="A1242" s="109" t="s">
        <v>4398</v>
      </c>
      <c r="B1242" s="116">
        <v>38511</v>
      </c>
      <c r="C1242" s="518" t="str">
        <f>IF(A1242&amp;B1242="","",VLOOKUP(A1242&amp;B1242,INSUMOS!C:G,2,0))</f>
        <v>Terra vegetal orgânica comum</v>
      </c>
      <c r="D1242" s="519"/>
      <c r="E1242" s="117" t="str">
        <f>IF(A1242&amp;B1242="","",VLOOKUP(A1242&amp;B1242,INSUMOS!C:G,3,0))</f>
        <v>m³</v>
      </c>
      <c r="F1242" s="118">
        <v>0.05</v>
      </c>
      <c r="G1242" s="113">
        <f>IF(A1242&amp;B1242="","",VLOOKUP(A1242&amp;B1242,INSUMOS!C:G,4,0))</f>
        <v>92.46</v>
      </c>
      <c r="H1242" s="119" t="str">
        <f t="shared" si="198"/>
        <v/>
      </c>
      <c r="I1242" s="119">
        <f t="shared" si="199"/>
        <v>4.62</v>
      </c>
      <c r="J1242" s="115" t="str">
        <f t="shared" si="200"/>
        <v/>
      </c>
      <c r="K1242" s="102" t="str">
        <f>IF(A1242&amp;B1242="","",VLOOKUP(A1242&amp;B1242,INSUMOS!C:G,5,0))</f>
        <v>MT</v>
      </c>
    </row>
    <row r="1243" spans="1:17" ht="15" x14ac:dyDescent="0.25">
      <c r="A1243" s="109"/>
      <c r="B1243" s="116"/>
      <c r="C1243" s="518" t="str">
        <f>IF(A1243&amp;B1243="","",VLOOKUP(A1243&amp;B1243,INSUMOS!C:G,2,0))</f>
        <v/>
      </c>
      <c r="D1243" s="519"/>
      <c r="E1243" s="117" t="str">
        <f>IF(A1243&amp;B1243="","",VLOOKUP(A1243&amp;B1243,INSUMOS!C:G,3,0))</f>
        <v/>
      </c>
      <c r="F1243" s="118"/>
      <c r="G1243" s="113" t="str">
        <f>IF(A1243&amp;B1243="","",VLOOKUP(A1243&amp;B1243,INSUMOS!C:G,4,0))</f>
        <v/>
      </c>
      <c r="H1243" s="119" t="str">
        <f t="shared" si="198"/>
        <v/>
      </c>
      <c r="I1243" s="119" t="str">
        <f t="shared" si="199"/>
        <v/>
      </c>
      <c r="J1243" s="115" t="str">
        <f t="shared" si="200"/>
        <v/>
      </c>
      <c r="K1243" s="102" t="str">
        <f>IF(A1243&amp;B1243="","",VLOOKUP(A1243&amp;B1243,INSUMOS!C:G,5,0))</f>
        <v/>
      </c>
    </row>
    <row r="1244" spans="1:17" ht="15" x14ac:dyDescent="0.25">
      <c r="A1244" s="109"/>
      <c r="B1244" s="116"/>
      <c r="C1244" s="518" t="str">
        <f>IF(A1244&amp;B1244="","",VLOOKUP(A1244&amp;B1244,INSUMOS!C:G,2,0))</f>
        <v/>
      </c>
      <c r="D1244" s="519"/>
      <c r="E1244" s="117" t="str">
        <f>IF(A1244&amp;B1244="","",VLOOKUP(A1244&amp;B1244,INSUMOS!C:G,3,0))</f>
        <v/>
      </c>
      <c r="F1244" s="118"/>
      <c r="G1244" s="113" t="str">
        <f>IF(A1244&amp;B1244="","",VLOOKUP(A1244&amp;B1244,INSUMOS!C:G,4,0))</f>
        <v/>
      </c>
      <c r="H1244" s="119" t="str">
        <f t="shared" si="198"/>
        <v/>
      </c>
      <c r="I1244" s="119" t="str">
        <f t="shared" si="199"/>
        <v/>
      </c>
      <c r="J1244" s="115" t="str">
        <f t="shared" si="200"/>
        <v/>
      </c>
      <c r="K1244" s="102" t="str">
        <f>IF(A1244&amp;B1244="","",VLOOKUP(A1244&amp;B1244,INSUMOS!C:G,5,0))</f>
        <v/>
      </c>
    </row>
    <row r="1245" spans="1:17" ht="15" x14ac:dyDescent="0.25">
      <c r="A1245" s="109"/>
      <c r="B1245" s="116"/>
      <c r="C1245" s="518" t="str">
        <f>IF(A1245&amp;B1245="","",VLOOKUP(A1245&amp;B1245,INSUMOS!C:G,2,0))</f>
        <v/>
      </c>
      <c r="D1245" s="519"/>
      <c r="E1245" s="117" t="str">
        <f>IF(A1245&amp;B1245="","",VLOOKUP(A1245&amp;B1245,INSUMOS!C:G,3,0))</f>
        <v/>
      </c>
      <c r="F1245" s="118"/>
      <c r="G1245" s="113" t="str">
        <f>IF(A1245&amp;B1245="","",VLOOKUP(A1245&amp;B1245,INSUMOS!C:G,4,0))</f>
        <v/>
      </c>
      <c r="H1245" s="119" t="str">
        <f t="shared" si="198"/>
        <v/>
      </c>
      <c r="I1245" s="119" t="str">
        <f t="shared" si="199"/>
        <v/>
      </c>
      <c r="J1245" s="115" t="str">
        <f t="shared" si="200"/>
        <v/>
      </c>
      <c r="K1245" s="102" t="str">
        <f>IF(A1245&amp;B1245="","",VLOOKUP(A1245&amp;B1245,INSUMOS!C:G,5,0))</f>
        <v/>
      </c>
    </row>
    <row r="1246" spans="1:17" ht="15" x14ac:dyDescent="0.25">
      <c r="A1246" s="109"/>
      <c r="B1246" s="116"/>
      <c r="C1246" s="518" t="str">
        <f>IF(A1246&amp;B1246="","",VLOOKUP(A1246&amp;B1246,INSUMOS!C:G,2,0))</f>
        <v/>
      </c>
      <c r="D1246" s="519"/>
      <c r="E1246" s="117" t="str">
        <f>IF(A1246&amp;B1246="","",VLOOKUP(A1246&amp;B1246,INSUMOS!C:G,3,0))</f>
        <v/>
      </c>
      <c r="F1246" s="118"/>
      <c r="G1246" s="113" t="str">
        <f>IF(A1246&amp;B1246="","",VLOOKUP(A1246&amp;B1246,INSUMOS!C:G,4,0))</f>
        <v/>
      </c>
      <c r="H1246" s="119" t="str">
        <f t="shared" si="198"/>
        <v/>
      </c>
      <c r="I1246" s="119" t="str">
        <f t="shared" si="199"/>
        <v/>
      </c>
      <c r="J1246" s="115" t="str">
        <f t="shared" si="200"/>
        <v/>
      </c>
      <c r="K1246" s="102" t="str">
        <f>IF(A1246&amp;B1246="","",VLOOKUP(A1246&amp;B1246,INSUMOS!C:G,5,0))</f>
        <v/>
      </c>
    </row>
    <row r="1247" spans="1:17" ht="15" x14ac:dyDescent="0.25">
      <c r="A1247" s="109"/>
      <c r="B1247" s="116"/>
      <c r="C1247" s="518" t="str">
        <f>IF(A1247&amp;B1247="","",VLOOKUP(A1247&amp;B1247,INSUMOS!C:G,2,0))</f>
        <v/>
      </c>
      <c r="D1247" s="519"/>
      <c r="E1247" s="117" t="str">
        <f>IF(A1247&amp;B1247="","",VLOOKUP(A1247&amp;B1247,INSUMOS!C:G,3,0))</f>
        <v/>
      </c>
      <c r="F1247" s="118"/>
      <c r="G1247" s="113" t="str">
        <f>IF(A1247&amp;B1247="","",VLOOKUP(A1247&amp;B1247,INSUMOS!C:G,4,0))</f>
        <v/>
      </c>
      <c r="H1247" s="119" t="str">
        <f t="shared" si="198"/>
        <v/>
      </c>
      <c r="I1247" s="119" t="str">
        <f t="shared" si="199"/>
        <v/>
      </c>
      <c r="J1247" s="115" t="str">
        <f t="shared" si="200"/>
        <v/>
      </c>
      <c r="K1247" s="102" t="str">
        <f>IF(A1247&amp;B1247="","",VLOOKUP(A1247&amp;B1247,INSUMOS!C:G,5,0))</f>
        <v/>
      </c>
    </row>
    <row r="1248" spans="1:17" ht="15" x14ac:dyDescent="0.25">
      <c r="A1248" s="109"/>
      <c r="B1248" s="116"/>
      <c r="C1248" s="518" t="str">
        <f>IF(A1248&amp;B1248="","",VLOOKUP(A1248&amp;B1248,INSUMOS!C:G,2,0))</f>
        <v/>
      </c>
      <c r="D1248" s="519"/>
      <c r="E1248" s="117" t="str">
        <f>IF(A1248&amp;B1248="","",VLOOKUP(A1248&amp;B1248,INSUMOS!C:G,3,0))</f>
        <v/>
      </c>
      <c r="F1248" s="118"/>
      <c r="G1248" s="113" t="str">
        <f>IF(A1248&amp;B1248="","",VLOOKUP(A1248&amp;B1248,INSUMOS!C:G,4,0))</f>
        <v/>
      </c>
      <c r="H1248" s="119" t="str">
        <f t="shared" si="198"/>
        <v/>
      </c>
      <c r="I1248" s="119" t="str">
        <f t="shared" si="199"/>
        <v/>
      </c>
      <c r="J1248" s="115" t="str">
        <f t="shared" si="200"/>
        <v/>
      </c>
      <c r="K1248" s="102" t="str">
        <f>IF(A1248&amp;B1248="","",VLOOKUP(A1248&amp;B1248,INSUMOS!C:G,5,0))</f>
        <v/>
      </c>
    </row>
    <row r="1249" spans="1:17" ht="15" x14ac:dyDescent="0.25">
      <c r="A1249" s="120"/>
      <c r="B1249" s="121"/>
      <c r="C1249" s="518" t="str">
        <f>IF(A1249&amp;B1249="","",VLOOKUP(A1249&amp;B1249,INSUMOS!C:G,2,0))</f>
        <v/>
      </c>
      <c r="D1249" s="519"/>
      <c r="E1249" s="117" t="str">
        <f>IF(A1249&amp;B1249="","",VLOOKUP(A1249&amp;B1249,INSUMOS!C:G,3,0))</f>
        <v/>
      </c>
      <c r="F1249" s="118"/>
      <c r="G1249" s="122" t="str">
        <f>IF(A1249&amp;B1249="","",VLOOKUP(A1249&amp;B1249,INSUMOS!C:G,4,0))</f>
        <v/>
      </c>
      <c r="H1249" s="119" t="str">
        <f t="shared" si="198"/>
        <v/>
      </c>
      <c r="I1249" s="119" t="str">
        <f t="shared" si="199"/>
        <v/>
      </c>
      <c r="J1249" s="115" t="str">
        <f t="shared" si="200"/>
        <v/>
      </c>
      <c r="K1249" s="102" t="str">
        <f>IF(A1249&amp;B1249="","",VLOOKUP(A1249&amp;B1249,INSUMOS!C:G,5,0))</f>
        <v/>
      </c>
    </row>
    <row r="1250" spans="1:17" ht="15" x14ac:dyDescent="0.25">
      <c r="A1250" s="120"/>
      <c r="B1250" s="121"/>
      <c r="C1250" s="518" t="str">
        <f>IF(A1250&amp;B1250="","",VLOOKUP(A1250&amp;B1250,INSUMOS!C:G,2,0))</f>
        <v/>
      </c>
      <c r="D1250" s="519"/>
      <c r="E1250" s="117" t="str">
        <f>IF(A1250&amp;B1250="","",VLOOKUP(A1250&amp;B1250,INSUMOS!C:G,3,0))</f>
        <v/>
      </c>
      <c r="F1250" s="118"/>
      <c r="G1250" s="122" t="str">
        <f>IF(A1250&amp;B1250="","",VLOOKUP(A1250&amp;B1250,INSUMOS!C:G,4,0))</f>
        <v/>
      </c>
      <c r="H1250" s="119" t="str">
        <f t="shared" si="198"/>
        <v/>
      </c>
      <c r="I1250" s="119" t="str">
        <f t="shared" si="199"/>
        <v/>
      </c>
      <c r="J1250" s="115" t="str">
        <f t="shared" si="200"/>
        <v/>
      </c>
      <c r="K1250" s="102" t="str">
        <f>IF(A1250&amp;B1250="","",VLOOKUP(A1250&amp;B1250,INSUMOS!C:G,5,0))</f>
        <v/>
      </c>
    </row>
    <row r="1251" spans="1:17" ht="15" x14ac:dyDescent="0.25">
      <c r="A1251" s="120"/>
      <c r="B1251" s="121"/>
      <c r="C1251" s="518" t="str">
        <f>IF(A1251&amp;B1251="","",VLOOKUP(A1251&amp;B1251,INSUMOS!C:G,2,0))</f>
        <v/>
      </c>
      <c r="D1251" s="519"/>
      <c r="E1251" s="117" t="str">
        <f>IF(A1251&amp;B1251="","",VLOOKUP(A1251&amp;B1251,INSUMOS!C:G,3,0))</f>
        <v/>
      </c>
      <c r="F1251" s="118"/>
      <c r="G1251" s="122" t="str">
        <f>IF(A1251&amp;B1251="","",VLOOKUP(A1251&amp;B1251,INSUMOS!C:G,4,0))</f>
        <v/>
      </c>
      <c r="H1251" s="119" t="str">
        <f t="shared" si="198"/>
        <v/>
      </c>
      <c r="I1251" s="119" t="str">
        <f t="shared" si="199"/>
        <v/>
      </c>
      <c r="J1251" s="115" t="str">
        <f t="shared" si="200"/>
        <v/>
      </c>
      <c r="K1251" s="102" t="str">
        <f>IF(A1251&amp;B1251="","",VLOOKUP(A1251&amp;B1251,INSUMOS!C:G,5,0))</f>
        <v/>
      </c>
    </row>
    <row r="1252" spans="1:17" ht="15" x14ac:dyDescent="0.25">
      <c r="A1252" s="123" t="s">
        <v>4399</v>
      </c>
      <c r="B1252" s="520"/>
      <c r="C1252" s="520"/>
      <c r="D1252" s="520"/>
      <c r="E1252" s="520"/>
      <c r="F1252" s="521"/>
      <c r="G1252" s="124" t="s">
        <v>50</v>
      </c>
      <c r="H1252" s="125">
        <f>SUM(H1239:H1251)</f>
        <v>3.4400000000000004</v>
      </c>
      <c r="I1252" s="125">
        <f>SUM(I1239:I1251)</f>
        <v>643.34</v>
      </c>
      <c r="J1252" s="126">
        <f>SUM(J1239:J1251)</f>
        <v>0</v>
      </c>
    </row>
    <row r="1253" spans="1:17" ht="15" x14ac:dyDescent="0.25">
      <c r="A1253" s="127" t="s">
        <v>4400</v>
      </c>
      <c r="B1253" s="128"/>
      <c r="C1253" s="128"/>
      <c r="D1253" s="127" t="s">
        <v>51</v>
      </c>
      <c r="E1253" s="128"/>
      <c r="F1253" s="129"/>
      <c r="G1253" s="130" t="s">
        <v>55</v>
      </c>
      <c r="H1253" s="131" t="s">
        <v>52</v>
      </c>
      <c r="I1253" s="132"/>
      <c r="J1253" s="125">
        <f>SUM(H1252:J1252)</f>
        <v>646.78000000000009</v>
      </c>
    </row>
    <row r="1254" spans="1:17" ht="15" x14ac:dyDescent="0.25">
      <c r="A1254" s="313" t="str">
        <f>$I$3</f>
        <v>Carlos Wieck</v>
      </c>
      <c r="B1254" s="133"/>
      <c r="C1254" s="133"/>
      <c r="D1254" s="134"/>
      <c r="E1254" s="133"/>
      <c r="F1254" s="135"/>
      <c r="G1254" s="522">
        <f>$J$5</f>
        <v>43040</v>
      </c>
      <c r="H1254" s="136" t="s">
        <v>53</v>
      </c>
      <c r="I1254" s="137"/>
      <c r="J1254" s="125">
        <f>TRUNC(I1254*J1253,2)</f>
        <v>0</v>
      </c>
    </row>
    <row r="1255" spans="1:17" ht="15" x14ac:dyDescent="0.25">
      <c r="A1255" s="138"/>
      <c r="B1255" s="139"/>
      <c r="C1255" s="139"/>
      <c r="D1255" s="138"/>
      <c r="E1255" s="139"/>
      <c r="F1255" s="140"/>
      <c r="G1255" s="523"/>
      <c r="H1255" s="141" t="s">
        <v>54</v>
      </c>
      <c r="I1255" s="142"/>
      <c r="J1255" s="143">
        <f>J1254+J1253</f>
        <v>646.78000000000009</v>
      </c>
      <c r="L1255" s="102" t="str">
        <f>A1236</f>
        <v>COMPOSIÇÃO</v>
      </c>
      <c r="M1255" s="144" t="str">
        <f>B1236</f>
        <v>FF-047</v>
      </c>
      <c r="N1255" s="102" t="str">
        <f>L1255&amp;M1255</f>
        <v>COMPOSIÇÃOFF-047</v>
      </c>
      <c r="O1255" s="103" t="str">
        <f>D1235</f>
        <v>Fornecimento e plantio de Aphelandra squarrosa - Afelandra</v>
      </c>
      <c r="P1255" s="145" t="str">
        <f>J1236</f>
        <v>un</v>
      </c>
      <c r="Q1255" s="145">
        <f>J1255</f>
        <v>646.78000000000009</v>
      </c>
    </row>
    <row r="1256" spans="1:17" ht="15" customHeight="1" x14ac:dyDescent="0.25">
      <c r="A1256" s="524" t="s">
        <v>40</v>
      </c>
      <c r="B1256" s="525"/>
      <c r="C1256" s="104" t="s">
        <v>41</v>
      </c>
      <c r="D1256" s="526" t="str">
        <f>IF(B1257="","",VLOOKUP(B1257,SERVIÇOS!B:E,3,0))</f>
        <v>Fornecimento e plantio de Blechnum brasiliense - Samambaiaçu do brejo</v>
      </c>
      <c r="E1256" s="526"/>
      <c r="F1256" s="526"/>
      <c r="G1256" s="526"/>
      <c r="H1256" s="526"/>
      <c r="I1256" s="527"/>
      <c r="J1256" s="105" t="s">
        <v>42</v>
      </c>
    </row>
    <row r="1257" spans="1:17" ht="15" x14ac:dyDescent="0.25">
      <c r="A1257" s="230" t="s">
        <v>4715</v>
      </c>
      <c r="B1257" s="230" t="s">
        <v>4927</v>
      </c>
      <c r="C1257" s="106"/>
      <c r="D1257" s="528"/>
      <c r="E1257" s="528"/>
      <c r="F1257" s="528"/>
      <c r="G1257" s="528"/>
      <c r="H1257" s="528"/>
      <c r="I1257" s="529"/>
      <c r="J1257" s="107" t="str">
        <f>IF(B1257="","",VLOOKUP(B1257,SERVIÇOS!B:E,4,0))</f>
        <v>un</v>
      </c>
    </row>
    <row r="1258" spans="1:17" ht="15" x14ac:dyDescent="0.25">
      <c r="A1258" s="530" t="s">
        <v>4397</v>
      </c>
      <c r="B1258" s="531" t="s">
        <v>11</v>
      </c>
      <c r="C1258" s="533" t="s">
        <v>43</v>
      </c>
      <c r="D1258" s="534"/>
      <c r="E1258" s="530" t="s">
        <v>13</v>
      </c>
      <c r="F1258" s="530" t="s">
        <v>44</v>
      </c>
      <c r="G1258" s="538" t="s">
        <v>45</v>
      </c>
      <c r="H1258" s="108" t="s">
        <v>46</v>
      </c>
      <c r="I1258" s="108"/>
      <c r="J1258" s="108"/>
    </row>
    <row r="1259" spans="1:17" ht="15" x14ac:dyDescent="0.25">
      <c r="A1259" s="530"/>
      <c r="B1259" s="532"/>
      <c r="C1259" s="535"/>
      <c r="D1259" s="536"/>
      <c r="E1259" s="537"/>
      <c r="F1259" s="537"/>
      <c r="G1259" s="539"/>
      <c r="H1259" s="108" t="s">
        <v>47</v>
      </c>
      <c r="I1259" s="108" t="s">
        <v>48</v>
      </c>
      <c r="J1259" s="108" t="s">
        <v>49</v>
      </c>
    </row>
    <row r="1260" spans="1:17" ht="15" x14ac:dyDescent="0.25">
      <c r="A1260" s="109" t="s">
        <v>4717</v>
      </c>
      <c r="B1260" s="116" t="s">
        <v>4959</v>
      </c>
      <c r="C1260" s="540" t="str">
        <f>IF(A1260&amp;B1260="","",VLOOKUP(A1260&amp;B1260,INSUMOS!C:G,2,0))</f>
        <v>Fornecimento e plantio de Blechnum brasiliense - Samambaiaçu do brejo</v>
      </c>
      <c r="D1260" s="541"/>
      <c r="E1260" s="111" t="str">
        <f>IF(A1260&amp;B1260="","",VLOOKUP(A1260&amp;B1260,INSUMOS!C:G,3,0))</f>
        <v>un</v>
      </c>
      <c r="F1260" s="112">
        <v>1</v>
      </c>
      <c r="G1260" s="113">
        <f>IF(A1260&amp;B1260="","",VLOOKUP(A1260&amp;B1260,INSUMOS!C:G,4,0))</f>
        <v>32.933999999999997</v>
      </c>
      <c r="H1260" s="114" t="str">
        <f>IF(K1260="MO",TRUNC(F1260*G1260,2),"")</f>
        <v/>
      </c>
      <c r="I1260" s="114">
        <f>IF(K1260="MT",TRUNC(F1260*G1260,2),"")</f>
        <v>32.93</v>
      </c>
      <c r="J1260" s="115" t="str">
        <f>IF(K1260="EQ",TRUNC(F1260*G1260,2),"")</f>
        <v/>
      </c>
      <c r="K1260" s="102" t="str">
        <f>IF(A1260&amp;B1260="","",VLOOKUP(A1260&amp;B1260,INSUMOS!C:G,5,0))</f>
        <v>MT</v>
      </c>
    </row>
    <row r="1261" spans="1:17" ht="15" x14ac:dyDescent="0.25">
      <c r="A1261" s="109" t="s">
        <v>4398</v>
      </c>
      <c r="B1261" s="116">
        <v>10101</v>
      </c>
      <c r="C1261" s="518" t="str">
        <f>IF(A1261&amp;B1261="","",VLOOKUP(A1261&amp;B1261,INSUMOS!C:G,2,0))</f>
        <v>Ajudante geral</v>
      </c>
      <c r="D1261" s="519"/>
      <c r="E1261" s="117" t="str">
        <f>IF(A1261&amp;B1261="","",VLOOKUP(A1261&amp;B1261,INSUMOS!C:G,3,0))</f>
        <v>h</v>
      </c>
      <c r="F1261" s="118">
        <v>1</v>
      </c>
      <c r="G1261" s="113">
        <f>IF(A1261&amp;B1261="","",VLOOKUP(A1261&amp;B1261,INSUMOS!C:G,4,0))</f>
        <v>11.238228999999999</v>
      </c>
      <c r="H1261" s="119">
        <f t="shared" ref="H1261:H1272" si="201">IF(K1261="MO",TRUNC(F1261*G1261,2),"")</f>
        <v>11.23</v>
      </c>
      <c r="I1261" s="119" t="str">
        <f t="shared" ref="I1261:I1272" si="202">IF(K1261="MT",TRUNC(F1261*G1261,2),"")</f>
        <v/>
      </c>
      <c r="J1261" s="115" t="str">
        <f t="shared" ref="J1261:J1272" si="203">IF(K1261="EQ",TRUNC(F1261*G1261,2),"")</f>
        <v/>
      </c>
      <c r="K1261" s="102" t="str">
        <f>IF(A1261&amp;B1261="","",VLOOKUP(A1261&amp;B1261,INSUMOS!C:G,5,0))</f>
        <v>MO</v>
      </c>
    </row>
    <row r="1262" spans="1:17" ht="15" x14ac:dyDescent="0.25">
      <c r="A1262" s="109" t="s">
        <v>4398</v>
      </c>
      <c r="B1262" s="116">
        <v>10126</v>
      </c>
      <c r="C1262" s="518" t="str">
        <f>IF(A1262&amp;B1262="","",VLOOKUP(A1262&amp;B1262,INSUMOS!C:G,2,0))</f>
        <v>Jardineiro</v>
      </c>
      <c r="D1262" s="519"/>
      <c r="E1262" s="117" t="str">
        <f>IF(A1262&amp;B1262="","",VLOOKUP(A1262&amp;B1262,INSUMOS!C:G,3,0))</f>
        <v>h</v>
      </c>
      <c r="F1262" s="118">
        <v>0.5</v>
      </c>
      <c r="G1262" s="113">
        <f>IF(A1262&amp;B1262="","",VLOOKUP(A1262&amp;B1262,INSUMOS!C:G,4,0))</f>
        <v>12.07574</v>
      </c>
      <c r="H1262" s="119">
        <f t="shared" si="201"/>
        <v>6.03</v>
      </c>
      <c r="I1262" s="119" t="str">
        <f t="shared" si="202"/>
        <v/>
      </c>
      <c r="J1262" s="115" t="str">
        <f t="shared" si="203"/>
        <v/>
      </c>
      <c r="K1262" s="102" t="str">
        <f>IF(A1262&amp;B1262="","",VLOOKUP(A1262&amp;B1262,INSUMOS!C:G,5,0))</f>
        <v>MO</v>
      </c>
    </row>
    <row r="1263" spans="1:17" ht="15" x14ac:dyDescent="0.25">
      <c r="A1263" s="109" t="s">
        <v>4398</v>
      </c>
      <c r="B1263" s="116">
        <v>38511</v>
      </c>
      <c r="C1263" s="518" t="str">
        <f>IF(A1263&amp;B1263="","",VLOOKUP(A1263&amp;B1263,INSUMOS!C:G,2,0))</f>
        <v>Terra vegetal orgânica comum</v>
      </c>
      <c r="D1263" s="519"/>
      <c r="E1263" s="117" t="str">
        <f>IF(A1263&amp;B1263="","",VLOOKUP(A1263&amp;B1263,INSUMOS!C:G,3,0))</f>
        <v>m³</v>
      </c>
      <c r="F1263" s="118">
        <v>0.1</v>
      </c>
      <c r="G1263" s="113">
        <f>IF(A1263&amp;B1263="","",VLOOKUP(A1263&amp;B1263,INSUMOS!C:G,4,0))</f>
        <v>92.46</v>
      </c>
      <c r="H1263" s="119" t="str">
        <f t="shared" si="201"/>
        <v/>
      </c>
      <c r="I1263" s="119">
        <f t="shared" si="202"/>
        <v>9.24</v>
      </c>
      <c r="J1263" s="115" t="str">
        <f t="shared" si="203"/>
        <v/>
      </c>
      <c r="K1263" s="102" t="str">
        <f>IF(A1263&amp;B1263="","",VLOOKUP(A1263&amp;B1263,INSUMOS!C:G,5,0))</f>
        <v>MT</v>
      </c>
    </row>
    <row r="1264" spans="1:17" ht="15" x14ac:dyDescent="0.25">
      <c r="A1264" s="109"/>
      <c r="B1264" s="116"/>
      <c r="C1264" s="518" t="str">
        <f>IF(A1264&amp;B1264="","",VLOOKUP(A1264&amp;B1264,INSUMOS!C:G,2,0))</f>
        <v/>
      </c>
      <c r="D1264" s="519"/>
      <c r="E1264" s="117" t="str">
        <f>IF(A1264&amp;B1264="","",VLOOKUP(A1264&amp;B1264,INSUMOS!C:G,3,0))</f>
        <v/>
      </c>
      <c r="F1264" s="118"/>
      <c r="G1264" s="113" t="str">
        <f>IF(A1264&amp;B1264="","",VLOOKUP(A1264&amp;B1264,INSUMOS!C:G,4,0))</f>
        <v/>
      </c>
      <c r="H1264" s="119" t="str">
        <f t="shared" si="201"/>
        <v/>
      </c>
      <c r="I1264" s="119" t="str">
        <f t="shared" si="202"/>
        <v/>
      </c>
      <c r="J1264" s="115" t="str">
        <f t="shared" si="203"/>
        <v/>
      </c>
      <c r="K1264" s="102" t="str">
        <f>IF(A1264&amp;B1264="","",VLOOKUP(A1264&amp;B1264,INSUMOS!C:G,5,0))</f>
        <v/>
      </c>
    </row>
    <row r="1265" spans="1:17" ht="15" x14ac:dyDescent="0.25">
      <c r="A1265" s="109"/>
      <c r="B1265" s="116"/>
      <c r="C1265" s="518" t="str">
        <f>IF(A1265&amp;B1265="","",VLOOKUP(A1265&amp;B1265,INSUMOS!C:G,2,0))</f>
        <v/>
      </c>
      <c r="D1265" s="519"/>
      <c r="E1265" s="117" t="str">
        <f>IF(A1265&amp;B1265="","",VLOOKUP(A1265&amp;B1265,INSUMOS!C:G,3,0))</f>
        <v/>
      </c>
      <c r="F1265" s="118"/>
      <c r="G1265" s="113" t="str">
        <f>IF(A1265&amp;B1265="","",VLOOKUP(A1265&amp;B1265,INSUMOS!C:G,4,0))</f>
        <v/>
      </c>
      <c r="H1265" s="119" t="str">
        <f t="shared" si="201"/>
        <v/>
      </c>
      <c r="I1265" s="119" t="str">
        <f t="shared" si="202"/>
        <v/>
      </c>
      <c r="J1265" s="115" t="str">
        <f t="shared" si="203"/>
        <v/>
      </c>
      <c r="K1265" s="102" t="str">
        <f>IF(A1265&amp;B1265="","",VLOOKUP(A1265&amp;B1265,INSUMOS!C:G,5,0))</f>
        <v/>
      </c>
    </row>
    <row r="1266" spans="1:17" ht="15" x14ac:dyDescent="0.25">
      <c r="A1266" s="109"/>
      <c r="B1266" s="116"/>
      <c r="C1266" s="518" t="str">
        <f>IF(A1266&amp;B1266="","",VLOOKUP(A1266&amp;B1266,INSUMOS!C:G,2,0))</f>
        <v/>
      </c>
      <c r="D1266" s="519"/>
      <c r="E1266" s="117" t="str">
        <f>IF(A1266&amp;B1266="","",VLOOKUP(A1266&amp;B1266,INSUMOS!C:G,3,0))</f>
        <v/>
      </c>
      <c r="F1266" s="118"/>
      <c r="G1266" s="113" t="str">
        <f>IF(A1266&amp;B1266="","",VLOOKUP(A1266&amp;B1266,INSUMOS!C:G,4,0))</f>
        <v/>
      </c>
      <c r="H1266" s="119" t="str">
        <f t="shared" si="201"/>
        <v/>
      </c>
      <c r="I1266" s="119" t="str">
        <f t="shared" si="202"/>
        <v/>
      </c>
      <c r="J1266" s="115" t="str">
        <f t="shared" si="203"/>
        <v/>
      </c>
      <c r="K1266" s="102" t="str">
        <f>IF(A1266&amp;B1266="","",VLOOKUP(A1266&amp;B1266,INSUMOS!C:G,5,0))</f>
        <v/>
      </c>
    </row>
    <row r="1267" spans="1:17" ht="15" x14ac:dyDescent="0.25">
      <c r="A1267" s="109"/>
      <c r="B1267" s="116"/>
      <c r="C1267" s="518" t="str">
        <f>IF(A1267&amp;B1267="","",VLOOKUP(A1267&amp;B1267,INSUMOS!C:G,2,0))</f>
        <v/>
      </c>
      <c r="D1267" s="519"/>
      <c r="E1267" s="117" t="str">
        <f>IF(A1267&amp;B1267="","",VLOOKUP(A1267&amp;B1267,INSUMOS!C:G,3,0))</f>
        <v/>
      </c>
      <c r="F1267" s="118"/>
      <c r="G1267" s="113" t="str">
        <f>IF(A1267&amp;B1267="","",VLOOKUP(A1267&amp;B1267,INSUMOS!C:G,4,0))</f>
        <v/>
      </c>
      <c r="H1267" s="119" t="str">
        <f t="shared" si="201"/>
        <v/>
      </c>
      <c r="I1267" s="119" t="str">
        <f t="shared" si="202"/>
        <v/>
      </c>
      <c r="J1267" s="115" t="str">
        <f t="shared" si="203"/>
        <v/>
      </c>
      <c r="K1267" s="102" t="str">
        <f>IF(A1267&amp;B1267="","",VLOOKUP(A1267&amp;B1267,INSUMOS!C:G,5,0))</f>
        <v/>
      </c>
    </row>
    <row r="1268" spans="1:17" ht="15" x14ac:dyDescent="0.25">
      <c r="A1268" s="109"/>
      <c r="B1268" s="116"/>
      <c r="C1268" s="518" t="str">
        <f>IF(A1268&amp;B1268="","",VLOOKUP(A1268&amp;B1268,INSUMOS!C:G,2,0))</f>
        <v/>
      </c>
      <c r="D1268" s="519"/>
      <c r="E1268" s="117" t="str">
        <f>IF(A1268&amp;B1268="","",VLOOKUP(A1268&amp;B1268,INSUMOS!C:G,3,0))</f>
        <v/>
      </c>
      <c r="F1268" s="118"/>
      <c r="G1268" s="113" t="str">
        <f>IF(A1268&amp;B1268="","",VLOOKUP(A1268&amp;B1268,INSUMOS!C:G,4,0))</f>
        <v/>
      </c>
      <c r="H1268" s="119" t="str">
        <f t="shared" si="201"/>
        <v/>
      </c>
      <c r="I1268" s="119" t="str">
        <f t="shared" si="202"/>
        <v/>
      </c>
      <c r="J1268" s="115" t="str">
        <f t="shared" si="203"/>
        <v/>
      </c>
      <c r="K1268" s="102" t="str">
        <f>IF(A1268&amp;B1268="","",VLOOKUP(A1268&amp;B1268,INSUMOS!C:G,5,0))</f>
        <v/>
      </c>
    </row>
    <row r="1269" spans="1:17" ht="15" x14ac:dyDescent="0.25">
      <c r="A1269" s="109"/>
      <c r="B1269" s="116"/>
      <c r="C1269" s="518" t="str">
        <f>IF(A1269&amp;B1269="","",VLOOKUP(A1269&amp;B1269,INSUMOS!C:G,2,0))</f>
        <v/>
      </c>
      <c r="D1269" s="519"/>
      <c r="E1269" s="117" t="str">
        <f>IF(A1269&amp;B1269="","",VLOOKUP(A1269&amp;B1269,INSUMOS!C:G,3,0))</f>
        <v/>
      </c>
      <c r="F1269" s="118"/>
      <c r="G1269" s="113" t="str">
        <f>IF(A1269&amp;B1269="","",VLOOKUP(A1269&amp;B1269,INSUMOS!C:G,4,0))</f>
        <v/>
      </c>
      <c r="H1269" s="119" t="str">
        <f t="shared" si="201"/>
        <v/>
      </c>
      <c r="I1269" s="119" t="str">
        <f t="shared" si="202"/>
        <v/>
      </c>
      <c r="J1269" s="115" t="str">
        <f t="shared" si="203"/>
        <v/>
      </c>
      <c r="K1269" s="102" t="str">
        <f>IF(A1269&amp;B1269="","",VLOOKUP(A1269&amp;B1269,INSUMOS!C:G,5,0))</f>
        <v/>
      </c>
    </row>
    <row r="1270" spans="1:17" ht="15" x14ac:dyDescent="0.25">
      <c r="A1270" s="120"/>
      <c r="B1270" s="121"/>
      <c r="C1270" s="518" t="str">
        <f>IF(A1270&amp;B1270="","",VLOOKUP(A1270&amp;B1270,INSUMOS!C:G,2,0))</f>
        <v/>
      </c>
      <c r="D1270" s="519"/>
      <c r="E1270" s="117" t="str">
        <f>IF(A1270&amp;B1270="","",VLOOKUP(A1270&amp;B1270,INSUMOS!C:G,3,0))</f>
        <v/>
      </c>
      <c r="F1270" s="118"/>
      <c r="G1270" s="122" t="str">
        <f>IF(A1270&amp;B1270="","",VLOOKUP(A1270&amp;B1270,INSUMOS!C:G,4,0))</f>
        <v/>
      </c>
      <c r="H1270" s="119" t="str">
        <f t="shared" si="201"/>
        <v/>
      </c>
      <c r="I1270" s="119" t="str">
        <f t="shared" si="202"/>
        <v/>
      </c>
      <c r="J1270" s="115" t="str">
        <f t="shared" si="203"/>
        <v/>
      </c>
      <c r="K1270" s="102" t="str">
        <f>IF(A1270&amp;B1270="","",VLOOKUP(A1270&amp;B1270,INSUMOS!C:G,5,0))</f>
        <v/>
      </c>
    </row>
    <row r="1271" spans="1:17" ht="15" x14ac:dyDescent="0.25">
      <c r="A1271" s="120"/>
      <c r="B1271" s="121"/>
      <c r="C1271" s="518" t="str">
        <f>IF(A1271&amp;B1271="","",VLOOKUP(A1271&amp;B1271,INSUMOS!C:G,2,0))</f>
        <v/>
      </c>
      <c r="D1271" s="519"/>
      <c r="E1271" s="117" t="str">
        <f>IF(A1271&amp;B1271="","",VLOOKUP(A1271&amp;B1271,INSUMOS!C:G,3,0))</f>
        <v/>
      </c>
      <c r="F1271" s="118"/>
      <c r="G1271" s="122" t="str">
        <f>IF(A1271&amp;B1271="","",VLOOKUP(A1271&amp;B1271,INSUMOS!C:G,4,0))</f>
        <v/>
      </c>
      <c r="H1271" s="119" t="str">
        <f t="shared" si="201"/>
        <v/>
      </c>
      <c r="I1271" s="119" t="str">
        <f t="shared" si="202"/>
        <v/>
      </c>
      <c r="J1271" s="115" t="str">
        <f t="shared" si="203"/>
        <v/>
      </c>
      <c r="K1271" s="102" t="str">
        <f>IF(A1271&amp;B1271="","",VLOOKUP(A1271&amp;B1271,INSUMOS!C:G,5,0))</f>
        <v/>
      </c>
    </row>
    <row r="1272" spans="1:17" ht="15" x14ac:dyDescent="0.25">
      <c r="A1272" s="120"/>
      <c r="B1272" s="121"/>
      <c r="C1272" s="518" t="str">
        <f>IF(A1272&amp;B1272="","",VLOOKUP(A1272&amp;B1272,INSUMOS!C:G,2,0))</f>
        <v/>
      </c>
      <c r="D1272" s="519"/>
      <c r="E1272" s="117" t="str">
        <f>IF(A1272&amp;B1272="","",VLOOKUP(A1272&amp;B1272,INSUMOS!C:G,3,0))</f>
        <v/>
      </c>
      <c r="F1272" s="118"/>
      <c r="G1272" s="122" t="str">
        <f>IF(A1272&amp;B1272="","",VLOOKUP(A1272&amp;B1272,INSUMOS!C:G,4,0))</f>
        <v/>
      </c>
      <c r="H1272" s="119" t="str">
        <f t="shared" si="201"/>
        <v/>
      </c>
      <c r="I1272" s="119" t="str">
        <f t="shared" si="202"/>
        <v/>
      </c>
      <c r="J1272" s="115" t="str">
        <f t="shared" si="203"/>
        <v/>
      </c>
      <c r="K1272" s="102" t="str">
        <f>IF(A1272&amp;B1272="","",VLOOKUP(A1272&amp;B1272,INSUMOS!C:G,5,0))</f>
        <v/>
      </c>
    </row>
    <row r="1273" spans="1:17" ht="15" x14ac:dyDescent="0.25">
      <c r="A1273" s="123" t="s">
        <v>4399</v>
      </c>
      <c r="B1273" s="520"/>
      <c r="C1273" s="520"/>
      <c r="D1273" s="520"/>
      <c r="E1273" s="520"/>
      <c r="F1273" s="521"/>
      <c r="G1273" s="124" t="s">
        <v>50</v>
      </c>
      <c r="H1273" s="125">
        <f>SUM(H1260:H1272)</f>
        <v>17.260000000000002</v>
      </c>
      <c r="I1273" s="125">
        <f>SUM(I1260:I1272)</f>
        <v>42.17</v>
      </c>
      <c r="J1273" s="126">
        <f>SUM(J1260:J1272)</f>
        <v>0</v>
      </c>
    </row>
    <row r="1274" spans="1:17" ht="15" x14ac:dyDescent="0.25">
      <c r="A1274" s="127" t="s">
        <v>4400</v>
      </c>
      <c r="B1274" s="128"/>
      <c r="C1274" s="128"/>
      <c r="D1274" s="127" t="s">
        <v>51</v>
      </c>
      <c r="E1274" s="128"/>
      <c r="F1274" s="129"/>
      <c r="G1274" s="130" t="s">
        <v>55</v>
      </c>
      <c r="H1274" s="131" t="s">
        <v>52</v>
      </c>
      <c r="I1274" s="132"/>
      <c r="J1274" s="125">
        <f>SUM(H1273:J1273)</f>
        <v>59.430000000000007</v>
      </c>
    </row>
    <row r="1275" spans="1:17" ht="15" x14ac:dyDescent="0.25">
      <c r="A1275" s="313" t="str">
        <f>$I$3</f>
        <v>Carlos Wieck</v>
      </c>
      <c r="B1275" s="133"/>
      <c r="C1275" s="133"/>
      <c r="D1275" s="134"/>
      <c r="E1275" s="133"/>
      <c r="F1275" s="135"/>
      <c r="G1275" s="522">
        <f>$J$5</f>
        <v>43040</v>
      </c>
      <c r="H1275" s="136" t="s">
        <v>53</v>
      </c>
      <c r="I1275" s="137"/>
      <c r="J1275" s="125">
        <f>TRUNC(I1275*J1274,2)</f>
        <v>0</v>
      </c>
    </row>
    <row r="1276" spans="1:17" ht="15" x14ac:dyDescent="0.25">
      <c r="A1276" s="138"/>
      <c r="B1276" s="139"/>
      <c r="C1276" s="139"/>
      <c r="D1276" s="138"/>
      <c r="E1276" s="139"/>
      <c r="F1276" s="140"/>
      <c r="G1276" s="523"/>
      <c r="H1276" s="141" t="s">
        <v>54</v>
      </c>
      <c r="I1276" s="142"/>
      <c r="J1276" s="143">
        <f>J1275+J1274</f>
        <v>59.430000000000007</v>
      </c>
      <c r="L1276" s="102" t="str">
        <f>A1257</f>
        <v>COMPOSIÇÃO</v>
      </c>
      <c r="M1276" s="144" t="str">
        <f>B1257</f>
        <v>FF-048</v>
      </c>
      <c r="N1276" s="102" t="str">
        <f>L1276&amp;M1276</f>
        <v>COMPOSIÇÃOFF-048</v>
      </c>
      <c r="O1276" s="103" t="str">
        <f>D1256</f>
        <v>Fornecimento e plantio de Blechnum brasiliense - Samambaiaçu do brejo</v>
      </c>
      <c r="P1276" s="145" t="str">
        <f>J1257</f>
        <v>un</v>
      </c>
      <c r="Q1276" s="145">
        <f>J1276</f>
        <v>59.430000000000007</v>
      </c>
    </row>
    <row r="1277" spans="1:17" ht="15" customHeight="1" x14ac:dyDescent="0.25">
      <c r="A1277" s="524" t="s">
        <v>40</v>
      </c>
      <c r="B1277" s="525"/>
      <c r="C1277" s="104" t="s">
        <v>41</v>
      </c>
      <c r="D1277" s="526" t="str">
        <f>IF(B1278="","",VLOOKUP(B1278,SERVIÇOS!B:E,3,0))</f>
        <v>Fornecimento e plantio de Costus spiralis - Caatinga/Cana de macaco</v>
      </c>
      <c r="E1277" s="526"/>
      <c r="F1277" s="526"/>
      <c r="G1277" s="526"/>
      <c r="H1277" s="526"/>
      <c r="I1277" s="527"/>
      <c r="J1277" s="105" t="s">
        <v>42</v>
      </c>
    </row>
    <row r="1278" spans="1:17" ht="15" x14ac:dyDescent="0.25">
      <c r="A1278" s="230" t="s">
        <v>4715</v>
      </c>
      <c r="B1278" s="230" t="s">
        <v>5041</v>
      </c>
      <c r="C1278" s="106"/>
      <c r="D1278" s="528"/>
      <c r="E1278" s="528"/>
      <c r="F1278" s="528"/>
      <c r="G1278" s="528"/>
      <c r="H1278" s="528"/>
      <c r="I1278" s="529"/>
      <c r="J1278" s="107" t="str">
        <f>IF(B1278="","",VLOOKUP(B1278,SERVIÇOS!B:E,4,0))</f>
        <v>un</v>
      </c>
    </row>
    <row r="1279" spans="1:17" ht="15" x14ac:dyDescent="0.25">
      <c r="A1279" s="530" t="s">
        <v>4397</v>
      </c>
      <c r="B1279" s="531" t="s">
        <v>11</v>
      </c>
      <c r="C1279" s="533" t="s">
        <v>43</v>
      </c>
      <c r="D1279" s="534"/>
      <c r="E1279" s="530" t="s">
        <v>13</v>
      </c>
      <c r="F1279" s="530" t="s">
        <v>44</v>
      </c>
      <c r="G1279" s="538" t="s">
        <v>45</v>
      </c>
      <c r="H1279" s="108" t="s">
        <v>46</v>
      </c>
      <c r="I1279" s="108"/>
      <c r="J1279" s="108"/>
    </row>
    <row r="1280" spans="1:17" ht="15" x14ac:dyDescent="0.25">
      <c r="A1280" s="530"/>
      <c r="B1280" s="532"/>
      <c r="C1280" s="535"/>
      <c r="D1280" s="536"/>
      <c r="E1280" s="537"/>
      <c r="F1280" s="537"/>
      <c r="G1280" s="539"/>
      <c r="H1280" s="108" t="s">
        <v>47</v>
      </c>
      <c r="I1280" s="108" t="s">
        <v>48</v>
      </c>
      <c r="J1280" s="108" t="s">
        <v>49</v>
      </c>
    </row>
    <row r="1281" spans="1:11" ht="15" x14ac:dyDescent="0.25">
      <c r="A1281" s="109" t="s">
        <v>4717</v>
      </c>
      <c r="B1281" s="116" t="s">
        <v>4960</v>
      </c>
      <c r="C1281" s="540" t="str">
        <f>IF(A1281&amp;B1281="","",VLOOKUP(A1281&amp;B1281,INSUMOS!C:G,2,0))</f>
        <v>Fornecimento e plantio de Costus spiralis - Caatinga/Cana de macaco</v>
      </c>
      <c r="D1281" s="541"/>
      <c r="E1281" s="111" t="str">
        <f>IF(A1281&amp;B1281="","",VLOOKUP(A1281&amp;B1281,INSUMOS!C:G,3,0))</f>
        <v>un</v>
      </c>
      <c r="F1281" s="112">
        <v>1</v>
      </c>
      <c r="G1281" s="113">
        <f>IF(A1281&amp;B1281="","",VLOOKUP(A1281&amp;B1281,INSUMOS!C:G,4,0))</f>
        <v>31.936</v>
      </c>
      <c r="H1281" s="114" t="str">
        <f>IF(K1281="MO",TRUNC(F1281*G1281,2),"")</f>
        <v/>
      </c>
      <c r="I1281" s="114">
        <f>IF(K1281="MT",TRUNC(F1281*G1281,2),"")</f>
        <v>31.93</v>
      </c>
      <c r="J1281" s="115" t="str">
        <f>IF(K1281="EQ",TRUNC(F1281*G1281,2),"")</f>
        <v/>
      </c>
      <c r="K1281" s="102" t="str">
        <f>IF(A1281&amp;B1281="","",VLOOKUP(A1281&amp;B1281,INSUMOS!C:G,5,0))</f>
        <v>MT</v>
      </c>
    </row>
    <row r="1282" spans="1:11" ht="15" x14ac:dyDescent="0.25">
      <c r="A1282" s="109" t="s">
        <v>4398</v>
      </c>
      <c r="B1282" s="116">
        <v>10101</v>
      </c>
      <c r="C1282" s="518" t="str">
        <f>IF(A1282&amp;B1282="","",VLOOKUP(A1282&amp;B1282,INSUMOS!C:G,2,0))</f>
        <v>Ajudante geral</v>
      </c>
      <c r="D1282" s="519"/>
      <c r="E1282" s="117" t="str">
        <f>IF(A1282&amp;B1282="","",VLOOKUP(A1282&amp;B1282,INSUMOS!C:G,3,0))</f>
        <v>h</v>
      </c>
      <c r="F1282" s="118">
        <v>0.2</v>
      </c>
      <c r="G1282" s="113">
        <f>IF(A1282&amp;B1282="","",VLOOKUP(A1282&amp;B1282,INSUMOS!C:G,4,0))</f>
        <v>11.238228999999999</v>
      </c>
      <c r="H1282" s="119">
        <f t="shared" ref="H1282:H1293" si="204">IF(K1282="MO",TRUNC(F1282*G1282,2),"")</f>
        <v>2.2400000000000002</v>
      </c>
      <c r="I1282" s="119" t="str">
        <f t="shared" ref="I1282:I1293" si="205">IF(K1282="MT",TRUNC(F1282*G1282,2),"")</f>
        <v/>
      </c>
      <c r="J1282" s="115" t="str">
        <f t="shared" ref="J1282:J1293" si="206">IF(K1282="EQ",TRUNC(F1282*G1282,2),"")</f>
        <v/>
      </c>
      <c r="K1282" s="102" t="str">
        <f>IF(A1282&amp;B1282="","",VLOOKUP(A1282&amp;B1282,INSUMOS!C:G,5,0))</f>
        <v>MO</v>
      </c>
    </row>
    <row r="1283" spans="1:11" ht="15" x14ac:dyDescent="0.25">
      <c r="A1283" s="109" t="s">
        <v>4398</v>
      </c>
      <c r="B1283" s="116">
        <v>10126</v>
      </c>
      <c r="C1283" s="518" t="str">
        <f>IF(A1283&amp;B1283="","",VLOOKUP(A1283&amp;B1283,INSUMOS!C:G,2,0))</f>
        <v>Jardineiro</v>
      </c>
      <c r="D1283" s="519"/>
      <c r="E1283" s="117" t="str">
        <f>IF(A1283&amp;B1283="","",VLOOKUP(A1283&amp;B1283,INSUMOS!C:G,3,0))</f>
        <v>h</v>
      </c>
      <c r="F1283" s="118">
        <v>0.1</v>
      </c>
      <c r="G1283" s="113">
        <f>IF(A1283&amp;B1283="","",VLOOKUP(A1283&amp;B1283,INSUMOS!C:G,4,0))</f>
        <v>12.07574</v>
      </c>
      <c r="H1283" s="119">
        <f t="shared" si="204"/>
        <v>1.2</v>
      </c>
      <c r="I1283" s="119" t="str">
        <f t="shared" si="205"/>
        <v/>
      </c>
      <c r="J1283" s="115" t="str">
        <f t="shared" si="206"/>
        <v/>
      </c>
      <c r="K1283" s="102" t="str">
        <f>IF(A1283&amp;B1283="","",VLOOKUP(A1283&amp;B1283,INSUMOS!C:G,5,0))</f>
        <v>MO</v>
      </c>
    </row>
    <row r="1284" spans="1:11" ht="15" x14ac:dyDescent="0.25">
      <c r="A1284" s="109" t="s">
        <v>4398</v>
      </c>
      <c r="B1284" s="116">
        <v>38511</v>
      </c>
      <c r="C1284" s="518" t="str">
        <f>IF(A1284&amp;B1284="","",VLOOKUP(A1284&amp;B1284,INSUMOS!C:G,2,0))</f>
        <v>Terra vegetal orgânica comum</v>
      </c>
      <c r="D1284" s="519"/>
      <c r="E1284" s="117" t="str">
        <f>IF(A1284&amp;B1284="","",VLOOKUP(A1284&amp;B1284,INSUMOS!C:G,3,0))</f>
        <v>m³</v>
      </c>
      <c r="F1284" s="118">
        <v>0.05</v>
      </c>
      <c r="G1284" s="113">
        <f>IF(A1284&amp;B1284="","",VLOOKUP(A1284&amp;B1284,INSUMOS!C:G,4,0))</f>
        <v>92.46</v>
      </c>
      <c r="H1284" s="119" t="str">
        <f t="shared" si="204"/>
        <v/>
      </c>
      <c r="I1284" s="119">
        <f t="shared" si="205"/>
        <v>4.62</v>
      </c>
      <c r="J1284" s="115" t="str">
        <f t="shared" si="206"/>
        <v/>
      </c>
      <c r="K1284" s="102" t="str">
        <f>IF(A1284&amp;B1284="","",VLOOKUP(A1284&amp;B1284,INSUMOS!C:G,5,0))</f>
        <v>MT</v>
      </c>
    </row>
    <row r="1285" spans="1:11" ht="15" x14ac:dyDescent="0.25">
      <c r="A1285" s="109"/>
      <c r="B1285" s="116"/>
      <c r="C1285" s="518" t="str">
        <f>IF(A1285&amp;B1285="","",VLOOKUP(A1285&amp;B1285,INSUMOS!C:G,2,0))</f>
        <v/>
      </c>
      <c r="D1285" s="519"/>
      <c r="E1285" s="117" t="str">
        <f>IF(A1285&amp;B1285="","",VLOOKUP(A1285&amp;B1285,INSUMOS!C:G,3,0))</f>
        <v/>
      </c>
      <c r="F1285" s="118"/>
      <c r="G1285" s="113" t="str">
        <f>IF(A1285&amp;B1285="","",VLOOKUP(A1285&amp;B1285,INSUMOS!C:G,4,0))</f>
        <v/>
      </c>
      <c r="H1285" s="119" t="str">
        <f t="shared" si="204"/>
        <v/>
      </c>
      <c r="I1285" s="119" t="str">
        <f t="shared" si="205"/>
        <v/>
      </c>
      <c r="J1285" s="115" t="str">
        <f t="shared" si="206"/>
        <v/>
      </c>
      <c r="K1285" s="102" t="str">
        <f>IF(A1285&amp;B1285="","",VLOOKUP(A1285&amp;B1285,INSUMOS!C:G,5,0))</f>
        <v/>
      </c>
    </row>
    <row r="1286" spans="1:11" ht="15" x14ac:dyDescent="0.25">
      <c r="A1286" s="109"/>
      <c r="B1286" s="116"/>
      <c r="C1286" s="518" t="str">
        <f>IF(A1286&amp;B1286="","",VLOOKUP(A1286&amp;B1286,INSUMOS!C:G,2,0))</f>
        <v/>
      </c>
      <c r="D1286" s="519"/>
      <c r="E1286" s="117" t="str">
        <f>IF(A1286&amp;B1286="","",VLOOKUP(A1286&amp;B1286,INSUMOS!C:G,3,0))</f>
        <v/>
      </c>
      <c r="F1286" s="118"/>
      <c r="G1286" s="113" t="str">
        <f>IF(A1286&amp;B1286="","",VLOOKUP(A1286&amp;B1286,INSUMOS!C:G,4,0))</f>
        <v/>
      </c>
      <c r="H1286" s="119" t="str">
        <f t="shared" si="204"/>
        <v/>
      </c>
      <c r="I1286" s="119" t="str">
        <f t="shared" si="205"/>
        <v/>
      </c>
      <c r="J1286" s="115" t="str">
        <f t="shared" si="206"/>
        <v/>
      </c>
      <c r="K1286" s="102" t="str">
        <f>IF(A1286&amp;B1286="","",VLOOKUP(A1286&amp;B1286,INSUMOS!C:G,5,0))</f>
        <v/>
      </c>
    </row>
    <row r="1287" spans="1:11" ht="15" x14ac:dyDescent="0.25">
      <c r="A1287" s="109"/>
      <c r="B1287" s="116"/>
      <c r="C1287" s="518" t="str">
        <f>IF(A1287&amp;B1287="","",VLOOKUP(A1287&amp;B1287,INSUMOS!C:G,2,0))</f>
        <v/>
      </c>
      <c r="D1287" s="519"/>
      <c r="E1287" s="117" t="str">
        <f>IF(A1287&amp;B1287="","",VLOOKUP(A1287&amp;B1287,INSUMOS!C:G,3,0))</f>
        <v/>
      </c>
      <c r="F1287" s="118"/>
      <c r="G1287" s="113" t="str">
        <f>IF(A1287&amp;B1287="","",VLOOKUP(A1287&amp;B1287,INSUMOS!C:G,4,0))</f>
        <v/>
      </c>
      <c r="H1287" s="119" t="str">
        <f t="shared" si="204"/>
        <v/>
      </c>
      <c r="I1287" s="119" t="str">
        <f t="shared" si="205"/>
        <v/>
      </c>
      <c r="J1287" s="115" t="str">
        <f t="shared" si="206"/>
        <v/>
      </c>
      <c r="K1287" s="102" t="str">
        <f>IF(A1287&amp;B1287="","",VLOOKUP(A1287&amp;B1287,INSUMOS!C:G,5,0))</f>
        <v/>
      </c>
    </row>
    <row r="1288" spans="1:11" ht="15" x14ac:dyDescent="0.25">
      <c r="A1288" s="109"/>
      <c r="B1288" s="116"/>
      <c r="C1288" s="518" t="str">
        <f>IF(A1288&amp;B1288="","",VLOOKUP(A1288&amp;B1288,INSUMOS!C:G,2,0))</f>
        <v/>
      </c>
      <c r="D1288" s="519"/>
      <c r="E1288" s="117" t="str">
        <f>IF(A1288&amp;B1288="","",VLOOKUP(A1288&amp;B1288,INSUMOS!C:G,3,0))</f>
        <v/>
      </c>
      <c r="F1288" s="118"/>
      <c r="G1288" s="113" t="str">
        <f>IF(A1288&amp;B1288="","",VLOOKUP(A1288&amp;B1288,INSUMOS!C:G,4,0))</f>
        <v/>
      </c>
      <c r="H1288" s="119" t="str">
        <f t="shared" si="204"/>
        <v/>
      </c>
      <c r="I1288" s="119" t="str">
        <f t="shared" si="205"/>
        <v/>
      </c>
      <c r="J1288" s="115" t="str">
        <f t="shared" si="206"/>
        <v/>
      </c>
      <c r="K1288" s="102" t="str">
        <f>IF(A1288&amp;B1288="","",VLOOKUP(A1288&amp;B1288,INSUMOS!C:G,5,0))</f>
        <v/>
      </c>
    </row>
    <row r="1289" spans="1:11" ht="15" x14ac:dyDescent="0.25">
      <c r="A1289" s="109"/>
      <c r="B1289" s="116"/>
      <c r="C1289" s="518" t="str">
        <f>IF(A1289&amp;B1289="","",VLOOKUP(A1289&amp;B1289,INSUMOS!C:G,2,0))</f>
        <v/>
      </c>
      <c r="D1289" s="519"/>
      <c r="E1289" s="117" t="str">
        <f>IF(A1289&amp;B1289="","",VLOOKUP(A1289&amp;B1289,INSUMOS!C:G,3,0))</f>
        <v/>
      </c>
      <c r="F1289" s="118"/>
      <c r="G1289" s="113" t="str">
        <f>IF(A1289&amp;B1289="","",VLOOKUP(A1289&amp;B1289,INSUMOS!C:G,4,0))</f>
        <v/>
      </c>
      <c r="H1289" s="119" t="str">
        <f t="shared" si="204"/>
        <v/>
      </c>
      <c r="I1289" s="119" t="str">
        <f t="shared" si="205"/>
        <v/>
      </c>
      <c r="J1289" s="115" t="str">
        <f t="shared" si="206"/>
        <v/>
      </c>
      <c r="K1289" s="102" t="str">
        <f>IF(A1289&amp;B1289="","",VLOOKUP(A1289&amp;B1289,INSUMOS!C:G,5,0))</f>
        <v/>
      </c>
    </row>
    <row r="1290" spans="1:11" ht="15" x14ac:dyDescent="0.25">
      <c r="A1290" s="109"/>
      <c r="B1290" s="116"/>
      <c r="C1290" s="518" t="str">
        <f>IF(A1290&amp;B1290="","",VLOOKUP(A1290&amp;B1290,INSUMOS!C:G,2,0))</f>
        <v/>
      </c>
      <c r="D1290" s="519"/>
      <c r="E1290" s="117" t="str">
        <f>IF(A1290&amp;B1290="","",VLOOKUP(A1290&amp;B1290,INSUMOS!C:G,3,0))</f>
        <v/>
      </c>
      <c r="F1290" s="118"/>
      <c r="G1290" s="113" t="str">
        <f>IF(A1290&amp;B1290="","",VLOOKUP(A1290&amp;B1290,INSUMOS!C:G,4,0))</f>
        <v/>
      </c>
      <c r="H1290" s="119" t="str">
        <f t="shared" si="204"/>
        <v/>
      </c>
      <c r="I1290" s="119" t="str">
        <f t="shared" si="205"/>
        <v/>
      </c>
      <c r="J1290" s="115" t="str">
        <f t="shared" si="206"/>
        <v/>
      </c>
      <c r="K1290" s="102" t="str">
        <f>IF(A1290&amp;B1290="","",VLOOKUP(A1290&amp;B1290,INSUMOS!C:G,5,0))</f>
        <v/>
      </c>
    </row>
    <row r="1291" spans="1:11" ht="15" x14ac:dyDescent="0.25">
      <c r="A1291" s="120"/>
      <c r="B1291" s="121"/>
      <c r="C1291" s="518" t="str">
        <f>IF(A1291&amp;B1291="","",VLOOKUP(A1291&amp;B1291,INSUMOS!C:G,2,0))</f>
        <v/>
      </c>
      <c r="D1291" s="519"/>
      <c r="E1291" s="117" t="str">
        <f>IF(A1291&amp;B1291="","",VLOOKUP(A1291&amp;B1291,INSUMOS!C:G,3,0))</f>
        <v/>
      </c>
      <c r="F1291" s="118"/>
      <c r="G1291" s="122" t="str">
        <f>IF(A1291&amp;B1291="","",VLOOKUP(A1291&amp;B1291,INSUMOS!C:G,4,0))</f>
        <v/>
      </c>
      <c r="H1291" s="119" t="str">
        <f t="shared" si="204"/>
        <v/>
      </c>
      <c r="I1291" s="119" t="str">
        <f t="shared" si="205"/>
        <v/>
      </c>
      <c r="J1291" s="115" t="str">
        <f t="shared" si="206"/>
        <v/>
      </c>
      <c r="K1291" s="102" t="str">
        <f>IF(A1291&amp;B1291="","",VLOOKUP(A1291&amp;B1291,INSUMOS!C:G,5,0))</f>
        <v/>
      </c>
    </row>
    <row r="1292" spans="1:11" ht="15" x14ac:dyDescent="0.25">
      <c r="A1292" s="120"/>
      <c r="B1292" s="121"/>
      <c r="C1292" s="518" t="str">
        <f>IF(A1292&amp;B1292="","",VLOOKUP(A1292&amp;B1292,INSUMOS!C:G,2,0))</f>
        <v/>
      </c>
      <c r="D1292" s="519"/>
      <c r="E1292" s="117" t="str">
        <f>IF(A1292&amp;B1292="","",VLOOKUP(A1292&amp;B1292,INSUMOS!C:G,3,0))</f>
        <v/>
      </c>
      <c r="F1292" s="118"/>
      <c r="G1292" s="122" t="str">
        <f>IF(A1292&amp;B1292="","",VLOOKUP(A1292&amp;B1292,INSUMOS!C:G,4,0))</f>
        <v/>
      </c>
      <c r="H1292" s="119" t="str">
        <f t="shared" si="204"/>
        <v/>
      </c>
      <c r="I1292" s="119" t="str">
        <f t="shared" si="205"/>
        <v/>
      </c>
      <c r="J1292" s="115" t="str">
        <f t="shared" si="206"/>
        <v/>
      </c>
      <c r="K1292" s="102" t="str">
        <f>IF(A1292&amp;B1292="","",VLOOKUP(A1292&amp;B1292,INSUMOS!C:G,5,0))</f>
        <v/>
      </c>
    </row>
    <row r="1293" spans="1:11" ht="15" x14ac:dyDescent="0.25">
      <c r="A1293" s="120"/>
      <c r="B1293" s="121"/>
      <c r="C1293" s="518" t="str">
        <f>IF(A1293&amp;B1293="","",VLOOKUP(A1293&amp;B1293,INSUMOS!C:G,2,0))</f>
        <v/>
      </c>
      <c r="D1293" s="519"/>
      <c r="E1293" s="117" t="str">
        <f>IF(A1293&amp;B1293="","",VLOOKUP(A1293&amp;B1293,INSUMOS!C:G,3,0))</f>
        <v/>
      </c>
      <c r="F1293" s="118"/>
      <c r="G1293" s="122" t="str">
        <f>IF(A1293&amp;B1293="","",VLOOKUP(A1293&amp;B1293,INSUMOS!C:G,4,0))</f>
        <v/>
      </c>
      <c r="H1293" s="119" t="str">
        <f t="shared" si="204"/>
        <v/>
      </c>
      <c r="I1293" s="119" t="str">
        <f t="shared" si="205"/>
        <v/>
      </c>
      <c r="J1293" s="115" t="str">
        <f t="shared" si="206"/>
        <v/>
      </c>
      <c r="K1293" s="102" t="str">
        <f>IF(A1293&amp;B1293="","",VLOOKUP(A1293&amp;B1293,INSUMOS!C:G,5,0))</f>
        <v/>
      </c>
    </row>
    <row r="1294" spans="1:11" ht="15" x14ac:dyDescent="0.25">
      <c r="A1294" s="123" t="s">
        <v>4399</v>
      </c>
      <c r="B1294" s="520"/>
      <c r="C1294" s="520"/>
      <c r="D1294" s="520"/>
      <c r="E1294" s="520"/>
      <c r="F1294" s="521"/>
      <c r="G1294" s="124" t="s">
        <v>50</v>
      </c>
      <c r="H1294" s="125">
        <f>SUM(H1281:H1293)</f>
        <v>3.4400000000000004</v>
      </c>
      <c r="I1294" s="125">
        <f>SUM(I1281:I1293)</f>
        <v>36.549999999999997</v>
      </c>
      <c r="J1294" s="126">
        <f>SUM(J1281:J1293)</f>
        <v>0</v>
      </c>
    </row>
    <row r="1295" spans="1:11" ht="15" x14ac:dyDescent="0.25">
      <c r="A1295" s="127" t="s">
        <v>4400</v>
      </c>
      <c r="B1295" s="128"/>
      <c r="C1295" s="128"/>
      <c r="D1295" s="127" t="s">
        <v>51</v>
      </c>
      <c r="E1295" s="128"/>
      <c r="F1295" s="129"/>
      <c r="G1295" s="130" t="s">
        <v>55</v>
      </c>
      <c r="H1295" s="131" t="s">
        <v>52</v>
      </c>
      <c r="I1295" s="132"/>
      <c r="J1295" s="125">
        <f>SUM(H1294:J1294)</f>
        <v>39.989999999999995</v>
      </c>
    </row>
    <row r="1296" spans="1:11" ht="15" x14ac:dyDescent="0.25">
      <c r="A1296" s="313" t="str">
        <f>$I$3</f>
        <v>Carlos Wieck</v>
      </c>
      <c r="B1296" s="133"/>
      <c r="C1296" s="133"/>
      <c r="D1296" s="134"/>
      <c r="E1296" s="133"/>
      <c r="F1296" s="135"/>
      <c r="G1296" s="522">
        <f>$J$5</f>
        <v>43040</v>
      </c>
      <c r="H1296" s="136" t="s">
        <v>53</v>
      </c>
      <c r="I1296" s="137"/>
      <c r="J1296" s="125">
        <f>TRUNC(I1296*J1295,2)</f>
        <v>0</v>
      </c>
    </row>
    <row r="1297" spans="1:17" ht="15" x14ac:dyDescent="0.25">
      <c r="A1297" s="138"/>
      <c r="B1297" s="139"/>
      <c r="C1297" s="139"/>
      <c r="D1297" s="138"/>
      <c r="E1297" s="139"/>
      <c r="F1297" s="140"/>
      <c r="G1297" s="523"/>
      <c r="H1297" s="141" t="s">
        <v>54</v>
      </c>
      <c r="I1297" s="142"/>
      <c r="J1297" s="143">
        <f>J1296+J1295</f>
        <v>39.989999999999995</v>
      </c>
      <c r="L1297" s="102" t="str">
        <f>A1278</f>
        <v>COMPOSIÇÃO</v>
      </c>
      <c r="M1297" s="144" t="str">
        <f>B1278</f>
        <v>FF-049</v>
      </c>
      <c r="N1297" s="102" t="str">
        <f>L1297&amp;M1297</f>
        <v>COMPOSIÇÃOFF-049</v>
      </c>
      <c r="O1297" s="103" t="str">
        <f>D1277</f>
        <v>Fornecimento e plantio de Costus spiralis - Caatinga/Cana de macaco</v>
      </c>
      <c r="P1297" s="145" t="str">
        <f>J1278</f>
        <v>un</v>
      </c>
      <c r="Q1297" s="145">
        <f>J1297</f>
        <v>39.989999999999995</v>
      </c>
    </row>
    <row r="1298" spans="1:17" ht="15" customHeight="1" x14ac:dyDescent="0.25">
      <c r="A1298" s="524" t="s">
        <v>40</v>
      </c>
      <c r="B1298" s="525"/>
      <c r="C1298" s="104" t="s">
        <v>41</v>
      </c>
      <c r="D1298" s="526" t="str">
        <f>IF(B1299="","",VLOOKUP(B1299,SERVIÇOS!B:E,3,0))</f>
        <v>Fornecimento e plantio de Dicksonia sellowiana - Xaxim</v>
      </c>
      <c r="E1298" s="526"/>
      <c r="F1298" s="526"/>
      <c r="G1298" s="526"/>
      <c r="H1298" s="526"/>
      <c r="I1298" s="527"/>
      <c r="J1298" s="105" t="s">
        <v>42</v>
      </c>
    </row>
    <row r="1299" spans="1:17" ht="15" x14ac:dyDescent="0.25">
      <c r="A1299" s="230" t="s">
        <v>4715</v>
      </c>
      <c r="B1299" s="230" t="s">
        <v>5042</v>
      </c>
      <c r="C1299" s="106"/>
      <c r="D1299" s="528"/>
      <c r="E1299" s="528"/>
      <c r="F1299" s="528"/>
      <c r="G1299" s="528"/>
      <c r="H1299" s="528"/>
      <c r="I1299" s="529"/>
      <c r="J1299" s="107" t="str">
        <f>IF(B1299="","",VLOOKUP(B1299,SERVIÇOS!B:E,4,0))</f>
        <v>un</v>
      </c>
    </row>
    <row r="1300" spans="1:17" ht="15" x14ac:dyDescent="0.25">
      <c r="A1300" s="530" t="s">
        <v>4397</v>
      </c>
      <c r="B1300" s="531" t="s">
        <v>11</v>
      </c>
      <c r="C1300" s="533" t="s">
        <v>43</v>
      </c>
      <c r="D1300" s="534"/>
      <c r="E1300" s="530" t="s">
        <v>13</v>
      </c>
      <c r="F1300" s="530" t="s">
        <v>44</v>
      </c>
      <c r="G1300" s="538" t="s">
        <v>45</v>
      </c>
      <c r="H1300" s="108" t="s">
        <v>46</v>
      </c>
      <c r="I1300" s="108"/>
      <c r="J1300" s="108"/>
    </row>
    <row r="1301" spans="1:17" ht="15" x14ac:dyDescent="0.25">
      <c r="A1301" s="530"/>
      <c r="B1301" s="532"/>
      <c r="C1301" s="535"/>
      <c r="D1301" s="536"/>
      <c r="E1301" s="537"/>
      <c r="F1301" s="537"/>
      <c r="G1301" s="539"/>
      <c r="H1301" s="108" t="s">
        <v>47</v>
      </c>
      <c r="I1301" s="108" t="s">
        <v>48</v>
      </c>
      <c r="J1301" s="108" t="s">
        <v>49</v>
      </c>
    </row>
    <row r="1302" spans="1:17" ht="15" x14ac:dyDescent="0.25">
      <c r="A1302" s="109" t="s">
        <v>4717</v>
      </c>
      <c r="B1302" s="116" t="s">
        <v>4961</v>
      </c>
      <c r="C1302" s="540" t="str">
        <f>IF(A1302&amp;B1302="","",VLOOKUP(A1302&amp;B1302,INSUMOS!C:G,2,0))</f>
        <v>Fornecimento e plantio de Dicksonia sellowiana - Xaxim</v>
      </c>
      <c r="D1302" s="541"/>
      <c r="E1302" s="111" t="str">
        <f>IF(A1302&amp;B1302="","",VLOOKUP(A1302&amp;B1302,INSUMOS!C:G,3,0))</f>
        <v>un</v>
      </c>
      <c r="F1302" s="112">
        <v>1</v>
      </c>
      <c r="G1302" s="113">
        <f>IF(A1302&amp;B1302="","",VLOOKUP(A1302&amp;B1302,INSUMOS!C:G,4,0))</f>
        <v>123.752</v>
      </c>
      <c r="H1302" s="114" t="str">
        <f>IF(K1302="MO",TRUNC(F1302*G1302,2),"")</f>
        <v/>
      </c>
      <c r="I1302" s="114">
        <f>IF(K1302="MT",TRUNC(F1302*G1302,2),"")</f>
        <v>123.75</v>
      </c>
      <c r="J1302" s="115" t="str">
        <f>IF(K1302="EQ",TRUNC(F1302*G1302,2),"")</f>
        <v/>
      </c>
      <c r="K1302" s="102" t="str">
        <f>IF(A1302&amp;B1302="","",VLOOKUP(A1302&amp;B1302,INSUMOS!C:G,5,0))</f>
        <v>MT</v>
      </c>
    </row>
    <row r="1303" spans="1:17" ht="15" x14ac:dyDescent="0.25">
      <c r="A1303" s="109" t="s">
        <v>4398</v>
      </c>
      <c r="B1303" s="116">
        <v>10101</v>
      </c>
      <c r="C1303" s="518" t="str">
        <f>IF(A1303&amp;B1303="","",VLOOKUP(A1303&amp;B1303,INSUMOS!C:G,2,0))</f>
        <v>Ajudante geral</v>
      </c>
      <c r="D1303" s="519"/>
      <c r="E1303" s="117" t="str">
        <f>IF(A1303&amp;B1303="","",VLOOKUP(A1303&amp;B1303,INSUMOS!C:G,3,0))</f>
        <v>h</v>
      </c>
      <c r="F1303" s="118">
        <v>1</v>
      </c>
      <c r="G1303" s="113">
        <f>IF(A1303&amp;B1303="","",VLOOKUP(A1303&amp;B1303,INSUMOS!C:G,4,0))</f>
        <v>11.238228999999999</v>
      </c>
      <c r="H1303" s="119">
        <f t="shared" ref="H1303:H1314" si="207">IF(K1303="MO",TRUNC(F1303*G1303,2),"")</f>
        <v>11.23</v>
      </c>
      <c r="I1303" s="119" t="str">
        <f t="shared" ref="I1303:I1314" si="208">IF(K1303="MT",TRUNC(F1303*G1303,2),"")</f>
        <v/>
      </c>
      <c r="J1303" s="115" t="str">
        <f t="shared" ref="J1303:J1314" si="209">IF(K1303="EQ",TRUNC(F1303*G1303,2),"")</f>
        <v/>
      </c>
      <c r="K1303" s="102" t="str">
        <f>IF(A1303&amp;B1303="","",VLOOKUP(A1303&amp;B1303,INSUMOS!C:G,5,0))</f>
        <v>MO</v>
      </c>
    </row>
    <row r="1304" spans="1:17" ht="15" x14ac:dyDescent="0.25">
      <c r="A1304" s="109" t="s">
        <v>4398</v>
      </c>
      <c r="B1304" s="116">
        <v>10126</v>
      </c>
      <c r="C1304" s="518" t="str">
        <f>IF(A1304&amp;B1304="","",VLOOKUP(A1304&amp;B1304,INSUMOS!C:G,2,0))</f>
        <v>Jardineiro</v>
      </c>
      <c r="D1304" s="519"/>
      <c r="E1304" s="117" t="str">
        <f>IF(A1304&amp;B1304="","",VLOOKUP(A1304&amp;B1304,INSUMOS!C:G,3,0))</f>
        <v>h</v>
      </c>
      <c r="F1304" s="118">
        <v>0.5</v>
      </c>
      <c r="G1304" s="113">
        <f>IF(A1304&amp;B1304="","",VLOOKUP(A1304&amp;B1304,INSUMOS!C:G,4,0))</f>
        <v>12.07574</v>
      </c>
      <c r="H1304" s="119">
        <f t="shared" si="207"/>
        <v>6.03</v>
      </c>
      <c r="I1304" s="119" t="str">
        <f t="shared" si="208"/>
        <v/>
      </c>
      <c r="J1304" s="115" t="str">
        <f t="shared" si="209"/>
        <v/>
      </c>
      <c r="K1304" s="102" t="str">
        <f>IF(A1304&amp;B1304="","",VLOOKUP(A1304&amp;B1304,INSUMOS!C:G,5,0))</f>
        <v>MO</v>
      </c>
    </row>
    <row r="1305" spans="1:17" ht="15" x14ac:dyDescent="0.25">
      <c r="A1305" s="109" t="s">
        <v>4398</v>
      </c>
      <c r="B1305" s="116">
        <v>38511</v>
      </c>
      <c r="C1305" s="518" t="str">
        <f>IF(A1305&amp;B1305="","",VLOOKUP(A1305&amp;B1305,INSUMOS!C:G,2,0))</f>
        <v>Terra vegetal orgânica comum</v>
      </c>
      <c r="D1305" s="519"/>
      <c r="E1305" s="117" t="str">
        <f>IF(A1305&amp;B1305="","",VLOOKUP(A1305&amp;B1305,INSUMOS!C:G,3,0))</f>
        <v>m³</v>
      </c>
      <c r="F1305" s="118">
        <v>0.1</v>
      </c>
      <c r="G1305" s="113">
        <f>IF(A1305&amp;B1305="","",VLOOKUP(A1305&amp;B1305,INSUMOS!C:G,4,0))</f>
        <v>92.46</v>
      </c>
      <c r="H1305" s="119" t="str">
        <f t="shared" si="207"/>
        <v/>
      </c>
      <c r="I1305" s="119">
        <f t="shared" si="208"/>
        <v>9.24</v>
      </c>
      <c r="J1305" s="115" t="str">
        <f t="shared" si="209"/>
        <v/>
      </c>
      <c r="K1305" s="102" t="str">
        <f>IF(A1305&amp;B1305="","",VLOOKUP(A1305&amp;B1305,INSUMOS!C:G,5,0))</f>
        <v>MT</v>
      </c>
    </row>
    <row r="1306" spans="1:17" ht="15" x14ac:dyDescent="0.25">
      <c r="A1306" s="109"/>
      <c r="B1306" s="116"/>
      <c r="C1306" s="518" t="str">
        <f>IF(A1306&amp;B1306="","",VLOOKUP(A1306&amp;B1306,INSUMOS!C:G,2,0))</f>
        <v/>
      </c>
      <c r="D1306" s="519"/>
      <c r="E1306" s="117" t="str">
        <f>IF(A1306&amp;B1306="","",VLOOKUP(A1306&amp;B1306,INSUMOS!C:G,3,0))</f>
        <v/>
      </c>
      <c r="F1306" s="118"/>
      <c r="G1306" s="113" t="str">
        <f>IF(A1306&amp;B1306="","",VLOOKUP(A1306&amp;B1306,INSUMOS!C:G,4,0))</f>
        <v/>
      </c>
      <c r="H1306" s="119" t="str">
        <f t="shared" si="207"/>
        <v/>
      </c>
      <c r="I1306" s="119" t="str">
        <f t="shared" si="208"/>
        <v/>
      </c>
      <c r="J1306" s="115" t="str">
        <f t="shared" si="209"/>
        <v/>
      </c>
      <c r="K1306" s="102" t="str">
        <f>IF(A1306&amp;B1306="","",VLOOKUP(A1306&amp;B1306,INSUMOS!C:G,5,0))</f>
        <v/>
      </c>
    </row>
    <row r="1307" spans="1:17" ht="15" x14ac:dyDescent="0.25">
      <c r="A1307" s="109"/>
      <c r="B1307" s="116"/>
      <c r="C1307" s="518" t="str">
        <f>IF(A1307&amp;B1307="","",VLOOKUP(A1307&amp;B1307,INSUMOS!C:G,2,0))</f>
        <v/>
      </c>
      <c r="D1307" s="519"/>
      <c r="E1307" s="117" t="str">
        <f>IF(A1307&amp;B1307="","",VLOOKUP(A1307&amp;B1307,INSUMOS!C:G,3,0))</f>
        <v/>
      </c>
      <c r="F1307" s="118"/>
      <c r="G1307" s="113" t="str">
        <f>IF(A1307&amp;B1307="","",VLOOKUP(A1307&amp;B1307,INSUMOS!C:G,4,0))</f>
        <v/>
      </c>
      <c r="H1307" s="119" t="str">
        <f t="shared" si="207"/>
        <v/>
      </c>
      <c r="I1307" s="119" t="str">
        <f t="shared" si="208"/>
        <v/>
      </c>
      <c r="J1307" s="115" t="str">
        <f t="shared" si="209"/>
        <v/>
      </c>
      <c r="K1307" s="102" t="str">
        <f>IF(A1307&amp;B1307="","",VLOOKUP(A1307&amp;B1307,INSUMOS!C:G,5,0))</f>
        <v/>
      </c>
    </row>
    <row r="1308" spans="1:17" ht="15" x14ac:dyDescent="0.25">
      <c r="A1308" s="109"/>
      <c r="B1308" s="116"/>
      <c r="C1308" s="518" t="str">
        <f>IF(A1308&amp;B1308="","",VLOOKUP(A1308&amp;B1308,INSUMOS!C:G,2,0))</f>
        <v/>
      </c>
      <c r="D1308" s="519"/>
      <c r="E1308" s="117" t="str">
        <f>IF(A1308&amp;B1308="","",VLOOKUP(A1308&amp;B1308,INSUMOS!C:G,3,0))</f>
        <v/>
      </c>
      <c r="F1308" s="118"/>
      <c r="G1308" s="113" t="str">
        <f>IF(A1308&amp;B1308="","",VLOOKUP(A1308&amp;B1308,INSUMOS!C:G,4,0))</f>
        <v/>
      </c>
      <c r="H1308" s="119" t="str">
        <f t="shared" si="207"/>
        <v/>
      </c>
      <c r="I1308" s="119" t="str">
        <f t="shared" si="208"/>
        <v/>
      </c>
      <c r="J1308" s="115" t="str">
        <f t="shared" si="209"/>
        <v/>
      </c>
      <c r="K1308" s="102" t="str">
        <f>IF(A1308&amp;B1308="","",VLOOKUP(A1308&amp;B1308,INSUMOS!C:G,5,0))</f>
        <v/>
      </c>
    </row>
    <row r="1309" spans="1:17" ht="15" x14ac:dyDescent="0.25">
      <c r="A1309" s="109"/>
      <c r="B1309" s="116"/>
      <c r="C1309" s="518" t="str">
        <f>IF(A1309&amp;B1309="","",VLOOKUP(A1309&amp;B1309,INSUMOS!C:G,2,0))</f>
        <v/>
      </c>
      <c r="D1309" s="519"/>
      <c r="E1309" s="117" t="str">
        <f>IF(A1309&amp;B1309="","",VLOOKUP(A1309&amp;B1309,INSUMOS!C:G,3,0))</f>
        <v/>
      </c>
      <c r="F1309" s="118"/>
      <c r="G1309" s="113" t="str">
        <f>IF(A1309&amp;B1309="","",VLOOKUP(A1309&amp;B1309,INSUMOS!C:G,4,0))</f>
        <v/>
      </c>
      <c r="H1309" s="119" t="str">
        <f t="shared" si="207"/>
        <v/>
      </c>
      <c r="I1309" s="119" t="str">
        <f t="shared" si="208"/>
        <v/>
      </c>
      <c r="J1309" s="115" t="str">
        <f t="shared" si="209"/>
        <v/>
      </c>
      <c r="K1309" s="102" t="str">
        <f>IF(A1309&amp;B1309="","",VLOOKUP(A1309&amp;B1309,INSUMOS!C:G,5,0))</f>
        <v/>
      </c>
    </row>
    <row r="1310" spans="1:17" ht="15" x14ac:dyDescent="0.25">
      <c r="A1310" s="109"/>
      <c r="B1310" s="116"/>
      <c r="C1310" s="518" t="str">
        <f>IF(A1310&amp;B1310="","",VLOOKUP(A1310&amp;B1310,INSUMOS!C:G,2,0))</f>
        <v/>
      </c>
      <c r="D1310" s="519"/>
      <c r="E1310" s="117" t="str">
        <f>IF(A1310&amp;B1310="","",VLOOKUP(A1310&amp;B1310,INSUMOS!C:G,3,0))</f>
        <v/>
      </c>
      <c r="F1310" s="118"/>
      <c r="G1310" s="113" t="str">
        <f>IF(A1310&amp;B1310="","",VLOOKUP(A1310&amp;B1310,INSUMOS!C:G,4,0))</f>
        <v/>
      </c>
      <c r="H1310" s="119" t="str">
        <f t="shared" si="207"/>
        <v/>
      </c>
      <c r="I1310" s="119" t="str">
        <f t="shared" si="208"/>
        <v/>
      </c>
      <c r="J1310" s="115" t="str">
        <f t="shared" si="209"/>
        <v/>
      </c>
      <c r="K1310" s="102" t="str">
        <f>IF(A1310&amp;B1310="","",VLOOKUP(A1310&amp;B1310,INSUMOS!C:G,5,0))</f>
        <v/>
      </c>
    </row>
    <row r="1311" spans="1:17" ht="15" x14ac:dyDescent="0.25">
      <c r="A1311" s="109"/>
      <c r="B1311" s="116"/>
      <c r="C1311" s="518" t="str">
        <f>IF(A1311&amp;B1311="","",VLOOKUP(A1311&amp;B1311,INSUMOS!C:G,2,0))</f>
        <v/>
      </c>
      <c r="D1311" s="519"/>
      <c r="E1311" s="117" t="str">
        <f>IF(A1311&amp;B1311="","",VLOOKUP(A1311&amp;B1311,INSUMOS!C:G,3,0))</f>
        <v/>
      </c>
      <c r="F1311" s="118"/>
      <c r="G1311" s="113" t="str">
        <f>IF(A1311&amp;B1311="","",VLOOKUP(A1311&amp;B1311,INSUMOS!C:G,4,0))</f>
        <v/>
      </c>
      <c r="H1311" s="119" t="str">
        <f t="shared" si="207"/>
        <v/>
      </c>
      <c r="I1311" s="119" t="str">
        <f t="shared" si="208"/>
        <v/>
      </c>
      <c r="J1311" s="115" t="str">
        <f t="shared" si="209"/>
        <v/>
      </c>
      <c r="K1311" s="102" t="str">
        <f>IF(A1311&amp;B1311="","",VLOOKUP(A1311&amp;B1311,INSUMOS!C:G,5,0))</f>
        <v/>
      </c>
    </row>
    <row r="1312" spans="1:17" ht="15" x14ac:dyDescent="0.25">
      <c r="A1312" s="120"/>
      <c r="B1312" s="121"/>
      <c r="C1312" s="518" t="str">
        <f>IF(A1312&amp;B1312="","",VLOOKUP(A1312&amp;B1312,INSUMOS!C:G,2,0))</f>
        <v/>
      </c>
      <c r="D1312" s="519"/>
      <c r="E1312" s="117" t="str">
        <f>IF(A1312&amp;B1312="","",VLOOKUP(A1312&amp;B1312,INSUMOS!C:G,3,0))</f>
        <v/>
      </c>
      <c r="F1312" s="118"/>
      <c r="G1312" s="122" t="str">
        <f>IF(A1312&amp;B1312="","",VLOOKUP(A1312&amp;B1312,INSUMOS!C:G,4,0))</f>
        <v/>
      </c>
      <c r="H1312" s="119" t="str">
        <f t="shared" si="207"/>
        <v/>
      </c>
      <c r="I1312" s="119" t="str">
        <f t="shared" si="208"/>
        <v/>
      </c>
      <c r="J1312" s="115" t="str">
        <f t="shared" si="209"/>
        <v/>
      </c>
      <c r="K1312" s="102" t="str">
        <f>IF(A1312&amp;B1312="","",VLOOKUP(A1312&amp;B1312,INSUMOS!C:G,5,0))</f>
        <v/>
      </c>
    </row>
    <row r="1313" spans="1:17" ht="15" x14ac:dyDescent="0.25">
      <c r="A1313" s="120"/>
      <c r="B1313" s="121"/>
      <c r="C1313" s="518" t="str">
        <f>IF(A1313&amp;B1313="","",VLOOKUP(A1313&amp;B1313,INSUMOS!C:G,2,0))</f>
        <v/>
      </c>
      <c r="D1313" s="519"/>
      <c r="E1313" s="117" t="str">
        <f>IF(A1313&amp;B1313="","",VLOOKUP(A1313&amp;B1313,INSUMOS!C:G,3,0))</f>
        <v/>
      </c>
      <c r="F1313" s="118"/>
      <c r="G1313" s="122" t="str">
        <f>IF(A1313&amp;B1313="","",VLOOKUP(A1313&amp;B1313,INSUMOS!C:G,4,0))</f>
        <v/>
      </c>
      <c r="H1313" s="119" t="str">
        <f t="shared" si="207"/>
        <v/>
      </c>
      <c r="I1313" s="119" t="str">
        <f t="shared" si="208"/>
        <v/>
      </c>
      <c r="J1313" s="115" t="str">
        <f t="shared" si="209"/>
        <v/>
      </c>
      <c r="K1313" s="102" t="str">
        <f>IF(A1313&amp;B1313="","",VLOOKUP(A1313&amp;B1313,INSUMOS!C:G,5,0))</f>
        <v/>
      </c>
    </row>
    <row r="1314" spans="1:17" ht="15" x14ac:dyDescent="0.25">
      <c r="A1314" s="120"/>
      <c r="B1314" s="121"/>
      <c r="C1314" s="518" t="str">
        <f>IF(A1314&amp;B1314="","",VLOOKUP(A1314&amp;B1314,INSUMOS!C:G,2,0))</f>
        <v/>
      </c>
      <c r="D1314" s="519"/>
      <c r="E1314" s="117" t="str">
        <f>IF(A1314&amp;B1314="","",VLOOKUP(A1314&amp;B1314,INSUMOS!C:G,3,0))</f>
        <v/>
      </c>
      <c r="F1314" s="118"/>
      <c r="G1314" s="122" t="str">
        <f>IF(A1314&amp;B1314="","",VLOOKUP(A1314&amp;B1314,INSUMOS!C:G,4,0))</f>
        <v/>
      </c>
      <c r="H1314" s="119" t="str">
        <f t="shared" si="207"/>
        <v/>
      </c>
      <c r="I1314" s="119" t="str">
        <f t="shared" si="208"/>
        <v/>
      </c>
      <c r="J1314" s="115" t="str">
        <f t="shared" si="209"/>
        <v/>
      </c>
      <c r="K1314" s="102" t="str">
        <f>IF(A1314&amp;B1314="","",VLOOKUP(A1314&amp;B1314,INSUMOS!C:G,5,0))</f>
        <v/>
      </c>
    </row>
    <row r="1315" spans="1:17" ht="15" x14ac:dyDescent="0.25">
      <c r="A1315" s="123" t="s">
        <v>4399</v>
      </c>
      <c r="B1315" s="520"/>
      <c r="C1315" s="520"/>
      <c r="D1315" s="520"/>
      <c r="E1315" s="520"/>
      <c r="F1315" s="521"/>
      <c r="G1315" s="124" t="s">
        <v>50</v>
      </c>
      <c r="H1315" s="125">
        <f>SUM(H1302:H1314)</f>
        <v>17.260000000000002</v>
      </c>
      <c r="I1315" s="125">
        <f>SUM(I1302:I1314)</f>
        <v>132.99</v>
      </c>
      <c r="J1315" s="126">
        <f>SUM(J1302:J1314)</f>
        <v>0</v>
      </c>
    </row>
    <row r="1316" spans="1:17" ht="15" x14ac:dyDescent="0.25">
      <c r="A1316" s="127" t="s">
        <v>4400</v>
      </c>
      <c r="B1316" s="128"/>
      <c r="C1316" s="128"/>
      <c r="D1316" s="127" t="s">
        <v>51</v>
      </c>
      <c r="E1316" s="128"/>
      <c r="F1316" s="129"/>
      <c r="G1316" s="130" t="s">
        <v>55</v>
      </c>
      <c r="H1316" s="131" t="s">
        <v>52</v>
      </c>
      <c r="I1316" s="132"/>
      <c r="J1316" s="125">
        <f>SUM(H1315:J1315)</f>
        <v>150.25</v>
      </c>
    </row>
    <row r="1317" spans="1:17" ht="15" x14ac:dyDescent="0.25">
      <c r="A1317" s="313" t="str">
        <f>$I$3</f>
        <v>Carlos Wieck</v>
      </c>
      <c r="B1317" s="133"/>
      <c r="C1317" s="133"/>
      <c r="D1317" s="134"/>
      <c r="E1317" s="133"/>
      <c r="F1317" s="135"/>
      <c r="G1317" s="522">
        <f>$J$5</f>
        <v>43040</v>
      </c>
      <c r="H1317" s="136" t="s">
        <v>53</v>
      </c>
      <c r="I1317" s="137"/>
      <c r="J1317" s="125">
        <f>TRUNC(I1317*J1316,2)</f>
        <v>0</v>
      </c>
    </row>
    <row r="1318" spans="1:17" ht="15" x14ac:dyDescent="0.25">
      <c r="A1318" s="138"/>
      <c r="B1318" s="139"/>
      <c r="C1318" s="139"/>
      <c r="D1318" s="138"/>
      <c r="E1318" s="139"/>
      <c r="F1318" s="140"/>
      <c r="G1318" s="523"/>
      <c r="H1318" s="141" t="s">
        <v>54</v>
      </c>
      <c r="I1318" s="142"/>
      <c r="J1318" s="143">
        <f>J1317+J1316</f>
        <v>150.25</v>
      </c>
      <c r="L1318" s="102" t="str">
        <f>A1299</f>
        <v>COMPOSIÇÃO</v>
      </c>
      <c r="M1318" s="144" t="str">
        <f>B1299</f>
        <v>FF-050</v>
      </c>
      <c r="N1318" s="102" t="str">
        <f>L1318&amp;M1318</f>
        <v>COMPOSIÇÃOFF-050</v>
      </c>
      <c r="O1318" s="103" t="str">
        <f>D1298</f>
        <v>Fornecimento e plantio de Dicksonia sellowiana - Xaxim</v>
      </c>
      <c r="P1318" s="145" t="str">
        <f>J1299</f>
        <v>un</v>
      </c>
      <c r="Q1318" s="145">
        <f>J1318</f>
        <v>150.25</v>
      </c>
    </row>
    <row r="1319" spans="1:17" ht="15" customHeight="1" x14ac:dyDescent="0.25">
      <c r="A1319" s="524" t="s">
        <v>40</v>
      </c>
      <c r="B1319" s="525"/>
      <c r="C1319" s="104" t="s">
        <v>41</v>
      </c>
      <c r="D1319" s="526" t="str">
        <f>IF(B1320="","",VLOOKUP(B1320,SERVIÇOS!B:E,3,0))</f>
        <v>Fornecimento e plantio de Monstera adansonii - Monstera do amazonas</v>
      </c>
      <c r="E1319" s="526"/>
      <c r="F1319" s="526"/>
      <c r="G1319" s="526"/>
      <c r="H1319" s="526"/>
      <c r="I1319" s="527"/>
      <c r="J1319" s="105" t="s">
        <v>42</v>
      </c>
    </row>
    <row r="1320" spans="1:17" ht="15" x14ac:dyDescent="0.25">
      <c r="A1320" s="230" t="s">
        <v>4715</v>
      </c>
      <c r="B1320" s="230" t="s">
        <v>5043</v>
      </c>
      <c r="C1320" s="106"/>
      <c r="D1320" s="528"/>
      <c r="E1320" s="528"/>
      <c r="F1320" s="528"/>
      <c r="G1320" s="528"/>
      <c r="H1320" s="528"/>
      <c r="I1320" s="529"/>
      <c r="J1320" s="107" t="str">
        <f>IF(B1320="","",VLOOKUP(B1320,SERVIÇOS!B:E,4,0))</f>
        <v>un</v>
      </c>
    </row>
    <row r="1321" spans="1:17" ht="15" x14ac:dyDescent="0.25">
      <c r="A1321" s="530" t="s">
        <v>4397</v>
      </c>
      <c r="B1321" s="531" t="s">
        <v>11</v>
      </c>
      <c r="C1321" s="533" t="s">
        <v>43</v>
      </c>
      <c r="D1321" s="534"/>
      <c r="E1321" s="530" t="s">
        <v>13</v>
      </c>
      <c r="F1321" s="530" t="s">
        <v>44</v>
      </c>
      <c r="G1321" s="538" t="s">
        <v>45</v>
      </c>
      <c r="H1321" s="108" t="s">
        <v>46</v>
      </c>
      <c r="I1321" s="108"/>
      <c r="J1321" s="108"/>
    </row>
    <row r="1322" spans="1:17" ht="15" x14ac:dyDescent="0.25">
      <c r="A1322" s="530"/>
      <c r="B1322" s="532"/>
      <c r="C1322" s="535"/>
      <c r="D1322" s="536"/>
      <c r="E1322" s="537"/>
      <c r="F1322" s="537"/>
      <c r="G1322" s="539"/>
      <c r="H1322" s="108" t="s">
        <v>47</v>
      </c>
      <c r="I1322" s="108" t="s">
        <v>48</v>
      </c>
      <c r="J1322" s="108" t="s">
        <v>49</v>
      </c>
    </row>
    <row r="1323" spans="1:17" ht="15" x14ac:dyDescent="0.25">
      <c r="A1323" s="109" t="s">
        <v>4717</v>
      </c>
      <c r="B1323" s="116" t="s">
        <v>4962</v>
      </c>
      <c r="C1323" s="540" t="str">
        <f>IF(A1323&amp;B1323="","",VLOOKUP(A1323&amp;B1323,INSUMOS!C:G,2,0))</f>
        <v>Fornecimento e plantio de Monstera adansonii - Monstera do amazonas</v>
      </c>
      <c r="D1323" s="541"/>
      <c r="E1323" s="111" t="str">
        <f>IF(A1323&amp;B1323="","",VLOOKUP(A1323&amp;B1323,INSUMOS!C:G,3,0))</f>
        <v>un</v>
      </c>
      <c r="F1323" s="112">
        <v>1</v>
      </c>
      <c r="G1323" s="113">
        <f>IF(A1323&amp;B1323="","",VLOOKUP(A1323&amp;B1323,INSUMOS!C:G,4,0))</f>
        <v>32.933999999999997</v>
      </c>
      <c r="H1323" s="114" t="str">
        <f>IF(K1323="MO",TRUNC(F1323*G1323,2),"")</f>
        <v/>
      </c>
      <c r="I1323" s="114">
        <f>IF(K1323="MT",TRUNC(F1323*G1323,2),"")</f>
        <v>32.93</v>
      </c>
      <c r="J1323" s="115" t="str">
        <f>IF(K1323="EQ",TRUNC(F1323*G1323,2),"")</f>
        <v/>
      </c>
      <c r="K1323" s="102" t="str">
        <f>IF(A1323&amp;B1323="","",VLOOKUP(A1323&amp;B1323,INSUMOS!C:G,5,0))</f>
        <v>MT</v>
      </c>
    </row>
    <row r="1324" spans="1:17" ht="15" x14ac:dyDescent="0.25">
      <c r="A1324" s="109" t="s">
        <v>4398</v>
      </c>
      <c r="B1324" s="116">
        <v>10101</v>
      </c>
      <c r="C1324" s="518" t="str">
        <f>IF(A1324&amp;B1324="","",VLOOKUP(A1324&amp;B1324,INSUMOS!C:G,2,0))</f>
        <v>Ajudante geral</v>
      </c>
      <c r="D1324" s="519"/>
      <c r="E1324" s="117" t="str">
        <f>IF(A1324&amp;B1324="","",VLOOKUP(A1324&amp;B1324,INSUMOS!C:G,3,0))</f>
        <v>h</v>
      </c>
      <c r="F1324" s="118">
        <v>0.2</v>
      </c>
      <c r="G1324" s="113">
        <f>IF(A1324&amp;B1324="","",VLOOKUP(A1324&amp;B1324,INSUMOS!C:G,4,0))</f>
        <v>11.238228999999999</v>
      </c>
      <c r="H1324" s="119">
        <f t="shared" ref="H1324:H1335" si="210">IF(K1324="MO",TRUNC(F1324*G1324,2),"")</f>
        <v>2.2400000000000002</v>
      </c>
      <c r="I1324" s="119" t="str">
        <f t="shared" ref="I1324:I1335" si="211">IF(K1324="MT",TRUNC(F1324*G1324,2),"")</f>
        <v/>
      </c>
      <c r="J1324" s="115" t="str">
        <f t="shared" ref="J1324:J1335" si="212">IF(K1324="EQ",TRUNC(F1324*G1324,2),"")</f>
        <v/>
      </c>
      <c r="K1324" s="102" t="str">
        <f>IF(A1324&amp;B1324="","",VLOOKUP(A1324&amp;B1324,INSUMOS!C:G,5,0))</f>
        <v>MO</v>
      </c>
    </row>
    <row r="1325" spans="1:17" ht="15" x14ac:dyDescent="0.25">
      <c r="A1325" s="109" t="s">
        <v>4398</v>
      </c>
      <c r="B1325" s="116">
        <v>10126</v>
      </c>
      <c r="C1325" s="518" t="str">
        <f>IF(A1325&amp;B1325="","",VLOOKUP(A1325&amp;B1325,INSUMOS!C:G,2,0))</f>
        <v>Jardineiro</v>
      </c>
      <c r="D1325" s="519"/>
      <c r="E1325" s="117" t="str">
        <f>IF(A1325&amp;B1325="","",VLOOKUP(A1325&amp;B1325,INSUMOS!C:G,3,0))</f>
        <v>h</v>
      </c>
      <c r="F1325" s="118">
        <v>0.1</v>
      </c>
      <c r="G1325" s="113">
        <f>IF(A1325&amp;B1325="","",VLOOKUP(A1325&amp;B1325,INSUMOS!C:G,4,0))</f>
        <v>12.07574</v>
      </c>
      <c r="H1325" s="119">
        <f t="shared" si="210"/>
        <v>1.2</v>
      </c>
      <c r="I1325" s="119" t="str">
        <f t="shared" si="211"/>
        <v/>
      </c>
      <c r="J1325" s="115" t="str">
        <f t="shared" si="212"/>
        <v/>
      </c>
      <c r="K1325" s="102" t="str">
        <f>IF(A1325&amp;B1325="","",VLOOKUP(A1325&amp;B1325,INSUMOS!C:G,5,0))</f>
        <v>MO</v>
      </c>
    </row>
    <row r="1326" spans="1:17" ht="15" x14ac:dyDescent="0.25">
      <c r="A1326" s="109" t="s">
        <v>4398</v>
      </c>
      <c r="B1326" s="116">
        <v>38511</v>
      </c>
      <c r="C1326" s="518" t="str">
        <f>IF(A1326&amp;B1326="","",VLOOKUP(A1326&amp;B1326,INSUMOS!C:G,2,0))</f>
        <v>Terra vegetal orgânica comum</v>
      </c>
      <c r="D1326" s="519"/>
      <c r="E1326" s="117" t="str">
        <f>IF(A1326&amp;B1326="","",VLOOKUP(A1326&amp;B1326,INSUMOS!C:G,3,0))</f>
        <v>m³</v>
      </c>
      <c r="F1326" s="118">
        <v>0.05</v>
      </c>
      <c r="G1326" s="113">
        <f>IF(A1326&amp;B1326="","",VLOOKUP(A1326&amp;B1326,INSUMOS!C:G,4,0))</f>
        <v>92.46</v>
      </c>
      <c r="H1326" s="119" t="str">
        <f t="shared" si="210"/>
        <v/>
      </c>
      <c r="I1326" s="119">
        <f t="shared" si="211"/>
        <v>4.62</v>
      </c>
      <c r="J1326" s="115" t="str">
        <f t="shared" si="212"/>
        <v/>
      </c>
      <c r="K1326" s="102" t="str">
        <f>IF(A1326&amp;B1326="","",VLOOKUP(A1326&amp;B1326,INSUMOS!C:G,5,0))</f>
        <v>MT</v>
      </c>
    </row>
    <row r="1327" spans="1:17" ht="15" x14ac:dyDescent="0.25">
      <c r="A1327" s="109"/>
      <c r="B1327" s="116"/>
      <c r="C1327" s="518" t="str">
        <f>IF(A1327&amp;B1327="","",VLOOKUP(A1327&amp;B1327,INSUMOS!C:G,2,0))</f>
        <v/>
      </c>
      <c r="D1327" s="519"/>
      <c r="E1327" s="117" t="str">
        <f>IF(A1327&amp;B1327="","",VLOOKUP(A1327&amp;B1327,INSUMOS!C:G,3,0))</f>
        <v/>
      </c>
      <c r="F1327" s="118"/>
      <c r="G1327" s="113" t="str">
        <f>IF(A1327&amp;B1327="","",VLOOKUP(A1327&amp;B1327,INSUMOS!C:G,4,0))</f>
        <v/>
      </c>
      <c r="H1327" s="119" t="str">
        <f t="shared" si="210"/>
        <v/>
      </c>
      <c r="I1327" s="119" t="str">
        <f t="shared" si="211"/>
        <v/>
      </c>
      <c r="J1327" s="115" t="str">
        <f t="shared" si="212"/>
        <v/>
      </c>
      <c r="K1327" s="102" t="str">
        <f>IF(A1327&amp;B1327="","",VLOOKUP(A1327&amp;B1327,INSUMOS!C:G,5,0))</f>
        <v/>
      </c>
    </row>
    <row r="1328" spans="1:17" ht="15" x14ac:dyDescent="0.25">
      <c r="A1328" s="109"/>
      <c r="B1328" s="116"/>
      <c r="C1328" s="518" t="str">
        <f>IF(A1328&amp;B1328="","",VLOOKUP(A1328&amp;B1328,INSUMOS!C:G,2,0))</f>
        <v/>
      </c>
      <c r="D1328" s="519"/>
      <c r="E1328" s="117" t="str">
        <f>IF(A1328&amp;B1328="","",VLOOKUP(A1328&amp;B1328,INSUMOS!C:G,3,0))</f>
        <v/>
      </c>
      <c r="F1328" s="118"/>
      <c r="G1328" s="113" t="str">
        <f>IF(A1328&amp;B1328="","",VLOOKUP(A1328&amp;B1328,INSUMOS!C:G,4,0))</f>
        <v/>
      </c>
      <c r="H1328" s="119" t="str">
        <f t="shared" si="210"/>
        <v/>
      </c>
      <c r="I1328" s="119" t="str">
        <f t="shared" si="211"/>
        <v/>
      </c>
      <c r="J1328" s="115" t="str">
        <f t="shared" si="212"/>
        <v/>
      </c>
      <c r="K1328" s="102" t="str">
        <f>IF(A1328&amp;B1328="","",VLOOKUP(A1328&amp;B1328,INSUMOS!C:G,5,0))</f>
        <v/>
      </c>
    </row>
    <row r="1329" spans="1:17" ht="15" x14ac:dyDescent="0.25">
      <c r="A1329" s="109"/>
      <c r="B1329" s="116"/>
      <c r="C1329" s="518" t="str">
        <f>IF(A1329&amp;B1329="","",VLOOKUP(A1329&amp;B1329,INSUMOS!C:G,2,0))</f>
        <v/>
      </c>
      <c r="D1329" s="519"/>
      <c r="E1329" s="117" t="str">
        <f>IF(A1329&amp;B1329="","",VLOOKUP(A1329&amp;B1329,INSUMOS!C:G,3,0))</f>
        <v/>
      </c>
      <c r="F1329" s="118"/>
      <c r="G1329" s="113" t="str">
        <f>IF(A1329&amp;B1329="","",VLOOKUP(A1329&amp;B1329,INSUMOS!C:G,4,0))</f>
        <v/>
      </c>
      <c r="H1329" s="119" t="str">
        <f t="shared" si="210"/>
        <v/>
      </c>
      <c r="I1329" s="119" t="str">
        <f t="shared" si="211"/>
        <v/>
      </c>
      <c r="J1329" s="115" t="str">
        <f t="shared" si="212"/>
        <v/>
      </c>
      <c r="K1329" s="102" t="str">
        <f>IF(A1329&amp;B1329="","",VLOOKUP(A1329&amp;B1329,INSUMOS!C:G,5,0))</f>
        <v/>
      </c>
    </row>
    <row r="1330" spans="1:17" ht="15" x14ac:dyDescent="0.25">
      <c r="A1330" s="109"/>
      <c r="B1330" s="116"/>
      <c r="C1330" s="518" t="str">
        <f>IF(A1330&amp;B1330="","",VLOOKUP(A1330&amp;B1330,INSUMOS!C:G,2,0))</f>
        <v/>
      </c>
      <c r="D1330" s="519"/>
      <c r="E1330" s="117" t="str">
        <f>IF(A1330&amp;B1330="","",VLOOKUP(A1330&amp;B1330,INSUMOS!C:G,3,0))</f>
        <v/>
      </c>
      <c r="F1330" s="118"/>
      <c r="G1330" s="113" t="str">
        <f>IF(A1330&amp;B1330="","",VLOOKUP(A1330&amp;B1330,INSUMOS!C:G,4,0))</f>
        <v/>
      </c>
      <c r="H1330" s="119" t="str">
        <f t="shared" si="210"/>
        <v/>
      </c>
      <c r="I1330" s="119" t="str">
        <f t="shared" si="211"/>
        <v/>
      </c>
      <c r="J1330" s="115" t="str">
        <f t="shared" si="212"/>
        <v/>
      </c>
      <c r="K1330" s="102" t="str">
        <f>IF(A1330&amp;B1330="","",VLOOKUP(A1330&amp;B1330,INSUMOS!C:G,5,0))</f>
        <v/>
      </c>
    </row>
    <row r="1331" spans="1:17" ht="15" x14ac:dyDescent="0.25">
      <c r="A1331" s="109"/>
      <c r="B1331" s="116"/>
      <c r="C1331" s="518" t="str">
        <f>IF(A1331&amp;B1331="","",VLOOKUP(A1331&amp;B1331,INSUMOS!C:G,2,0))</f>
        <v/>
      </c>
      <c r="D1331" s="519"/>
      <c r="E1331" s="117" t="str">
        <f>IF(A1331&amp;B1331="","",VLOOKUP(A1331&amp;B1331,INSUMOS!C:G,3,0))</f>
        <v/>
      </c>
      <c r="F1331" s="118"/>
      <c r="G1331" s="113" t="str">
        <f>IF(A1331&amp;B1331="","",VLOOKUP(A1331&amp;B1331,INSUMOS!C:G,4,0))</f>
        <v/>
      </c>
      <c r="H1331" s="119" t="str">
        <f t="shared" si="210"/>
        <v/>
      </c>
      <c r="I1331" s="119" t="str">
        <f t="shared" si="211"/>
        <v/>
      </c>
      <c r="J1331" s="115" t="str">
        <f t="shared" si="212"/>
        <v/>
      </c>
      <c r="K1331" s="102" t="str">
        <f>IF(A1331&amp;B1331="","",VLOOKUP(A1331&amp;B1331,INSUMOS!C:G,5,0))</f>
        <v/>
      </c>
    </row>
    <row r="1332" spans="1:17" ht="15" x14ac:dyDescent="0.25">
      <c r="A1332" s="109"/>
      <c r="B1332" s="116"/>
      <c r="C1332" s="518" t="str">
        <f>IF(A1332&amp;B1332="","",VLOOKUP(A1332&amp;B1332,INSUMOS!C:G,2,0))</f>
        <v/>
      </c>
      <c r="D1332" s="519"/>
      <c r="E1332" s="117" t="str">
        <f>IF(A1332&amp;B1332="","",VLOOKUP(A1332&amp;B1332,INSUMOS!C:G,3,0))</f>
        <v/>
      </c>
      <c r="F1332" s="118"/>
      <c r="G1332" s="113" t="str">
        <f>IF(A1332&amp;B1332="","",VLOOKUP(A1332&amp;B1332,INSUMOS!C:G,4,0))</f>
        <v/>
      </c>
      <c r="H1332" s="119" t="str">
        <f t="shared" si="210"/>
        <v/>
      </c>
      <c r="I1332" s="119" t="str">
        <f t="shared" si="211"/>
        <v/>
      </c>
      <c r="J1332" s="115" t="str">
        <f t="shared" si="212"/>
        <v/>
      </c>
      <c r="K1332" s="102" t="str">
        <f>IF(A1332&amp;B1332="","",VLOOKUP(A1332&amp;B1332,INSUMOS!C:G,5,0))</f>
        <v/>
      </c>
    </row>
    <row r="1333" spans="1:17" ht="15" x14ac:dyDescent="0.25">
      <c r="A1333" s="120"/>
      <c r="B1333" s="121"/>
      <c r="C1333" s="518" t="str">
        <f>IF(A1333&amp;B1333="","",VLOOKUP(A1333&amp;B1333,INSUMOS!C:G,2,0))</f>
        <v/>
      </c>
      <c r="D1333" s="519"/>
      <c r="E1333" s="117" t="str">
        <f>IF(A1333&amp;B1333="","",VLOOKUP(A1333&amp;B1333,INSUMOS!C:G,3,0))</f>
        <v/>
      </c>
      <c r="F1333" s="118"/>
      <c r="G1333" s="122" t="str">
        <f>IF(A1333&amp;B1333="","",VLOOKUP(A1333&amp;B1333,INSUMOS!C:G,4,0))</f>
        <v/>
      </c>
      <c r="H1333" s="119" t="str">
        <f t="shared" si="210"/>
        <v/>
      </c>
      <c r="I1333" s="119" t="str">
        <f t="shared" si="211"/>
        <v/>
      </c>
      <c r="J1333" s="115" t="str">
        <f t="shared" si="212"/>
        <v/>
      </c>
      <c r="K1333" s="102" t="str">
        <f>IF(A1333&amp;B1333="","",VLOOKUP(A1333&amp;B1333,INSUMOS!C:G,5,0))</f>
        <v/>
      </c>
    </row>
    <row r="1334" spans="1:17" ht="15" x14ac:dyDescent="0.25">
      <c r="A1334" s="120"/>
      <c r="B1334" s="121"/>
      <c r="C1334" s="518" t="str">
        <f>IF(A1334&amp;B1334="","",VLOOKUP(A1334&amp;B1334,INSUMOS!C:G,2,0))</f>
        <v/>
      </c>
      <c r="D1334" s="519"/>
      <c r="E1334" s="117" t="str">
        <f>IF(A1334&amp;B1334="","",VLOOKUP(A1334&amp;B1334,INSUMOS!C:G,3,0))</f>
        <v/>
      </c>
      <c r="F1334" s="118"/>
      <c r="G1334" s="122" t="str">
        <f>IF(A1334&amp;B1334="","",VLOOKUP(A1334&amp;B1334,INSUMOS!C:G,4,0))</f>
        <v/>
      </c>
      <c r="H1334" s="119" t="str">
        <f t="shared" si="210"/>
        <v/>
      </c>
      <c r="I1334" s="119" t="str">
        <f t="shared" si="211"/>
        <v/>
      </c>
      <c r="J1334" s="115" t="str">
        <f t="shared" si="212"/>
        <v/>
      </c>
      <c r="K1334" s="102" t="str">
        <f>IF(A1334&amp;B1334="","",VLOOKUP(A1334&amp;B1334,INSUMOS!C:G,5,0))</f>
        <v/>
      </c>
    </row>
    <row r="1335" spans="1:17" ht="15" x14ac:dyDescent="0.25">
      <c r="A1335" s="120"/>
      <c r="B1335" s="121"/>
      <c r="C1335" s="518" t="str">
        <f>IF(A1335&amp;B1335="","",VLOOKUP(A1335&amp;B1335,INSUMOS!C:G,2,0))</f>
        <v/>
      </c>
      <c r="D1335" s="519"/>
      <c r="E1335" s="117" t="str">
        <f>IF(A1335&amp;B1335="","",VLOOKUP(A1335&amp;B1335,INSUMOS!C:G,3,0))</f>
        <v/>
      </c>
      <c r="F1335" s="118"/>
      <c r="G1335" s="122" t="str">
        <f>IF(A1335&amp;B1335="","",VLOOKUP(A1335&amp;B1335,INSUMOS!C:G,4,0))</f>
        <v/>
      </c>
      <c r="H1335" s="119" t="str">
        <f t="shared" si="210"/>
        <v/>
      </c>
      <c r="I1335" s="119" t="str">
        <f t="shared" si="211"/>
        <v/>
      </c>
      <c r="J1335" s="115" t="str">
        <f t="shared" si="212"/>
        <v/>
      </c>
      <c r="K1335" s="102" t="str">
        <f>IF(A1335&amp;B1335="","",VLOOKUP(A1335&amp;B1335,INSUMOS!C:G,5,0))</f>
        <v/>
      </c>
    </row>
    <row r="1336" spans="1:17" ht="15" x14ac:dyDescent="0.25">
      <c r="A1336" s="123" t="s">
        <v>4399</v>
      </c>
      <c r="B1336" s="520"/>
      <c r="C1336" s="520"/>
      <c r="D1336" s="520"/>
      <c r="E1336" s="520"/>
      <c r="F1336" s="521"/>
      <c r="G1336" s="124" t="s">
        <v>50</v>
      </c>
      <c r="H1336" s="125">
        <f>SUM(H1323:H1335)</f>
        <v>3.4400000000000004</v>
      </c>
      <c r="I1336" s="125">
        <f>SUM(I1323:I1335)</f>
        <v>37.549999999999997</v>
      </c>
      <c r="J1336" s="126">
        <f>SUM(J1323:J1335)</f>
        <v>0</v>
      </c>
    </row>
    <row r="1337" spans="1:17" ht="15" x14ac:dyDescent="0.25">
      <c r="A1337" s="127" t="s">
        <v>4400</v>
      </c>
      <c r="B1337" s="128"/>
      <c r="C1337" s="128"/>
      <c r="D1337" s="127" t="s">
        <v>51</v>
      </c>
      <c r="E1337" s="128"/>
      <c r="F1337" s="129"/>
      <c r="G1337" s="130" t="s">
        <v>55</v>
      </c>
      <c r="H1337" s="131" t="s">
        <v>52</v>
      </c>
      <c r="I1337" s="132"/>
      <c r="J1337" s="125">
        <f>SUM(H1336:J1336)</f>
        <v>40.989999999999995</v>
      </c>
    </row>
    <row r="1338" spans="1:17" ht="15" x14ac:dyDescent="0.25">
      <c r="A1338" s="313" t="str">
        <f>$I$3</f>
        <v>Carlos Wieck</v>
      </c>
      <c r="B1338" s="133"/>
      <c r="C1338" s="133"/>
      <c r="D1338" s="134"/>
      <c r="E1338" s="133"/>
      <c r="F1338" s="135"/>
      <c r="G1338" s="522">
        <f>$J$5</f>
        <v>43040</v>
      </c>
      <c r="H1338" s="136" t="s">
        <v>53</v>
      </c>
      <c r="I1338" s="137"/>
      <c r="J1338" s="125">
        <f>TRUNC(I1338*J1337,2)</f>
        <v>0</v>
      </c>
    </row>
    <row r="1339" spans="1:17" ht="15" x14ac:dyDescent="0.25">
      <c r="A1339" s="138"/>
      <c r="B1339" s="139"/>
      <c r="C1339" s="139"/>
      <c r="D1339" s="138"/>
      <c r="E1339" s="139"/>
      <c r="F1339" s="140"/>
      <c r="G1339" s="523"/>
      <c r="H1339" s="141" t="s">
        <v>54</v>
      </c>
      <c r="I1339" s="142"/>
      <c r="J1339" s="143">
        <f>J1338+J1337</f>
        <v>40.989999999999995</v>
      </c>
      <c r="L1339" s="102" t="str">
        <f>A1320</f>
        <v>COMPOSIÇÃO</v>
      </c>
      <c r="M1339" s="144" t="str">
        <f>B1320</f>
        <v>FF-051</v>
      </c>
      <c r="N1339" s="102" t="str">
        <f>L1339&amp;M1339</f>
        <v>COMPOSIÇÃOFF-051</v>
      </c>
      <c r="O1339" s="103" t="str">
        <f>D1319</f>
        <v>Fornecimento e plantio de Monstera adansonii - Monstera do amazonas</v>
      </c>
      <c r="P1339" s="145" t="str">
        <f>J1320</f>
        <v>un</v>
      </c>
      <c r="Q1339" s="145">
        <f>J1339</f>
        <v>40.989999999999995</v>
      </c>
    </row>
    <row r="1340" spans="1:17" ht="15" customHeight="1" x14ac:dyDescent="0.25">
      <c r="A1340" s="524" t="s">
        <v>40</v>
      </c>
      <c r="B1340" s="525"/>
      <c r="C1340" s="104" t="s">
        <v>41</v>
      </c>
      <c r="D1340" s="526" t="str">
        <f>IF(B1341="","",VLOOKUP(B1341,SERVIÇOS!B:E,3,0))</f>
        <v>Fornecimento e plantio de Philodendron bipinnatifidum - Guaimbê</v>
      </c>
      <c r="E1340" s="526"/>
      <c r="F1340" s="526"/>
      <c r="G1340" s="526"/>
      <c r="H1340" s="526"/>
      <c r="I1340" s="527"/>
      <c r="J1340" s="105" t="s">
        <v>42</v>
      </c>
    </row>
    <row r="1341" spans="1:17" ht="15" x14ac:dyDescent="0.25">
      <c r="A1341" s="230" t="s">
        <v>4715</v>
      </c>
      <c r="B1341" s="230" t="s">
        <v>5045</v>
      </c>
      <c r="C1341" s="106"/>
      <c r="D1341" s="528"/>
      <c r="E1341" s="528"/>
      <c r="F1341" s="528"/>
      <c r="G1341" s="528"/>
      <c r="H1341" s="528"/>
      <c r="I1341" s="529"/>
      <c r="J1341" s="107" t="str">
        <f>IF(B1341="","",VLOOKUP(B1341,SERVIÇOS!B:E,4,0))</f>
        <v>un</v>
      </c>
    </row>
    <row r="1342" spans="1:17" ht="15" x14ac:dyDescent="0.25">
      <c r="A1342" s="530" t="s">
        <v>4397</v>
      </c>
      <c r="B1342" s="531" t="s">
        <v>11</v>
      </c>
      <c r="C1342" s="533" t="s">
        <v>43</v>
      </c>
      <c r="D1342" s="534"/>
      <c r="E1342" s="530" t="s">
        <v>13</v>
      </c>
      <c r="F1342" s="530" t="s">
        <v>44</v>
      </c>
      <c r="G1342" s="538" t="s">
        <v>45</v>
      </c>
      <c r="H1342" s="108" t="s">
        <v>46</v>
      </c>
      <c r="I1342" s="108"/>
      <c r="J1342" s="108"/>
    </row>
    <row r="1343" spans="1:17" ht="15" x14ac:dyDescent="0.25">
      <c r="A1343" s="530"/>
      <c r="B1343" s="532"/>
      <c r="C1343" s="535"/>
      <c r="D1343" s="536"/>
      <c r="E1343" s="537"/>
      <c r="F1343" s="537"/>
      <c r="G1343" s="539"/>
      <c r="H1343" s="108" t="s">
        <v>47</v>
      </c>
      <c r="I1343" s="108" t="s">
        <v>48</v>
      </c>
      <c r="J1343" s="108" t="s">
        <v>49</v>
      </c>
    </row>
    <row r="1344" spans="1:17" ht="15" x14ac:dyDescent="0.25">
      <c r="A1344" s="109" t="s">
        <v>4717</v>
      </c>
      <c r="B1344" s="116" t="s">
        <v>4963</v>
      </c>
      <c r="C1344" s="540" t="str">
        <f>IF(A1344&amp;B1344="","",VLOOKUP(A1344&amp;B1344,INSUMOS!C:G,2,0))</f>
        <v>Fornecimento e plantio de Philodendron bipinnatifidum - Guaimbê</v>
      </c>
      <c r="D1344" s="541"/>
      <c r="E1344" s="111" t="str">
        <f>IF(A1344&amp;B1344="","",VLOOKUP(A1344&amp;B1344,INSUMOS!C:G,3,0))</f>
        <v>un</v>
      </c>
      <c r="F1344" s="112">
        <v>1</v>
      </c>
      <c r="G1344" s="113">
        <f>IF(A1344&amp;B1344="","",VLOOKUP(A1344&amp;B1344,INSUMOS!C:G,4,0))</f>
        <v>44.91</v>
      </c>
      <c r="H1344" s="114" t="str">
        <f>IF(K1344="MO",TRUNC(F1344*G1344,2),"")</f>
        <v/>
      </c>
      <c r="I1344" s="114">
        <f>IF(K1344="MT",TRUNC(F1344*G1344,2),"")</f>
        <v>44.91</v>
      </c>
      <c r="J1344" s="115" t="str">
        <f>IF(K1344="EQ",TRUNC(F1344*G1344,2),"")</f>
        <v/>
      </c>
      <c r="K1344" s="102" t="str">
        <f>IF(A1344&amp;B1344="","",VLOOKUP(A1344&amp;B1344,INSUMOS!C:G,5,0))</f>
        <v>MT</v>
      </c>
    </row>
    <row r="1345" spans="1:17" ht="15" x14ac:dyDescent="0.25">
      <c r="A1345" s="109" t="s">
        <v>4398</v>
      </c>
      <c r="B1345" s="116">
        <v>10101</v>
      </c>
      <c r="C1345" s="518" t="str">
        <f>IF(A1345&amp;B1345="","",VLOOKUP(A1345&amp;B1345,INSUMOS!C:G,2,0))</f>
        <v>Ajudante geral</v>
      </c>
      <c r="D1345" s="519"/>
      <c r="E1345" s="117" t="str">
        <f>IF(A1345&amp;B1345="","",VLOOKUP(A1345&amp;B1345,INSUMOS!C:G,3,0))</f>
        <v>h</v>
      </c>
      <c r="F1345" s="118">
        <v>1</v>
      </c>
      <c r="G1345" s="113">
        <f>IF(A1345&amp;B1345="","",VLOOKUP(A1345&amp;B1345,INSUMOS!C:G,4,0))</f>
        <v>11.238228999999999</v>
      </c>
      <c r="H1345" s="119">
        <f t="shared" ref="H1345:H1356" si="213">IF(K1345="MO",TRUNC(F1345*G1345,2),"")</f>
        <v>11.23</v>
      </c>
      <c r="I1345" s="119" t="str">
        <f t="shared" ref="I1345:I1356" si="214">IF(K1345="MT",TRUNC(F1345*G1345,2),"")</f>
        <v/>
      </c>
      <c r="J1345" s="115" t="str">
        <f t="shared" ref="J1345:J1356" si="215">IF(K1345="EQ",TRUNC(F1345*G1345,2),"")</f>
        <v/>
      </c>
      <c r="K1345" s="102" t="str">
        <f>IF(A1345&amp;B1345="","",VLOOKUP(A1345&amp;B1345,INSUMOS!C:G,5,0))</f>
        <v>MO</v>
      </c>
    </row>
    <row r="1346" spans="1:17" ht="15" x14ac:dyDescent="0.25">
      <c r="A1346" s="109" t="s">
        <v>4398</v>
      </c>
      <c r="B1346" s="116">
        <v>10126</v>
      </c>
      <c r="C1346" s="518" t="str">
        <f>IF(A1346&amp;B1346="","",VLOOKUP(A1346&amp;B1346,INSUMOS!C:G,2,0))</f>
        <v>Jardineiro</v>
      </c>
      <c r="D1346" s="519"/>
      <c r="E1346" s="117" t="str">
        <f>IF(A1346&amp;B1346="","",VLOOKUP(A1346&amp;B1346,INSUMOS!C:G,3,0))</f>
        <v>h</v>
      </c>
      <c r="F1346" s="118">
        <v>0.5</v>
      </c>
      <c r="G1346" s="113">
        <f>IF(A1346&amp;B1346="","",VLOOKUP(A1346&amp;B1346,INSUMOS!C:G,4,0))</f>
        <v>12.07574</v>
      </c>
      <c r="H1346" s="119">
        <f t="shared" si="213"/>
        <v>6.03</v>
      </c>
      <c r="I1346" s="119" t="str">
        <f t="shared" si="214"/>
        <v/>
      </c>
      <c r="J1346" s="115" t="str">
        <f t="shared" si="215"/>
        <v/>
      </c>
      <c r="K1346" s="102" t="str">
        <f>IF(A1346&amp;B1346="","",VLOOKUP(A1346&amp;B1346,INSUMOS!C:G,5,0))</f>
        <v>MO</v>
      </c>
    </row>
    <row r="1347" spans="1:17" ht="15" x14ac:dyDescent="0.25">
      <c r="A1347" s="109" t="s">
        <v>4398</v>
      </c>
      <c r="B1347" s="116">
        <v>38511</v>
      </c>
      <c r="C1347" s="518" t="str">
        <f>IF(A1347&amp;B1347="","",VLOOKUP(A1347&amp;B1347,INSUMOS!C:G,2,0))</f>
        <v>Terra vegetal orgânica comum</v>
      </c>
      <c r="D1347" s="519"/>
      <c r="E1347" s="117" t="str">
        <f>IF(A1347&amp;B1347="","",VLOOKUP(A1347&amp;B1347,INSUMOS!C:G,3,0))</f>
        <v>m³</v>
      </c>
      <c r="F1347" s="118">
        <v>0.1</v>
      </c>
      <c r="G1347" s="113">
        <f>IF(A1347&amp;B1347="","",VLOOKUP(A1347&amp;B1347,INSUMOS!C:G,4,0))</f>
        <v>92.46</v>
      </c>
      <c r="H1347" s="119" t="str">
        <f t="shared" si="213"/>
        <v/>
      </c>
      <c r="I1347" s="119">
        <f t="shared" si="214"/>
        <v>9.24</v>
      </c>
      <c r="J1347" s="115" t="str">
        <f t="shared" si="215"/>
        <v/>
      </c>
      <c r="K1347" s="102" t="str">
        <f>IF(A1347&amp;B1347="","",VLOOKUP(A1347&amp;B1347,INSUMOS!C:G,5,0))</f>
        <v>MT</v>
      </c>
    </row>
    <row r="1348" spans="1:17" ht="15" x14ac:dyDescent="0.25">
      <c r="A1348" s="109"/>
      <c r="B1348" s="116"/>
      <c r="C1348" s="518" t="str">
        <f>IF(A1348&amp;B1348="","",VLOOKUP(A1348&amp;B1348,INSUMOS!C:G,2,0))</f>
        <v/>
      </c>
      <c r="D1348" s="519"/>
      <c r="E1348" s="117" t="str">
        <f>IF(A1348&amp;B1348="","",VLOOKUP(A1348&amp;B1348,INSUMOS!C:G,3,0))</f>
        <v/>
      </c>
      <c r="F1348" s="118"/>
      <c r="G1348" s="113" t="str">
        <f>IF(A1348&amp;B1348="","",VLOOKUP(A1348&amp;B1348,INSUMOS!C:G,4,0))</f>
        <v/>
      </c>
      <c r="H1348" s="119" t="str">
        <f t="shared" si="213"/>
        <v/>
      </c>
      <c r="I1348" s="119" t="str">
        <f t="shared" si="214"/>
        <v/>
      </c>
      <c r="J1348" s="115" t="str">
        <f t="shared" si="215"/>
        <v/>
      </c>
      <c r="K1348" s="102" t="str">
        <f>IF(A1348&amp;B1348="","",VLOOKUP(A1348&amp;B1348,INSUMOS!C:G,5,0))</f>
        <v/>
      </c>
    </row>
    <row r="1349" spans="1:17" ht="15" x14ac:dyDescent="0.25">
      <c r="A1349" s="109"/>
      <c r="B1349" s="116"/>
      <c r="C1349" s="518" t="str">
        <f>IF(A1349&amp;B1349="","",VLOOKUP(A1349&amp;B1349,INSUMOS!C:G,2,0))</f>
        <v/>
      </c>
      <c r="D1349" s="519"/>
      <c r="E1349" s="117" t="str">
        <f>IF(A1349&amp;B1349="","",VLOOKUP(A1349&amp;B1349,INSUMOS!C:G,3,0))</f>
        <v/>
      </c>
      <c r="F1349" s="118"/>
      <c r="G1349" s="113" t="str">
        <f>IF(A1349&amp;B1349="","",VLOOKUP(A1349&amp;B1349,INSUMOS!C:G,4,0))</f>
        <v/>
      </c>
      <c r="H1349" s="119" t="str">
        <f t="shared" si="213"/>
        <v/>
      </c>
      <c r="I1349" s="119" t="str">
        <f t="shared" si="214"/>
        <v/>
      </c>
      <c r="J1349" s="115" t="str">
        <f t="shared" si="215"/>
        <v/>
      </c>
      <c r="K1349" s="102" t="str">
        <f>IF(A1349&amp;B1349="","",VLOOKUP(A1349&amp;B1349,INSUMOS!C:G,5,0))</f>
        <v/>
      </c>
    </row>
    <row r="1350" spans="1:17" ht="15" x14ac:dyDescent="0.25">
      <c r="A1350" s="109"/>
      <c r="B1350" s="116"/>
      <c r="C1350" s="518" t="str">
        <f>IF(A1350&amp;B1350="","",VLOOKUP(A1350&amp;B1350,INSUMOS!C:G,2,0))</f>
        <v/>
      </c>
      <c r="D1350" s="519"/>
      <c r="E1350" s="117" t="str">
        <f>IF(A1350&amp;B1350="","",VLOOKUP(A1350&amp;B1350,INSUMOS!C:G,3,0))</f>
        <v/>
      </c>
      <c r="F1350" s="118"/>
      <c r="G1350" s="113" t="str">
        <f>IF(A1350&amp;B1350="","",VLOOKUP(A1350&amp;B1350,INSUMOS!C:G,4,0))</f>
        <v/>
      </c>
      <c r="H1350" s="119" t="str">
        <f t="shared" si="213"/>
        <v/>
      </c>
      <c r="I1350" s="119" t="str">
        <f t="shared" si="214"/>
        <v/>
      </c>
      <c r="J1350" s="115" t="str">
        <f t="shared" si="215"/>
        <v/>
      </c>
      <c r="K1350" s="102" t="str">
        <f>IF(A1350&amp;B1350="","",VLOOKUP(A1350&amp;B1350,INSUMOS!C:G,5,0))</f>
        <v/>
      </c>
    </row>
    <row r="1351" spans="1:17" ht="15" x14ac:dyDescent="0.25">
      <c r="A1351" s="109"/>
      <c r="B1351" s="116"/>
      <c r="C1351" s="518" t="str">
        <f>IF(A1351&amp;B1351="","",VLOOKUP(A1351&amp;B1351,INSUMOS!C:G,2,0))</f>
        <v/>
      </c>
      <c r="D1351" s="519"/>
      <c r="E1351" s="117" t="str">
        <f>IF(A1351&amp;B1351="","",VLOOKUP(A1351&amp;B1351,INSUMOS!C:G,3,0))</f>
        <v/>
      </c>
      <c r="F1351" s="118"/>
      <c r="G1351" s="113" t="str">
        <f>IF(A1351&amp;B1351="","",VLOOKUP(A1351&amp;B1351,INSUMOS!C:G,4,0))</f>
        <v/>
      </c>
      <c r="H1351" s="119" t="str">
        <f t="shared" si="213"/>
        <v/>
      </c>
      <c r="I1351" s="119" t="str">
        <f t="shared" si="214"/>
        <v/>
      </c>
      <c r="J1351" s="115" t="str">
        <f t="shared" si="215"/>
        <v/>
      </c>
      <c r="K1351" s="102" t="str">
        <f>IF(A1351&amp;B1351="","",VLOOKUP(A1351&amp;B1351,INSUMOS!C:G,5,0))</f>
        <v/>
      </c>
    </row>
    <row r="1352" spans="1:17" ht="15" x14ac:dyDescent="0.25">
      <c r="A1352" s="109"/>
      <c r="B1352" s="116"/>
      <c r="C1352" s="518" t="str">
        <f>IF(A1352&amp;B1352="","",VLOOKUP(A1352&amp;B1352,INSUMOS!C:G,2,0))</f>
        <v/>
      </c>
      <c r="D1352" s="519"/>
      <c r="E1352" s="117" t="str">
        <f>IF(A1352&amp;B1352="","",VLOOKUP(A1352&amp;B1352,INSUMOS!C:G,3,0))</f>
        <v/>
      </c>
      <c r="F1352" s="118"/>
      <c r="G1352" s="113" t="str">
        <f>IF(A1352&amp;B1352="","",VLOOKUP(A1352&amp;B1352,INSUMOS!C:G,4,0))</f>
        <v/>
      </c>
      <c r="H1352" s="119" t="str">
        <f t="shared" si="213"/>
        <v/>
      </c>
      <c r="I1352" s="119" t="str">
        <f t="shared" si="214"/>
        <v/>
      </c>
      <c r="J1352" s="115" t="str">
        <f t="shared" si="215"/>
        <v/>
      </c>
      <c r="K1352" s="102" t="str">
        <f>IF(A1352&amp;B1352="","",VLOOKUP(A1352&amp;B1352,INSUMOS!C:G,5,0))</f>
        <v/>
      </c>
    </row>
    <row r="1353" spans="1:17" ht="15" x14ac:dyDescent="0.25">
      <c r="A1353" s="109"/>
      <c r="B1353" s="116"/>
      <c r="C1353" s="518" t="str">
        <f>IF(A1353&amp;B1353="","",VLOOKUP(A1353&amp;B1353,INSUMOS!C:G,2,0))</f>
        <v/>
      </c>
      <c r="D1353" s="519"/>
      <c r="E1353" s="117" t="str">
        <f>IF(A1353&amp;B1353="","",VLOOKUP(A1353&amp;B1353,INSUMOS!C:G,3,0))</f>
        <v/>
      </c>
      <c r="F1353" s="118"/>
      <c r="G1353" s="113" t="str">
        <f>IF(A1353&amp;B1353="","",VLOOKUP(A1353&amp;B1353,INSUMOS!C:G,4,0))</f>
        <v/>
      </c>
      <c r="H1353" s="119" t="str">
        <f t="shared" si="213"/>
        <v/>
      </c>
      <c r="I1353" s="119" t="str">
        <f t="shared" si="214"/>
        <v/>
      </c>
      <c r="J1353" s="115" t="str">
        <f t="shared" si="215"/>
        <v/>
      </c>
      <c r="K1353" s="102" t="str">
        <f>IF(A1353&amp;B1353="","",VLOOKUP(A1353&amp;B1353,INSUMOS!C:G,5,0))</f>
        <v/>
      </c>
    </row>
    <row r="1354" spans="1:17" ht="15" x14ac:dyDescent="0.25">
      <c r="A1354" s="120"/>
      <c r="B1354" s="121"/>
      <c r="C1354" s="518" t="str">
        <f>IF(A1354&amp;B1354="","",VLOOKUP(A1354&amp;B1354,INSUMOS!C:G,2,0))</f>
        <v/>
      </c>
      <c r="D1354" s="519"/>
      <c r="E1354" s="117" t="str">
        <f>IF(A1354&amp;B1354="","",VLOOKUP(A1354&amp;B1354,INSUMOS!C:G,3,0))</f>
        <v/>
      </c>
      <c r="F1354" s="118"/>
      <c r="G1354" s="122" t="str">
        <f>IF(A1354&amp;B1354="","",VLOOKUP(A1354&amp;B1354,INSUMOS!C:G,4,0))</f>
        <v/>
      </c>
      <c r="H1354" s="119" t="str">
        <f t="shared" si="213"/>
        <v/>
      </c>
      <c r="I1354" s="119" t="str">
        <f t="shared" si="214"/>
        <v/>
      </c>
      <c r="J1354" s="115" t="str">
        <f t="shared" si="215"/>
        <v/>
      </c>
      <c r="K1354" s="102" t="str">
        <f>IF(A1354&amp;B1354="","",VLOOKUP(A1354&amp;B1354,INSUMOS!C:G,5,0))</f>
        <v/>
      </c>
    </row>
    <row r="1355" spans="1:17" ht="15" x14ac:dyDescent="0.25">
      <c r="A1355" s="120"/>
      <c r="B1355" s="121"/>
      <c r="C1355" s="518" t="str">
        <f>IF(A1355&amp;B1355="","",VLOOKUP(A1355&amp;B1355,INSUMOS!C:G,2,0))</f>
        <v/>
      </c>
      <c r="D1355" s="519"/>
      <c r="E1355" s="117" t="str">
        <f>IF(A1355&amp;B1355="","",VLOOKUP(A1355&amp;B1355,INSUMOS!C:G,3,0))</f>
        <v/>
      </c>
      <c r="F1355" s="118"/>
      <c r="G1355" s="122" t="str">
        <f>IF(A1355&amp;B1355="","",VLOOKUP(A1355&amp;B1355,INSUMOS!C:G,4,0))</f>
        <v/>
      </c>
      <c r="H1355" s="119" t="str">
        <f t="shared" si="213"/>
        <v/>
      </c>
      <c r="I1355" s="119" t="str">
        <f t="shared" si="214"/>
        <v/>
      </c>
      <c r="J1355" s="115" t="str">
        <f t="shared" si="215"/>
        <v/>
      </c>
      <c r="K1355" s="102" t="str">
        <f>IF(A1355&amp;B1355="","",VLOOKUP(A1355&amp;B1355,INSUMOS!C:G,5,0))</f>
        <v/>
      </c>
    </row>
    <row r="1356" spans="1:17" ht="15" x14ac:dyDescent="0.25">
      <c r="A1356" s="120"/>
      <c r="B1356" s="121"/>
      <c r="C1356" s="518" t="str">
        <f>IF(A1356&amp;B1356="","",VLOOKUP(A1356&amp;B1356,INSUMOS!C:G,2,0))</f>
        <v/>
      </c>
      <c r="D1356" s="519"/>
      <c r="E1356" s="117" t="str">
        <f>IF(A1356&amp;B1356="","",VLOOKUP(A1356&amp;B1356,INSUMOS!C:G,3,0))</f>
        <v/>
      </c>
      <c r="F1356" s="118"/>
      <c r="G1356" s="122" t="str">
        <f>IF(A1356&amp;B1356="","",VLOOKUP(A1356&amp;B1356,INSUMOS!C:G,4,0))</f>
        <v/>
      </c>
      <c r="H1356" s="119" t="str">
        <f t="shared" si="213"/>
        <v/>
      </c>
      <c r="I1356" s="119" t="str">
        <f t="shared" si="214"/>
        <v/>
      </c>
      <c r="J1356" s="115" t="str">
        <f t="shared" si="215"/>
        <v/>
      </c>
      <c r="K1356" s="102" t="str">
        <f>IF(A1356&amp;B1356="","",VLOOKUP(A1356&amp;B1356,INSUMOS!C:G,5,0))</f>
        <v/>
      </c>
    </row>
    <row r="1357" spans="1:17" ht="15" x14ac:dyDescent="0.25">
      <c r="A1357" s="123" t="s">
        <v>4399</v>
      </c>
      <c r="B1357" s="520"/>
      <c r="C1357" s="520"/>
      <c r="D1357" s="520"/>
      <c r="E1357" s="520"/>
      <c r="F1357" s="521"/>
      <c r="G1357" s="124" t="s">
        <v>50</v>
      </c>
      <c r="H1357" s="125">
        <f>SUM(H1344:H1356)</f>
        <v>17.260000000000002</v>
      </c>
      <c r="I1357" s="125">
        <f>SUM(I1344:I1356)</f>
        <v>54.15</v>
      </c>
      <c r="J1357" s="126">
        <f>SUM(J1344:J1356)</f>
        <v>0</v>
      </c>
    </row>
    <row r="1358" spans="1:17" ht="15" x14ac:dyDescent="0.25">
      <c r="A1358" s="127" t="s">
        <v>4400</v>
      </c>
      <c r="B1358" s="128"/>
      <c r="C1358" s="128"/>
      <c r="D1358" s="127" t="s">
        <v>51</v>
      </c>
      <c r="E1358" s="128"/>
      <c r="F1358" s="129"/>
      <c r="G1358" s="130" t="s">
        <v>55</v>
      </c>
      <c r="H1358" s="131" t="s">
        <v>52</v>
      </c>
      <c r="I1358" s="132"/>
      <c r="J1358" s="125">
        <f>SUM(H1357:J1357)</f>
        <v>71.41</v>
      </c>
    </row>
    <row r="1359" spans="1:17" ht="15" x14ac:dyDescent="0.25">
      <c r="A1359" s="313" t="str">
        <f>$I$3</f>
        <v>Carlos Wieck</v>
      </c>
      <c r="B1359" s="133"/>
      <c r="C1359" s="133"/>
      <c r="D1359" s="134"/>
      <c r="E1359" s="133"/>
      <c r="F1359" s="135"/>
      <c r="G1359" s="522">
        <f>$J$5</f>
        <v>43040</v>
      </c>
      <c r="H1359" s="136" t="s">
        <v>53</v>
      </c>
      <c r="I1359" s="137"/>
      <c r="J1359" s="125">
        <f>TRUNC(I1359*J1358,2)</f>
        <v>0</v>
      </c>
    </row>
    <row r="1360" spans="1:17" ht="15" x14ac:dyDescent="0.25">
      <c r="A1360" s="138"/>
      <c r="B1360" s="139"/>
      <c r="C1360" s="139"/>
      <c r="D1360" s="138"/>
      <c r="E1360" s="139"/>
      <c r="F1360" s="140"/>
      <c r="G1360" s="523"/>
      <c r="H1360" s="141" t="s">
        <v>54</v>
      </c>
      <c r="I1360" s="142"/>
      <c r="J1360" s="143">
        <f>J1359+J1358</f>
        <v>71.41</v>
      </c>
      <c r="L1360" s="102" t="str">
        <f>A1341</f>
        <v>COMPOSIÇÃO</v>
      </c>
      <c r="M1360" s="144" t="str">
        <f>B1341</f>
        <v>FF-052</v>
      </c>
      <c r="N1360" s="102" t="str">
        <f>L1360&amp;M1360</f>
        <v>COMPOSIÇÃOFF-052</v>
      </c>
      <c r="O1360" s="103" t="str">
        <f>D1340</f>
        <v>Fornecimento e plantio de Philodendron bipinnatifidum - Guaimbê</v>
      </c>
      <c r="P1360" s="145" t="str">
        <f>J1341</f>
        <v>un</v>
      </c>
      <c r="Q1360" s="145">
        <f>J1360</f>
        <v>71.41</v>
      </c>
    </row>
    <row r="1361" spans="1:11" ht="15" customHeight="1" x14ac:dyDescent="0.25">
      <c r="A1361" s="524" t="s">
        <v>40</v>
      </c>
      <c r="B1361" s="525"/>
      <c r="C1361" s="104" t="s">
        <v>41</v>
      </c>
      <c r="D1361" s="526" t="str">
        <f>IF(B1362="","",VLOOKUP(B1362,SERVIÇOS!B:E,3,0))</f>
        <v>Fornecimento e plantio de Quesnelia humilis  - Bromélia</v>
      </c>
      <c r="E1361" s="526"/>
      <c r="F1361" s="526"/>
      <c r="G1361" s="526"/>
      <c r="H1361" s="526"/>
      <c r="I1361" s="527"/>
      <c r="J1361" s="105" t="s">
        <v>42</v>
      </c>
    </row>
    <row r="1362" spans="1:11" ht="15" x14ac:dyDescent="0.25">
      <c r="A1362" s="230" t="s">
        <v>4715</v>
      </c>
      <c r="B1362" s="230" t="s">
        <v>5057</v>
      </c>
      <c r="C1362" s="106"/>
      <c r="D1362" s="528"/>
      <c r="E1362" s="528"/>
      <c r="F1362" s="528"/>
      <c r="G1362" s="528"/>
      <c r="H1362" s="528"/>
      <c r="I1362" s="529"/>
      <c r="J1362" s="107" t="str">
        <f>IF(B1362="","",VLOOKUP(B1362,SERVIÇOS!B:E,4,0))</f>
        <v>un</v>
      </c>
    </row>
    <row r="1363" spans="1:11" ht="15" x14ac:dyDescent="0.25">
      <c r="A1363" s="530" t="s">
        <v>4397</v>
      </c>
      <c r="B1363" s="531" t="s">
        <v>11</v>
      </c>
      <c r="C1363" s="533" t="s">
        <v>43</v>
      </c>
      <c r="D1363" s="534"/>
      <c r="E1363" s="530" t="s">
        <v>13</v>
      </c>
      <c r="F1363" s="530" t="s">
        <v>44</v>
      </c>
      <c r="G1363" s="538" t="s">
        <v>45</v>
      </c>
      <c r="H1363" s="108" t="s">
        <v>46</v>
      </c>
      <c r="I1363" s="108"/>
      <c r="J1363" s="108"/>
    </row>
    <row r="1364" spans="1:11" ht="15" x14ac:dyDescent="0.25">
      <c r="A1364" s="530"/>
      <c r="B1364" s="532"/>
      <c r="C1364" s="535"/>
      <c r="D1364" s="536"/>
      <c r="E1364" s="537"/>
      <c r="F1364" s="537"/>
      <c r="G1364" s="539"/>
      <c r="H1364" s="108" t="s">
        <v>47</v>
      </c>
      <c r="I1364" s="108" t="s">
        <v>48</v>
      </c>
      <c r="J1364" s="108" t="s">
        <v>49</v>
      </c>
    </row>
    <row r="1365" spans="1:11" ht="15" x14ac:dyDescent="0.25">
      <c r="A1365" s="109" t="s">
        <v>4717</v>
      </c>
      <c r="B1365" s="116" t="s">
        <v>4964</v>
      </c>
      <c r="C1365" s="540" t="str">
        <f>IF(A1365&amp;B1365="","",VLOOKUP(A1365&amp;B1365,INSUMOS!C:G,2,0))</f>
        <v>Fornecimento e plantio de Quesnelia humilis  - Bromélia</v>
      </c>
      <c r="D1365" s="541"/>
      <c r="E1365" s="111" t="str">
        <f>IF(A1365&amp;B1365="","",VLOOKUP(A1365&amp;B1365,INSUMOS!C:G,3,0))</f>
        <v>un</v>
      </c>
      <c r="F1365" s="112">
        <v>1</v>
      </c>
      <c r="G1365" s="113">
        <f>IF(A1365&amp;B1365="","",VLOOKUP(A1365&amp;B1365,INSUMOS!C:G,4,0))</f>
        <v>40.917999999999999</v>
      </c>
      <c r="H1365" s="114" t="str">
        <f>IF(K1365="MO",TRUNC(F1365*G1365,2),"")</f>
        <v/>
      </c>
      <c r="I1365" s="114">
        <f>IF(K1365="MT",TRUNC(F1365*G1365,2),"")</f>
        <v>40.909999999999997</v>
      </c>
      <c r="J1365" s="115" t="str">
        <f>IF(K1365="EQ",TRUNC(F1365*G1365,2),"")</f>
        <v/>
      </c>
      <c r="K1365" s="102" t="str">
        <f>IF(A1365&amp;B1365="","",VLOOKUP(A1365&amp;B1365,INSUMOS!C:G,5,0))</f>
        <v>MT</v>
      </c>
    </row>
    <row r="1366" spans="1:11" ht="15" x14ac:dyDescent="0.25">
      <c r="A1366" s="109" t="s">
        <v>4398</v>
      </c>
      <c r="B1366" s="116">
        <v>10101</v>
      </c>
      <c r="C1366" s="518" t="str">
        <f>IF(A1366&amp;B1366="","",VLOOKUP(A1366&amp;B1366,INSUMOS!C:G,2,0))</f>
        <v>Ajudante geral</v>
      </c>
      <c r="D1366" s="519"/>
      <c r="E1366" s="117" t="str">
        <f>IF(A1366&amp;B1366="","",VLOOKUP(A1366&amp;B1366,INSUMOS!C:G,3,0))</f>
        <v>h</v>
      </c>
      <c r="F1366" s="118">
        <v>0.2</v>
      </c>
      <c r="G1366" s="113">
        <f>IF(A1366&amp;B1366="","",VLOOKUP(A1366&amp;B1366,INSUMOS!C:G,4,0))</f>
        <v>11.238228999999999</v>
      </c>
      <c r="H1366" s="119">
        <f t="shared" ref="H1366:H1377" si="216">IF(K1366="MO",TRUNC(F1366*G1366,2),"")</f>
        <v>2.2400000000000002</v>
      </c>
      <c r="I1366" s="119" t="str">
        <f t="shared" ref="I1366:I1377" si="217">IF(K1366="MT",TRUNC(F1366*G1366,2),"")</f>
        <v/>
      </c>
      <c r="J1366" s="115" t="str">
        <f t="shared" ref="J1366:J1377" si="218">IF(K1366="EQ",TRUNC(F1366*G1366,2),"")</f>
        <v/>
      </c>
      <c r="K1366" s="102" t="str">
        <f>IF(A1366&amp;B1366="","",VLOOKUP(A1366&amp;B1366,INSUMOS!C:G,5,0))</f>
        <v>MO</v>
      </c>
    </row>
    <row r="1367" spans="1:11" ht="15" x14ac:dyDescent="0.25">
      <c r="A1367" s="109" t="s">
        <v>4398</v>
      </c>
      <c r="B1367" s="116">
        <v>10126</v>
      </c>
      <c r="C1367" s="518" t="str">
        <f>IF(A1367&amp;B1367="","",VLOOKUP(A1367&amp;B1367,INSUMOS!C:G,2,0))</f>
        <v>Jardineiro</v>
      </c>
      <c r="D1367" s="519"/>
      <c r="E1367" s="117" t="str">
        <f>IF(A1367&amp;B1367="","",VLOOKUP(A1367&amp;B1367,INSUMOS!C:G,3,0))</f>
        <v>h</v>
      </c>
      <c r="F1367" s="118">
        <v>0.1</v>
      </c>
      <c r="G1367" s="113">
        <f>IF(A1367&amp;B1367="","",VLOOKUP(A1367&amp;B1367,INSUMOS!C:G,4,0))</f>
        <v>12.07574</v>
      </c>
      <c r="H1367" s="119">
        <f t="shared" si="216"/>
        <v>1.2</v>
      </c>
      <c r="I1367" s="119" t="str">
        <f t="shared" si="217"/>
        <v/>
      </c>
      <c r="J1367" s="115" t="str">
        <f t="shared" si="218"/>
        <v/>
      </c>
      <c r="K1367" s="102" t="str">
        <f>IF(A1367&amp;B1367="","",VLOOKUP(A1367&amp;B1367,INSUMOS!C:G,5,0))</f>
        <v>MO</v>
      </c>
    </row>
    <row r="1368" spans="1:11" ht="15" x14ac:dyDescent="0.25">
      <c r="A1368" s="109" t="s">
        <v>4398</v>
      </c>
      <c r="B1368" s="116">
        <v>38511</v>
      </c>
      <c r="C1368" s="518" t="str">
        <f>IF(A1368&amp;B1368="","",VLOOKUP(A1368&amp;B1368,INSUMOS!C:G,2,0))</f>
        <v>Terra vegetal orgânica comum</v>
      </c>
      <c r="D1368" s="519"/>
      <c r="E1368" s="117" t="str">
        <f>IF(A1368&amp;B1368="","",VLOOKUP(A1368&amp;B1368,INSUMOS!C:G,3,0))</f>
        <v>m³</v>
      </c>
      <c r="F1368" s="118">
        <v>0.05</v>
      </c>
      <c r="G1368" s="113">
        <f>IF(A1368&amp;B1368="","",VLOOKUP(A1368&amp;B1368,INSUMOS!C:G,4,0))</f>
        <v>92.46</v>
      </c>
      <c r="H1368" s="119" t="str">
        <f t="shared" si="216"/>
        <v/>
      </c>
      <c r="I1368" s="119">
        <f t="shared" si="217"/>
        <v>4.62</v>
      </c>
      <c r="J1368" s="115" t="str">
        <f t="shared" si="218"/>
        <v/>
      </c>
      <c r="K1368" s="102" t="str">
        <f>IF(A1368&amp;B1368="","",VLOOKUP(A1368&amp;B1368,INSUMOS!C:G,5,0))</f>
        <v>MT</v>
      </c>
    </row>
    <row r="1369" spans="1:11" ht="15" x14ac:dyDescent="0.25">
      <c r="A1369" s="109"/>
      <c r="B1369" s="116"/>
      <c r="C1369" s="518" t="str">
        <f>IF(A1369&amp;B1369="","",VLOOKUP(A1369&amp;B1369,INSUMOS!C:G,2,0))</f>
        <v/>
      </c>
      <c r="D1369" s="519"/>
      <c r="E1369" s="117" t="str">
        <f>IF(A1369&amp;B1369="","",VLOOKUP(A1369&amp;B1369,INSUMOS!C:G,3,0))</f>
        <v/>
      </c>
      <c r="F1369" s="118"/>
      <c r="G1369" s="113" t="str">
        <f>IF(A1369&amp;B1369="","",VLOOKUP(A1369&amp;B1369,INSUMOS!C:G,4,0))</f>
        <v/>
      </c>
      <c r="H1369" s="119" t="str">
        <f t="shared" si="216"/>
        <v/>
      </c>
      <c r="I1369" s="119" t="str">
        <f t="shared" si="217"/>
        <v/>
      </c>
      <c r="J1369" s="115" t="str">
        <f t="shared" si="218"/>
        <v/>
      </c>
      <c r="K1369" s="102" t="str">
        <f>IF(A1369&amp;B1369="","",VLOOKUP(A1369&amp;B1369,INSUMOS!C:G,5,0))</f>
        <v/>
      </c>
    </row>
    <row r="1370" spans="1:11" ht="15" x14ac:dyDescent="0.25">
      <c r="A1370" s="109"/>
      <c r="B1370" s="116"/>
      <c r="C1370" s="518" t="str">
        <f>IF(A1370&amp;B1370="","",VLOOKUP(A1370&amp;B1370,INSUMOS!C:G,2,0))</f>
        <v/>
      </c>
      <c r="D1370" s="519"/>
      <c r="E1370" s="117" t="str">
        <f>IF(A1370&amp;B1370="","",VLOOKUP(A1370&amp;B1370,INSUMOS!C:G,3,0))</f>
        <v/>
      </c>
      <c r="F1370" s="118"/>
      <c r="G1370" s="113" t="str">
        <f>IF(A1370&amp;B1370="","",VLOOKUP(A1370&amp;B1370,INSUMOS!C:G,4,0))</f>
        <v/>
      </c>
      <c r="H1370" s="119" t="str">
        <f t="shared" si="216"/>
        <v/>
      </c>
      <c r="I1370" s="119" t="str">
        <f t="shared" si="217"/>
        <v/>
      </c>
      <c r="J1370" s="115" t="str">
        <f t="shared" si="218"/>
        <v/>
      </c>
      <c r="K1370" s="102" t="str">
        <f>IF(A1370&amp;B1370="","",VLOOKUP(A1370&amp;B1370,INSUMOS!C:G,5,0))</f>
        <v/>
      </c>
    </row>
    <row r="1371" spans="1:11" ht="15" x14ac:dyDescent="0.25">
      <c r="A1371" s="109"/>
      <c r="B1371" s="116"/>
      <c r="C1371" s="518" t="str">
        <f>IF(A1371&amp;B1371="","",VLOOKUP(A1371&amp;B1371,INSUMOS!C:G,2,0))</f>
        <v/>
      </c>
      <c r="D1371" s="519"/>
      <c r="E1371" s="117" t="str">
        <f>IF(A1371&amp;B1371="","",VLOOKUP(A1371&amp;B1371,INSUMOS!C:G,3,0))</f>
        <v/>
      </c>
      <c r="F1371" s="118"/>
      <c r="G1371" s="113" t="str">
        <f>IF(A1371&amp;B1371="","",VLOOKUP(A1371&amp;B1371,INSUMOS!C:G,4,0))</f>
        <v/>
      </c>
      <c r="H1371" s="119" t="str">
        <f t="shared" si="216"/>
        <v/>
      </c>
      <c r="I1371" s="119" t="str">
        <f t="shared" si="217"/>
        <v/>
      </c>
      <c r="J1371" s="115" t="str">
        <f t="shared" si="218"/>
        <v/>
      </c>
      <c r="K1371" s="102" t="str">
        <f>IF(A1371&amp;B1371="","",VLOOKUP(A1371&amp;B1371,INSUMOS!C:G,5,0))</f>
        <v/>
      </c>
    </row>
    <row r="1372" spans="1:11" ht="15" x14ac:dyDescent="0.25">
      <c r="A1372" s="109"/>
      <c r="B1372" s="116"/>
      <c r="C1372" s="518" t="str">
        <f>IF(A1372&amp;B1372="","",VLOOKUP(A1372&amp;B1372,INSUMOS!C:G,2,0))</f>
        <v/>
      </c>
      <c r="D1372" s="519"/>
      <c r="E1372" s="117" t="str">
        <f>IF(A1372&amp;B1372="","",VLOOKUP(A1372&amp;B1372,INSUMOS!C:G,3,0))</f>
        <v/>
      </c>
      <c r="F1372" s="118"/>
      <c r="G1372" s="113" t="str">
        <f>IF(A1372&amp;B1372="","",VLOOKUP(A1372&amp;B1372,INSUMOS!C:G,4,0))</f>
        <v/>
      </c>
      <c r="H1372" s="119" t="str">
        <f t="shared" si="216"/>
        <v/>
      </c>
      <c r="I1372" s="119" t="str">
        <f t="shared" si="217"/>
        <v/>
      </c>
      <c r="J1372" s="115" t="str">
        <f t="shared" si="218"/>
        <v/>
      </c>
      <c r="K1372" s="102" t="str">
        <f>IF(A1372&amp;B1372="","",VLOOKUP(A1372&amp;B1372,INSUMOS!C:G,5,0))</f>
        <v/>
      </c>
    </row>
    <row r="1373" spans="1:11" ht="15" x14ac:dyDescent="0.25">
      <c r="A1373" s="109"/>
      <c r="B1373" s="116"/>
      <c r="C1373" s="518" t="str">
        <f>IF(A1373&amp;B1373="","",VLOOKUP(A1373&amp;B1373,INSUMOS!C:G,2,0))</f>
        <v/>
      </c>
      <c r="D1373" s="519"/>
      <c r="E1373" s="117" t="str">
        <f>IF(A1373&amp;B1373="","",VLOOKUP(A1373&amp;B1373,INSUMOS!C:G,3,0))</f>
        <v/>
      </c>
      <c r="F1373" s="118"/>
      <c r="G1373" s="113" t="str">
        <f>IF(A1373&amp;B1373="","",VLOOKUP(A1373&amp;B1373,INSUMOS!C:G,4,0))</f>
        <v/>
      </c>
      <c r="H1373" s="119" t="str">
        <f t="shared" si="216"/>
        <v/>
      </c>
      <c r="I1373" s="119" t="str">
        <f t="shared" si="217"/>
        <v/>
      </c>
      <c r="J1373" s="115" t="str">
        <f t="shared" si="218"/>
        <v/>
      </c>
      <c r="K1373" s="102" t="str">
        <f>IF(A1373&amp;B1373="","",VLOOKUP(A1373&amp;B1373,INSUMOS!C:G,5,0))</f>
        <v/>
      </c>
    </row>
    <row r="1374" spans="1:11" ht="15" x14ac:dyDescent="0.25">
      <c r="A1374" s="109"/>
      <c r="B1374" s="116"/>
      <c r="C1374" s="518" t="str">
        <f>IF(A1374&amp;B1374="","",VLOOKUP(A1374&amp;B1374,INSUMOS!C:G,2,0))</f>
        <v/>
      </c>
      <c r="D1374" s="519"/>
      <c r="E1374" s="117" t="str">
        <f>IF(A1374&amp;B1374="","",VLOOKUP(A1374&amp;B1374,INSUMOS!C:G,3,0))</f>
        <v/>
      </c>
      <c r="F1374" s="118"/>
      <c r="G1374" s="113" t="str">
        <f>IF(A1374&amp;B1374="","",VLOOKUP(A1374&amp;B1374,INSUMOS!C:G,4,0))</f>
        <v/>
      </c>
      <c r="H1374" s="119" t="str">
        <f t="shared" si="216"/>
        <v/>
      </c>
      <c r="I1374" s="119" t="str">
        <f t="shared" si="217"/>
        <v/>
      </c>
      <c r="J1374" s="115" t="str">
        <f t="shared" si="218"/>
        <v/>
      </c>
      <c r="K1374" s="102" t="str">
        <f>IF(A1374&amp;B1374="","",VLOOKUP(A1374&amp;B1374,INSUMOS!C:G,5,0))</f>
        <v/>
      </c>
    </row>
    <row r="1375" spans="1:11" ht="15" x14ac:dyDescent="0.25">
      <c r="A1375" s="120"/>
      <c r="B1375" s="121"/>
      <c r="C1375" s="518" t="str">
        <f>IF(A1375&amp;B1375="","",VLOOKUP(A1375&amp;B1375,INSUMOS!C:G,2,0))</f>
        <v/>
      </c>
      <c r="D1375" s="519"/>
      <c r="E1375" s="117" t="str">
        <f>IF(A1375&amp;B1375="","",VLOOKUP(A1375&amp;B1375,INSUMOS!C:G,3,0))</f>
        <v/>
      </c>
      <c r="F1375" s="118"/>
      <c r="G1375" s="122" t="str">
        <f>IF(A1375&amp;B1375="","",VLOOKUP(A1375&amp;B1375,INSUMOS!C:G,4,0))</f>
        <v/>
      </c>
      <c r="H1375" s="119" t="str">
        <f t="shared" si="216"/>
        <v/>
      </c>
      <c r="I1375" s="119" t="str">
        <f t="shared" si="217"/>
        <v/>
      </c>
      <c r="J1375" s="115" t="str">
        <f t="shared" si="218"/>
        <v/>
      </c>
      <c r="K1375" s="102" t="str">
        <f>IF(A1375&amp;B1375="","",VLOOKUP(A1375&amp;B1375,INSUMOS!C:G,5,0))</f>
        <v/>
      </c>
    </row>
    <row r="1376" spans="1:11" ht="15" x14ac:dyDescent="0.25">
      <c r="A1376" s="120"/>
      <c r="B1376" s="121"/>
      <c r="C1376" s="518" t="str">
        <f>IF(A1376&amp;B1376="","",VLOOKUP(A1376&amp;B1376,INSUMOS!C:G,2,0))</f>
        <v/>
      </c>
      <c r="D1376" s="519"/>
      <c r="E1376" s="117" t="str">
        <f>IF(A1376&amp;B1376="","",VLOOKUP(A1376&amp;B1376,INSUMOS!C:G,3,0))</f>
        <v/>
      </c>
      <c r="F1376" s="118"/>
      <c r="G1376" s="122" t="str">
        <f>IF(A1376&amp;B1376="","",VLOOKUP(A1376&amp;B1376,INSUMOS!C:G,4,0))</f>
        <v/>
      </c>
      <c r="H1376" s="119" t="str">
        <f t="shared" si="216"/>
        <v/>
      </c>
      <c r="I1376" s="119" t="str">
        <f t="shared" si="217"/>
        <v/>
      </c>
      <c r="J1376" s="115" t="str">
        <f t="shared" si="218"/>
        <v/>
      </c>
      <c r="K1376" s="102" t="str">
        <f>IF(A1376&amp;B1376="","",VLOOKUP(A1376&amp;B1376,INSUMOS!C:G,5,0))</f>
        <v/>
      </c>
    </row>
    <row r="1377" spans="1:17" ht="15" x14ac:dyDescent="0.25">
      <c r="A1377" s="120"/>
      <c r="B1377" s="121"/>
      <c r="C1377" s="518" t="str">
        <f>IF(A1377&amp;B1377="","",VLOOKUP(A1377&amp;B1377,INSUMOS!C:G,2,0))</f>
        <v/>
      </c>
      <c r="D1377" s="519"/>
      <c r="E1377" s="117" t="str">
        <f>IF(A1377&amp;B1377="","",VLOOKUP(A1377&amp;B1377,INSUMOS!C:G,3,0))</f>
        <v/>
      </c>
      <c r="F1377" s="118"/>
      <c r="G1377" s="122" t="str">
        <f>IF(A1377&amp;B1377="","",VLOOKUP(A1377&amp;B1377,INSUMOS!C:G,4,0))</f>
        <v/>
      </c>
      <c r="H1377" s="119" t="str">
        <f t="shared" si="216"/>
        <v/>
      </c>
      <c r="I1377" s="119" t="str">
        <f t="shared" si="217"/>
        <v/>
      </c>
      <c r="J1377" s="115" t="str">
        <f t="shared" si="218"/>
        <v/>
      </c>
      <c r="K1377" s="102" t="str">
        <f>IF(A1377&amp;B1377="","",VLOOKUP(A1377&amp;B1377,INSUMOS!C:G,5,0))</f>
        <v/>
      </c>
    </row>
    <row r="1378" spans="1:17" ht="15" x14ac:dyDescent="0.25">
      <c r="A1378" s="123" t="s">
        <v>4399</v>
      </c>
      <c r="B1378" s="520"/>
      <c r="C1378" s="520"/>
      <c r="D1378" s="520"/>
      <c r="E1378" s="520"/>
      <c r="F1378" s="521"/>
      <c r="G1378" s="124" t="s">
        <v>50</v>
      </c>
      <c r="H1378" s="125">
        <f>SUM(H1365:H1377)</f>
        <v>3.4400000000000004</v>
      </c>
      <c r="I1378" s="125">
        <f>SUM(I1365:I1377)</f>
        <v>45.529999999999994</v>
      </c>
      <c r="J1378" s="126">
        <f>SUM(J1365:J1377)</f>
        <v>0</v>
      </c>
    </row>
    <row r="1379" spans="1:17" ht="15" x14ac:dyDescent="0.25">
      <c r="A1379" s="127" t="s">
        <v>4400</v>
      </c>
      <c r="B1379" s="128"/>
      <c r="C1379" s="128"/>
      <c r="D1379" s="127" t="s">
        <v>51</v>
      </c>
      <c r="E1379" s="128"/>
      <c r="F1379" s="129"/>
      <c r="G1379" s="130" t="s">
        <v>55</v>
      </c>
      <c r="H1379" s="131" t="s">
        <v>52</v>
      </c>
      <c r="I1379" s="132"/>
      <c r="J1379" s="125">
        <f>SUM(H1378:J1378)</f>
        <v>48.969999999999992</v>
      </c>
    </row>
    <row r="1380" spans="1:17" ht="15" x14ac:dyDescent="0.25">
      <c r="A1380" s="313" t="str">
        <f>$I$3</f>
        <v>Carlos Wieck</v>
      </c>
      <c r="B1380" s="133"/>
      <c r="C1380" s="133"/>
      <c r="D1380" s="134"/>
      <c r="E1380" s="133"/>
      <c r="F1380" s="135"/>
      <c r="G1380" s="522">
        <f>$J$5</f>
        <v>43040</v>
      </c>
      <c r="H1380" s="136" t="s">
        <v>53</v>
      </c>
      <c r="I1380" s="137"/>
      <c r="J1380" s="125">
        <f>TRUNC(I1380*J1379,2)</f>
        <v>0</v>
      </c>
    </row>
    <row r="1381" spans="1:17" ht="15" x14ac:dyDescent="0.25">
      <c r="A1381" s="138"/>
      <c r="B1381" s="139"/>
      <c r="C1381" s="139"/>
      <c r="D1381" s="138"/>
      <c r="E1381" s="139"/>
      <c r="F1381" s="140"/>
      <c r="G1381" s="523"/>
      <c r="H1381" s="141" t="s">
        <v>54</v>
      </c>
      <c r="I1381" s="142"/>
      <c r="J1381" s="143">
        <f>J1380+J1379</f>
        <v>48.969999999999992</v>
      </c>
      <c r="L1381" s="102" t="str">
        <f>A1362</f>
        <v>COMPOSIÇÃO</v>
      </c>
      <c r="M1381" s="144" t="str">
        <f>B1362</f>
        <v>FF-053</v>
      </c>
      <c r="N1381" s="102" t="str">
        <f>L1381&amp;M1381</f>
        <v>COMPOSIÇÃOFF-053</v>
      </c>
      <c r="O1381" s="103" t="str">
        <f>D1361</f>
        <v>Fornecimento e plantio de Quesnelia humilis  - Bromélia</v>
      </c>
      <c r="P1381" s="145" t="str">
        <f>J1362</f>
        <v>un</v>
      </c>
      <c r="Q1381" s="145">
        <f>J1381</f>
        <v>48.969999999999992</v>
      </c>
    </row>
    <row r="1382" spans="1:17" ht="15" customHeight="1" x14ac:dyDescent="0.25">
      <c r="A1382" s="524" t="s">
        <v>40</v>
      </c>
      <c r="B1382" s="525"/>
      <c r="C1382" s="104" t="s">
        <v>41</v>
      </c>
      <c r="D1382" s="526" t="str">
        <f>IF(B1383="","",VLOOKUP(B1383,SERVIÇOS!B:E,3,0))</f>
        <v>Fornecimento e plantio de Anthurium jureianum - Antúrio</v>
      </c>
      <c r="E1382" s="526"/>
      <c r="F1382" s="526"/>
      <c r="G1382" s="526"/>
      <c r="H1382" s="526"/>
      <c r="I1382" s="527"/>
      <c r="J1382" s="105" t="s">
        <v>42</v>
      </c>
    </row>
    <row r="1383" spans="1:17" ht="15" x14ac:dyDescent="0.25">
      <c r="A1383" s="230" t="s">
        <v>4715</v>
      </c>
      <c r="B1383" s="230" t="s">
        <v>5058</v>
      </c>
      <c r="C1383" s="106"/>
      <c r="D1383" s="528"/>
      <c r="E1383" s="528"/>
      <c r="F1383" s="528"/>
      <c r="G1383" s="528"/>
      <c r="H1383" s="528"/>
      <c r="I1383" s="529"/>
      <c r="J1383" s="107" t="str">
        <f>IF(B1383="","",VLOOKUP(B1383,SERVIÇOS!B:E,4,0))</f>
        <v>un</v>
      </c>
    </row>
    <row r="1384" spans="1:17" ht="15" x14ac:dyDescent="0.25">
      <c r="A1384" s="530" t="s">
        <v>4397</v>
      </c>
      <c r="B1384" s="531" t="s">
        <v>11</v>
      </c>
      <c r="C1384" s="533" t="s">
        <v>43</v>
      </c>
      <c r="D1384" s="534"/>
      <c r="E1384" s="530" t="s">
        <v>13</v>
      </c>
      <c r="F1384" s="530" t="s">
        <v>44</v>
      </c>
      <c r="G1384" s="538" t="s">
        <v>45</v>
      </c>
      <c r="H1384" s="108" t="s">
        <v>46</v>
      </c>
      <c r="I1384" s="108"/>
      <c r="J1384" s="108"/>
    </row>
    <row r="1385" spans="1:17" ht="15" x14ac:dyDescent="0.25">
      <c r="A1385" s="530"/>
      <c r="B1385" s="532"/>
      <c r="C1385" s="535"/>
      <c r="D1385" s="536"/>
      <c r="E1385" s="537"/>
      <c r="F1385" s="537"/>
      <c r="G1385" s="539"/>
      <c r="H1385" s="108" t="s">
        <v>47</v>
      </c>
      <c r="I1385" s="108" t="s">
        <v>48</v>
      </c>
      <c r="J1385" s="108" t="s">
        <v>49</v>
      </c>
    </row>
    <row r="1386" spans="1:17" ht="15" x14ac:dyDescent="0.25">
      <c r="A1386" s="109" t="s">
        <v>4717</v>
      </c>
      <c r="B1386" s="116" t="s">
        <v>4965</v>
      </c>
      <c r="C1386" s="540" t="str">
        <f>IF(A1386&amp;B1386="","",VLOOKUP(A1386&amp;B1386,INSUMOS!C:G,2,0))</f>
        <v>Fornecimento e plantio de Anthurium jureianum - Antúrio</v>
      </c>
      <c r="D1386" s="541"/>
      <c r="E1386" s="111" t="str">
        <f>IF(A1386&amp;B1386="","",VLOOKUP(A1386&amp;B1386,INSUMOS!C:G,3,0))</f>
        <v>un</v>
      </c>
      <c r="F1386" s="112">
        <v>1</v>
      </c>
      <c r="G1386" s="113">
        <f>IF(A1386&amp;B1386="","",VLOOKUP(A1386&amp;B1386,INSUMOS!C:G,4,0))</f>
        <v>40.917999999999999</v>
      </c>
      <c r="H1386" s="114" t="str">
        <f>IF(K1386="MO",TRUNC(F1386*G1386,2),"")</f>
        <v/>
      </c>
      <c r="I1386" s="114">
        <f>IF(K1386="MT",TRUNC(F1386*G1386,2),"")</f>
        <v>40.909999999999997</v>
      </c>
      <c r="J1386" s="115" t="str">
        <f>IF(K1386="EQ",TRUNC(F1386*G1386,2),"")</f>
        <v/>
      </c>
      <c r="K1386" s="102" t="str">
        <f>IF(A1386&amp;B1386="","",VLOOKUP(A1386&amp;B1386,INSUMOS!C:G,5,0))</f>
        <v>MT</v>
      </c>
    </row>
    <row r="1387" spans="1:17" ht="15" x14ac:dyDescent="0.25">
      <c r="A1387" s="109" t="s">
        <v>4398</v>
      </c>
      <c r="B1387" s="116">
        <v>10101</v>
      </c>
      <c r="C1387" s="518" t="str">
        <f>IF(A1387&amp;B1387="","",VLOOKUP(A1387&amp;B1387,INSUMOS!C:G,2,0))</f>
        <v>Ajudante geral</v>
      </c>
      <c r="D1387" s="519"/>
      <c r="E1387" s="117" t="str">
        <f>IF(A1387&amp;B1387="","",VLOOKUP(A1387&amp;B1387,INSUMOS!C:G,3,0))</f>
        <v>h</v>
      </c>
      <c r="F1387" s="118">
        <v>0.2</v>
      </c>
      <c r="G1387" s="113">
        <f>IF(A1387&amp;B1387="","",VLOOKUP(A1387&amp;B1387,INSUMOS!C:G,4,0))</f>
        <v>11.238228999999999</v>
      </c>
      <c r="H1387" s="119">
        <f t="shared" ref="H1387:H1398" si="219">IF(K1387="MO",TRUNC(F1387*G1387,2),"")</f>
        <v>2.2400000000000002</v>
      </c>
      <c r="I1387" s="119" t="str">
        <f t="shared" ref="I1387:I1398" si="220">IF(K1387="MT",TRUNC(F1387*G1387,2),"")</f>
        <v/>
      </c>
      <c r="J1387" s="115" t="str">
        <f t="shared" ref="J1387:J1398" si="221">IF(K1387="EQ",TRUNC(F1387*G1387,2),"")</f>
        <v/>
      </c>
      <c r="K1387" s="102" t="str">
        <f>IF(A1387&amp;B1387="","",VLOOKUP(A1387&amp;B1387,INSUMOS!C:G,5,0))</f>
        <v>MO</v>
      </c>
    </row>
    <row r="1388" spans="1:17" ht="15" x14ac:dyDescent="0.25">
      <c r="A1388" s="109" t="s">
        <v>4398</v>
      </c>
      <c r="B1388" s="116">
        <v>10126</v>
      </c>
      <c r="C1388" s="518" t="str">
        <f>IF(A1388&amp;B1388="","",VLOOKUP(A1388&amp;B1388,INSUMOS!C:G,2,0))</f>
        <v>Jardineiro</v>
      </c>
      <c r="D1388" s="519"/>
      <c r="E1388" s="117" t="str">
        <f>IF(A1388&amp;B1388="","",VLOOKUP(A1388&amp;B1388,INSUMOS!C:G,3,0))</f>
        <v>h</v>
      </c>
      <c r="F1388" s="118">
        <v>0.1</v>
      </c>
      <c r="G1388" s="113">
        <f>IF(A1388&amp;B1388="","",VLOOKUP(A1388&amp;B1388,INSUMOS!C:G,4,0))</f>
        <v>12.07574</v>
      </c>
      <c r="H1388" s="119">
        <f t="shared" si="219"/>
        <v>1.2</v>
      </c>
      <c r="I1388" s="119" t="str">
        <f t="shared" si="220"/>
        <v/>
      </c>
      <c r="J1388" s="115" t="str">
        <f t="shared" si="221"/>
        <v/>
      </c>
      <c r="K1388" s="102" t="str">
        <f>IF(A1388&amp;B1388="","",VLOOKUP(A1388&amp;B1388,INSUMOS!C:G,5,0))</f>
        <v>MO</v>
      </c>
    </row>
    <row r="1389" spans="1:17" ht="15" x14ac:dyDescent="0.25">
      <c r="A1389" s="109" t="s">
        <v>4398</v>
      </c>
      <c r="B1389" s="116">
        <v>38511</v>
      </c>
      <c r="C1389" s="518" t="str">
        <f>IF(A1389&amp;B1389="","",VLOOKUP(A1389&amp;B1389,INSUMOS!C:G,2,0))</f>
        <v>Terra vegetal orgânica comum</v>
      </c>
      <c r="D1389" s="519"/>
      <c r="E1389" s="117" t="str">
        <f>IF(A1389&amp;B1389="","",VLOOKUP(A1389&amp;B1389,INSUMOS!C:G,3,0))</f>
        <v>m³</v>
      </c>
      <c r="F1389" s="118">
        <v>0.05</v>
      </c>
      <c r="G1389" s="113">
        <f>IF(A1389&amp;B1389="","",VLOOKUP(A1389&amp;B1389,INSUMOS!C:G,4,0))</f>
        <v>92.46</v>
      </c>
      <c r="H1389" s="119" t="str">
        <f t="shared" si="219"/>
        <v/>
      </c>
      <c r="I1389" s="119">
        <f t="shared" si="220"/>
        <v>4.62</v>
      </c>
      <c r="J1389" s="115" t="str">
        <f t="shared" si="221"/>
        <v/>
      </c>
      <c r="K1389" s="102" t="str">
        <f>IF(A1389&amp;B1389="","",VLOOKUP(A1389&amp;B1389,INSUMOS!C:G,5,0))</f>
        <v>MT</v>
      </c>
    </row>
    <row r="1390" spans="1:17" ht="15" x14ac:dyDescent="0.25">
      <c r="A1390" s="109"/>
      <c r="B1390" s="116"/>
      <c r="C1390" s="518" t="str">
        <f>IF(A1390&amp;B1390="","",VLOOKUP(A1390&amp;B1390,INSUMOS!C:G,2,0))</f>
        <v/>
      </c>
      <c r="D1390" s="519"/>
      <c r="E1390" s="117" t="str">
        <f>IF(A1390&amp;B1390="","",VLOOKUP(A1390&amp;B1390,INSUMOS!C:G,3,0))</f>
        <v/>
      </c>
      <c r="F1390" s="118"/>
      <c r="G1390" s="113" t="str">
        <f>IF(A1390&amp;B1390="","",VLOOKUP(A1390&amp;B1390,INSUMOS!C:G,4,0))</f>
        <v/>
      </c>
      <c r="H1390" s="119" t="str">
        <f t="shared" si="219"/>
        <v/>
      </c>
      <c r="I1390" s="119" t="str">
        <f t="shared" si="220"/>
        <v/>
      </c>
      <c r="J1390" s="115" t="str">
        <f t="shared" si="221"/>
        <v/>
      </c>
      <c r="K1390" s="102" t="str">
        <f>IF(A1390&amp;B1390="","",VLOOKUP(A1390&amp;B1390,INSUMOS!C:G,5,0))</f>
        <v/>
      </c>
    </row>
    <row r="1391" spans="1:17" ht="15" x14ac:dyDescent="0.25">
      <c r="A1391" s="109"/>
      <c r="B1391" s="116"/>
      <c r="C1391" s="518" t="str">
        <f>IF(A1391&amp;B1391="","",VLOOKUP(A1391&amp;B1391,INSUMOS!C:G,2,0))</f>
        <v/>
      </c>
      <c r="D1391" s="519"/>
      <c r="E1391" s="117" t="str">
        <f>IF(A1391&amp;B1391="","",VLOOKUP(A1391&amp;B1391,INSUMOS!C:G,3,0))</f>
        <v/>
      </c>
      <c r="F1391" s="118"/>
      <c r="G1391" s="113" t="str">
        <f>IF(A1391&amp;B1391="","",VLOOKUP(A1391&amp;B1391,INSUMOS!C:G,4,0))</f>
        <v/>
      </c>
      <c r="H1391" s="119" t="str">
        <f t="shared" si="219"/>
        <v/>
      </c>
      <c r="I1391" s="119" t="str">
        <f t="shared" si="220"/>
        <v/>
      </c>
      <c r="J1391" s="115" t="str">
        <f t="shared" si="221"/>
        <v/>
      </c>
      <c r="K1391" s="102" t="str">
        <f>IF(A1391&amp;B1391="","",VLOOKUP(A1391&amp;B1391,INSUMOS!C:G,5,0))</f>
        <v/>
      </c>
    </row>
    <row r="1392" spans="1:17" ht="15" x14ac:dyDescent="0.25">
      <c r="A1392" s="109"/>
      <c r="B1392" s="116"/>
      <c r="C1392" s="518" t="str">
        <f>IF(A1392&amp;B1392="","",VLOOKUP(A1392&amp;B1392,INSUMOS!C:G,2,0))</f>
        <v/>
      </c>
      <c r="D1392" s="519"/>
      <c r="E1392" s="117" t="str">
        <f>IF(A1392&amp;B1392="","",VLOOKUP(A1392&amp;B1392,INSUMOS!C:G,3,0))</f>
        <v/>
      </c>
      <c r="F1392" s="118"/>
      <c r="G1392" s="113" t="str">
        <f>IF(A1392&amp;B1392="","",VLOOKUP(A1392&amp;B1392,INSUMOS!C:G,4,0))</f>
        <v/>
      </c>
      <c r="H1392" s="119" t="str">
        <f t="shared" si="219"/>
        <v/>
      </c>
      <c r="I1392" s="119" t="str">
        <f t="shared" si="220"/>
        <v/>
      </c>
      <c r="J1392" s="115" t="str">
        <f t="shared" si="221"/>
        <v/>
      </c>
      <c r="K1392" s="102" t="str">
        <f>IF(A1392&amp;B1392="","",VLOOKUP(A1392&amp;B1392,INSUMOS!C:G,5,0))</f>
        <v/>
      </c>
    </row>
    <row r="1393" spans="1:17" ht="15" x14ac:dyDescent="0.25">
      <c r="A1393" s="109"/>
      <c r="B1393" s="116"/>
      <c r="C1393" s="518" t="str">
        <f>IF(A1393&amp;B1393="","",VLOOKUP(A1393&amp;B1393,INSUMOS!C:G,2,0))</f>
        <v/>
      </c>
      <c r="D1393" s="519"/>
      <c r="E1393" s="117" t="str">
        <f>IF(A1393&amp;B1393="","",VLOOKUP(A1393&amp;B1393,INSUMOS!C:G,3,0))</f>
        <v/>
      </c>
      <c r="F1393" s="118"/>
      <c r="G1393" s="113" t="str">
        <f>IF(A1393&amp;B1393="","",VLOOKUP(A1393&amp;B1393,INSUMOS!C:G,4,0))</f>
        <v/>
      </c>
      <c r="H1393" s="119" t="str">
        <f t="shared" si="219"/>
        <v/>
      </c>
      <c r="I1393" s="119" t="str">
        <f t="shared" si="220"/>
        <v/>
      </c>
      <c r="J1393" s="115" t="str">
        <f t="shared" si="221"/>
        <v/>
      </c>
      <c r="K1393" s="102" t="str">
        <f>IF(A1393&amp;B1393="","",VLOOKUP(A1393&amp;B1393,INSUMOS!C:G,5,0))</f>
        <v/>
      </c>
    </row>
    <row r="1394" spans="1:17" ht="15" x14ac:dyDescent="0.25">
      <c r="A1394" s="109"/>
      <c r="B1394" s="116"/>
      <c r="C1394" s="518" t="str">
        <f>IF(A1394&amp;B1394="","",VLOOKUP(A1394&amp;B1394,INSUMOS!C:G,2,0))</f>
        <v/>
      </c>
      <c r="D1394" s="519"/>
      <c r="E1394" s="117" t="str">
        <f>IF(A1394&amp;B1394="","",VLOOKUP(A1394&amp;B1394,INSUMOS!C:G,3,0))</f>
        <v/>
      </c>
      <c r="F1394" s="118"/>
      <c r="G1394" s="113" t="str">
        <f>IF(A1394&amp;B1394="","",VLOOKUP(A1394&amp;B1394,INSUMOS!C:G,4,0))</f>
        <v/>
      </c>
      <c r="H1394" s="119" t="str">
        <f t="shared" si="219"/>
        <v/>
      </c>
      <c r="I1394" s="119" t="str">
        <f t="shared" si="220"/>
        <v/>
      </c>
      <c r="J1394" s="115" t="str">
        <f t="shared" si="221"/>
        <v/>
      </c>
      <c r="K1394" s="102" t="str">
        <f>IF(A1394&amp;B1394="","",VLOOKUP(A1394&amp;B1394,INSUMOS!C:G,5,0))</f>
        <v/>
      </c>
    </row>
    <row r="1395" spans="1:17" ht="15" x14ac:dyDescent="0.25">
      <c r="A1395" s="109"/>
      <c r="B1395" s="116"/>
      <c r="C1395" s="518" t="str">
        <f>IF(A1395&amp;B1395="","",VLOOKUP(A1395&amp;B1395,INSUMOS!C:G,2,0))</f>
        <v/>
      </c>
      <c r="D1395" s="519"/>
      <c r="E1395" s="117" t="str">
        <f>IF(A1395&amp;B1395="","",VLOOKUP(A1395&amp;B1395,INSUMOS!C:G,3,0))</f>
        <v/>
      </c>
      <c r="F1395" s="118"/>
      <c r="G1395" s="113" t="str">
        <f>IF(A1395&amp;B1395="","",VLOOKUP(A1395&amp;B1395,INSUMOS!C:G,4,0))</f>
        <v/>
      </c>
      <c r="H1395" s="119" t="str">
        <f t="shared" si="219"/>
        <v/>
      </c>
      <c r="I1395" s="119" t="str">
        <f t="shared" si="220"/>
        <v/>
      </c>
      <c r="J1395" s="115" t="str">
        <f t="shared" si="221"/>
        <v/>
      </c>
      <c r="K1395" s="102" t="str">
        <f>IF(A1395&amp;B1395="","",VLOOKUP(A1395&amp;B1395,INSUMOS!C:G,5,0))</f>
        <v/>
      </c>
    </row>
    <row r="1396" spans="1:17" ht="15" x14ac:dyDescent="0.25">
      <c r="A1396" s="120"/>
      <c r="B1396" s="121"/>
      <c r="C1396" s="518" t="str">
        <f>IF(A1396&amp;B1396="","",VLOOKUP(A1396&amp;B1396,INSUMOS!C:G,2,0))</f>
        <v/>
      </c>
      <c r="D1396" s="519"/>
      <c r="E1396" s="117" t="str">
        <f>IF(A1396&amp;B1396="","",VLOOKUP(A1396&amp;B1396,INSUMOS!C:G,3,0))</f>
        <v/>
      </c>
      <c r="F1396" s="118"/>
      <c r="G1396" s="122" t="str">
        <f>IF(A1396&amp;B1396="","",VLOOKUP(A1396&amp;B1396,INSUMOS!C:G,4,0))</f>
        <v/>
      </c>
      <c r="H1396" s="119" t="str">
        <f t="shared" si="219"/>
        <v/>
      </c>
      <c r="I1396" s="119" t="str">
        <f t="shared" si="220"/>
        <v/>
      </c>
      <c r="J1396" s="115" t="str">
        <f t="shared" si="221"/>
        <v/>
      </c>
      <c r="K1396" s="102" t="str">
        <f>IF(A1396&amp;B1396="","",VLOOKUP(A1396&amp;B1396,INSUMOS!C:G,5,0))</f>
        <v/>
      </c>
    </row>
    <row r="1397" spans="1:17" ht="15" x14ac:dyDescent="0.25">
      <c r="A1397" s="120"/>
      <c r="B1397" s="121"/>
      <c r="C1397" s="518" t="str">
        <f>IF(A1397&amp;B1397="","",VLOOKUP(A1397&amp;B1397,INSUMOS!C:G,2,0))</f>
        <v/>
      </c>
      <c r="D1397" s="519"/>
      <c r="E1397" s="117" t="str">
        <f>IF(A1397&amp;B1397="","",VLOOKUP(A1397&amp;B1397,INSUMOS!C:G,3,0))</f>
        <v/>
      </c>
      <c r="F1397" s="118"/>
      <c r="G1397" s="122" t="str">
        <f>IF(A1397&amp;B1397="","",VLOOKUP(A1397&amp;B1397,INSUMOS!C:G,4,0))</f>
        <v/>
      </c>
      <c r="H1397" s="119" t="str">
        <f t="shared" si="219"/>
        <v/>
      </c>
      <c r="I1397" s="119" t="str">
        <f t="shared" si="220"/>
        <v/>
      </c>
      <c r="J1397" s="115" t="str">
        <f t="shared" si="221"/>
        <v/>
      </c>
      <c r="K1397" s="102" t="str">
        <f>IF(A1397&amp;B1397="","",VLOOKUP(A1397&amp;B1397,INSUMOS!C:G,5,0))</f>
        <v/>
      </c>
    </row>
    <row r="1398" spans="1:17" ht="15" x14ac:dyDescent="0.25">
      <c r="A1398" s="120"/>
      <c r="B1398" s="121"/>
      <c r="C1398" s="518" t="str">
        <f>IF(A1398&amp;B1398="","",VLOOKUP(A1398&amp;B1398,INSUMOS!C:G,2,0))</f>
        <v/>
      </c>
      <c r="D1398" s="519"/>
      <c r="E1398" s="117" t="str">
        <f>IF(A1398&amp;B1398="","",VLOOKUP(A1398&amp;B1398,INSUMOS!C:G,3,0))</f>
        <v/>
      </c>
      <c r="F1398" s="118"/>
      <c r="G1398" s="122" t="str">
        <f>IF(A1398&amp;B1398="","",VLOOKUP(A1398&amp;B1398,INSUMOS!C:G,4,0))</f>
        <v/>
      </c>
      <c r="H1398" s="119" t="str">
        <f t="shared" si="219"/>
        <v/>
      </c>
      <c r="I1398" s="119" t="str">
        <f t="shared" si="220"/>
        <v/>
      </c>
      <c r="J1398" s="115" t="str">
        <f t="shared" si="221"/>
        <v/>
      </c>
      <c r="K1398" s="102" t="str">
        <f>IF(A1398&amp;B1398="","",VLOOKUP(A1398&amp;B1398,INSUMOS!C:G,5,0))</f>
        <v/>
      </c>
    </row>
    <row r="1399" spans="1:17" ht="15" x14ac:dyDescent="0.25">
      <c r="A1399" s="123" t="s">
        <v>4399</v>
      </c>
      <c r="B1399" s="520"/>
      <c r="C1399" s="520"/>
      <c r="D1399" s="520"/>
      <c r="E1399" s="520"/>
      <c r="F1399" s="521"/>
      <c r="G1399" s="124" t="s">
        <v>50</v>
      </c>
      <c r="H1399" s="125">
        <f>SUM(H1386:H1398)</f>
        <v>3.4400000000000004</v>
      </c>
      <c r="I1399" s="125">
        <f>SUM(I1386:I1398)</f>
        <v>45.529999999999994</v>
      </c>
      <c r="J1399" s="126">
        <f>SUM(J1386:J1398)</f>
        <v>0</v>
      </c>
    </row>
    <row r="1400" spans="1:17" ht="15" x14ac:dyDescent="0.25">
      <c r="A1400" s="127" t="s">
        <v>4400</v>
      </c>
      <c r="B1400" s="128"/>
      <c r="C1400" s="128"/>
      <c r="D1400" s="127" t="s">
        <v>51</v>
      </c>
      <c r="E1400" s="128"/>
      <c r="F1400" s="129"/>
      <c r="G1400" s="130" t="s">
        <v>55</v>
      </c>
      <c r="H1400" s="131" t="s">
        <v>52</v>
      </c>
      <c r="I1400" s="132"/>
      <c r="J1400" s="125">
        <f>SUM(H1399:J1399)</f>
        <v>48.969999999999992</v>
      </c>
    </row>
    <row r="1401" spans="1:17" ht="15" x14ac:dyDescent="0.25">
      <c r="A1401" s="313" t="str">
        <f>$I$3</f>
        <v>Carlos Wieck</v>
      </c>
      <c r="B1401" s="133"/>
      <c r="C1401" s="133"/>
      <c r="D1401" s="134"/>
      <c r="E1401" s="133"/>
      <c r="F1401" s="135"/>
      <c r="G1401" s="522">
        <f>$J$5</f>
        <v>43040</v>
      </c>
      <c r="H1401" s="136" t="s">
        <v>53</v>
      </c>
      <c r="I1401" s="137"/>
      <c r="J1401" s="125">
        <f>TRUNC(I1401*J1400,2)</f>
        <v>0</v>
      </c>
    </row>
    <row r="1402" spans="1:17" ht="15" x14ac:dyDescent="0.25">
      <c r="A1402" s="138"/>
      <c r="B1402" s="139"/>
      <c r="C1402" s="139"/>
      <c r="D1402" s="138"/>
      <c r="E1402" s="139"/>
      <c r="F1402" s="140"/>
      <c r="G1402" s="523"/>
      <c r="H1402" s="141" t="s">
        <v>54</v>
      </c>
      <c r="I1402" s="142"/>
      <c r="J1402" s="143">
        <f>J1401+J1400</f>
        <v>48.969999999999992</v>
      </c>
      <c r="L1402" s="102" t="str">
        <f>A1383</f>
        <v>COMPOSIÇÃO</v>
      </c>
      <c r="M1402" s="144" t="str">
        <f>B1383</f>
        <v>FF-054</v>
      </c>
      <c r="N1402" s="102" t="str">
        <f>L1402&amp;M1402</f>
        <v>COMPOSIÇÃOFF-054</v>
      </c>
      <c r="O1402" s="103" t="str">
        <f>D1382</f>
        <v>Fornecimento e plantio de Anthurium jureianum - Antúrio</v>
      </c>
      <c r="P1402" s="145" t="str">
        <f>J1383</f>
        <v>un</v>
      </c>
      <c r="Q1402" s="145">
        <f>J1402</f>
        <v>48.969999999999992</v>
      </c>
    </row>
    <row r="1403" spans="1:17" ht="15" customHeight="1" x14ac:dyDescent="0.25">
      <c r="A1403" s="524" t="s">
        <v>40</v>
      </c>
      <c r="B1403" s="525"/>
      <c r="C1403" s="104" t="s">
        <v>41</v>
      </c>
      <c r="D1403" s="526" t="str">
        <f>IF(B1404="","",VLOOKUP(B1404,SERVIÇOS!B:E,3,0))</f>
        <v xml:space="preserve">Fornecimento e plantio de Begonia jureiensis - Begônia </v>
      </c>
      <c r="E1403" s="526"/>
      <c r="F1403" s="526"/>
      <c r="G1403" s="526"/>
      <c r="H1403" s="526"/>
      <c r="I1403" s="527"/>
      <c r="J1403" s="105" t="s">
        <v>42</v>
      </c>
    </row>
    <row r="1404" spans="1:17" ht="15" x14ac:dyDescent="0.25">
      <c r="A1404" s="230" t="s">
        <v>4715</v>
      </c>
      <c r="B1404" s="230" t="s">
        <v>5059</v>
      </c>
      <c r="C1404" s="106"/>
      <c r="D1404" s="528"/>
      <c r="E1404" s="528"/>
      <c r="F1404" s="528"/>
      <c r="G1404" s="528"/>
      <c r="H1404" s="528"/>
      <c r="I1404" s="529"/>
      <c r="J1404" s="107" t="str">
        <f>IF(B1404="","",VLOOKUP(B1404,SERVIÇOS!B:E,4,0))</f>
        <v>un</v>
      </c>
    </row>
    <row r="1405" spans="1:17" ht="15" x14ac:dyDescent="0.25">
      <c r="A1405" s="530" t="s">
        <v>4397</v>
      </c>
      <c r="B1405" s="531" t="s">
        <v>11</v>
      </c>
      <c r="C1405" s="533" t="s">
        <v>43</v>
      </c>
      <c r="D1405" s="534"/>
      <c r="E1405" s="530" t="s">
        <v>13</v>
      </c>
      <c r="F1405" s="530" t="s">
        <v>44</v>
      </c>
      <c r="G1405" s="538" t="s">
        <v>45</v>
      </c>
      <c r="H1405" s="108" t="s">
        <v>46</v>
      </c>
      <c r="I1405" s="108"/>
      <c r="J1405" s="108"/>
    </row>
    <row r="1406" spans="1:17" ht="15" x14ac:dyDescent="0.25">
      <c r="A1406" s="530"/>
      <c r="B1406" s="532"/>
      <c r="C1406" s="535"/>
      <c r="D1406" s="536"/>
      <c r="E1406" s="537"/>
      <c r="F1406" s="537"/>
      <c r="G1406" s="539"/>
      <c r="H1406" s="108" t="s">
        <v>47</v>
      </c>
      <c r="I1406" s="108" t="s">
        <v>48</v>
      </c>
      <c r="J1406" s="108" t="s">
        <v>49</v>
      </c>
    </row>
    <row r="1407" spans="1:17" ht="15" x14ac:dyDescent="0.25">
      <c r="A1407" s="109" t="s">
        <v>4717</v>
      </c>
      <c r="B1407" s="116" t="s">
        <v>4966</v>
      </c>
      <c r="C1407" s="540" t="str">
        <f>IF(A1407&amp;B1407="","",VLOOKUP(A1407&amp;B1407,INSUMOS!C:G,2,0))</f>
        <v xml:space="preserve">Fornecimento e plantio de Begonia jureiensis - Begônia </v>
      </c>
      <c r="D1407" s="541"/>
      <c r="E1407" s="111" t="str">
        <f>IF(A1407&amp;B1407="","",VLOOKUP(A1407&amp;B1407,INSUMOS!C:G,3,0))</f>
        <v>un</v>
      </c>
      <c r="F1407" s="112">
        <v>1</v>
      </c>
      <c r="G1407" s="113">
        <f>IF(A1407&amp;B1407="","",VLOOKUP(A1407&amp;B1407,INSUMOS!C:G,4,0))</f>
        <v>15.968</v>
      </c>
      <c r="H1407" s="114" t="str">
        <f>IF(K1407="MO",TRUNC(F1407*G1407,2),"")</f>
        <v/>
      </c>
      <c r="I1407" s="114">
        <f>IF(K1407="MT",TRUNC(F1407*G1407,2),"")</f>
        <v>15.96</v>
      </c>
      <c r="J1407" s="115" t="str">
        <f>IF(K1407="EQ",TRUNC(F1407*G1407,2),"")</f>
        <v/>
      </c>
      <c r="K1407" s="102" t="str">
        <f>IF(A1407&amp;B1407="","",VLOOKUP(A1407&amp;B1407,INSUMOS!C:G,5,0))</f>
        <v>MT</v>
      </c>
    </row>
    <row r="1408" spans="1:17" ht="15" x14ac:dyDescent="0.25">
      <c r="A1408" s="109" t="s">
        <v>4398</v>
      </c>
      <c r="B1408" s="116">
        <v>10101</v>
      </c>
      <c r="C1408" s="518" t="str">
        <f>IF(A1408&amp;B1408="","",VLOOKUP(A1408&amp;B1408,INSUMOS!C:G,2,0))</f>
        <v>Ajudante geral</v>
      </c>
      <c r="D1408" s="519"/>
      <c r="E1408" s="117" t="str">
        <f>IF(A1408&amp;B1408="","",VLOOKUP(A1408&amp;B1408,INSUMOS!C:G,3,0))</f>
        <v>h</v>
      </c>
      <c r="F1408" s="118">
        <v>0.2</v>
      </c>
      <c r="G1408" s="113">
        <f>IF(A1408&amp;B1408="","",VLOOKUP(A1408&amp;B1408,INSUMOS!C:G,4,0))</f>
        <v>11.238228999999999</v>
      </c>
      <c r="H1408" s="119">
        <f t="shared" ref="H1408:H1419" si="222">IF(K1408="MO",TRUNC(F1408*G1408,2),"")</f>
        <v>2.2400000000000002</v>
      </c>
      <c r="I1408" s="119" t="str">
        <f t="shared" ref="I1408:I1419" si="223">IF(K1408="MT",TRUNC(F1408*G1408,2),"")</f>
        <v/>
      </c>
      <c r="J1408" s="115" t="str">
        <f t="shared" ref="J1408:J1419" si="224">IF(K1408="EQ",TRUNC(F1408*G1408,2),"")</f>
        <v/>
      </c>
      <c r="K1408" s="102" t="str">
        <f>IF(A1408&amp;B1408="","",VLOOKUP(A1408&amp;B1408,INSUMOS!C:G,5,0))</f>
        <v>MO</v>
      </c>
    </row>
    <row r="1409" spans="1:17" ht="15" x14ac:dyDescent="0.25">
      <c r="A1409" s="109" t="s">
        <v>4398</v>
      </c>
      <c r="B1409" s="116">
        <v>10126</v>
      </c>
      <c r="C1409" s="518" t="str">
        <f>IF(A1409&amp;B1409="","",VLOOKUP(A1409&amp;B1409,INSUMOS!C:G,2,0))</f>
        <v>Jardineiro</v>
      </c>
      <c r="D1409" s="519"/>
      <c r="E1409" s="117" t="str">
        <f>IF(A1409&amp;B1409="","",VLOOKUP(A1409&amp;B1409,INSUMOS!C:G,3,0))</f>
        <v>h</v>
      </c>
      <c r="F1409" s="118">
        <v>0.1</v>
      </c>
      <c r="G1409" s="113">
        <f>IF(A1409&amp;B1409="","",VLOOKUP(A1409&amp;B1409,INSUMOS!C:G,4,0))</f>
        <v>12.07574</v>
      </c>
      <c r="H1409" s="119">
        <f t="shared" si="222"/>
        <v>1.2</v>
      </c>
      <c r="I1409" s="119" t="str">
        <f t="shared" si="223"/>
        <v/>
      </c>
      <c r="J1409" s="115" t="str">
        <f t="shared" si="224"/>
        <v/>
      </c>
      <c r="K1409" s="102" t="str">
        <f>IF(A1409&amp;B1409="","",VLOOKUP(A1409&amp;B1409,INSUMOS!C:G,5,0))</f>
        <v>MO</v>
      </c>
    </row>
    <row r="1410" spans="1:17" ht="15" x14ac:dyDescent="0.25">
      <c r="A1410" s="109" t="s">
        <v>4398</v>
      </c>
      <c r="B1410" s="116">
        <v>38511</v>
      </c>
      <c r="C1410" s="518" t="str">
        <f>IF(A1410&amp;B1410="","",VLOOKUP(A1410&amp;B1410,INSUMOS!C:G,2,0))</f>
        <v>Terra vegetal orgânica comum</v>
      </c>
      <c r="D1410" s="519"/>
      <c r="E1410" s="117" t="str">
        <f>IF(A1410&amp;B1410="","",VLOOKUP(A1410&amp;B1410,INSUMOS!C:G,3,0))</f>
        <v>m³</v>
      </c>
      <c r="F1410" s="118">
        <v>0.05</v>
      </c>
      <c r="G1410" s="113">
        <f>IF(A1410&amp;B1410="","",VLOOKUP(A1410&amp;B1410,INSUMOS!C:G,4,0))</f>
        <v>92.46</v>
      </c>
      <c r="H1410" s="119" t="str">
        <f t="shared" si="222"/>
        <v/>
      </c>
      <c r="I1410" s="119">
        <f t="shared" si="223"/>
        <v>4.62</v>
      </c>
      <c r="J1410" s="115" t="str">
        <f t="shared" si="224"/>
        <v/>
      </c>
      <c r="K1410" s="102" t="str">
        <f>IF(A1410&amp;B1410="","",VLOOKUP(A1410&amp;B1410,INSUMOS!C:G,5,0))</f>
        <v>MT</v>
      </c>
    </row>
    <row r="1411" spans="1:17" ht="15" x14ac:dyDescent="0.25">
      <c r="A1411" s="109"/>
      <c r="B1411" s="116"/>
      <c r="C1411" s="518" t="str">
        <f>IF(A1411&amp;B1411="","",VLOOKUP(A1411&amp;B1411,INSUMOS!C:G,2,0))</f>
        <v/>
      </c>
      <c r="D1411" s="519"/>
      <c r="E1411" s="117" t="str">
        <f>IF(A1411&amp;B1411="","",VLOOKUP(A1411&amp;B1411,INSUMOS!C:G,3,0))</f>
        <v/>
      </c>
      <c r="F1411" s="118"/>
      <c r="G1411" s="113" t="str">
        <f>IF(A1411&amp;B1411="","",VLOOKUP(A1411&amp;B1411,INSUMOS!C:G,4,0))</f>
        <v/>
      </c>
      <c r="H1411" s="119" t="str">
        <f t="shared" si="222"/>
        <v/>
      </c>
      <c r="I1411" s="119" t="str">
        <f t="shared" si="223"/>
        <v/>
      </c>
      <c r="J1411" s="115" t="str">
        <f t="shared" si="224"/>
        <v/>
      </c>
      <c r="K1411" s="102" t="str">
        <f>IF(A1411&amp;B1411="","",VLOOKUP(A1411&amp;B1411,INSUMOS!C:G,5,0))</f>
        <v/>
      </c>
    </row>
    <row r="1412" spans="1:17" ht="15" x14ac:dyDescent="0.25">
      <c r="A1412" s="109"/>
      <c r="B1412" s="116"/>
      <c r="C1412" s="518" t="str">
        <f>IF(A1412&amp;B1412="","",VLOOKUP(A1412&amp;B1412,INSUMOS!C:G,2,0))</f>
        <v/>
      </c>
      <c r="D1412" s="519"/>
      <c r="E1412" s="117" t="str">
        <f>IF(A1412&amp;B1412="","",VLOOKUP(A1412&amp;B1412,INSUMOS!C:G,3,0))</f>
        <v/>
      </c>
      <c r="F1412" s="118"/>
      <c r="G1412" s="113" t="str">
        <f>IF(A1412&amp;B1412="","",VLOOKUP(A1412&amp;B1412,INSUMOS!C:G,4,0))</f>
        <v/>
      </c>
      <c r="H1412" s="119" t="str">
        <f t="shared" si="222"/>
        <v/>
      </c>
      <c r="I1412" s="119" t="str">
        <f t="shared" si="223"/>
        <v/>
      </c>
      <c r="J1412" s="115" t="str">
        <f t="shared" si="224"/>
        <v/>
      </c>
      <c r="K1412" s="102" t="str">
        <f>IF(A1412&amp;B1412="","",VLOOKUP(A1412&amp;B1412,INSUMOS!C:G,5,0))</f>
        <v/>
      </c>
    </row>
    <row r="1413" spans="1:17" ht="15" x14ac:dyDescent="0.25">
      <c r="A1413" s="109"/>
      <c r="B1413" s="116"/>
      <c r="C1413" s="518" t="str">
        <f>IF(A1413&amp;B1413="","",VLOOKUP(A1413&amp;B1413,INSUMOS!C:G,2,0))</f>
        <v/>
      </c>
      <c r="D1413" s="519"/>
      <c r="E1413" s="117" t="str">
        <f>IF(A1413&amp;B1413="","",VLOOKUP(A1413&amp;B1413,INSUMOS!C:G,3,0))</f>
        <v/>
      </c>
      <c r="F1413" s="118"/>
      <c r="G1413" s="113" t="str">
        <f>IF(A1413&amp;B1413="","",VLOOKUP(A1413&amp;B1413,INSUMOS!C:G,4,0))</f>
        <v/>
      </c>
      <c r="H1413" s="119" t="str">
        <f t="shared" si="222"/>
        <v/>
      </c>
      <c r="I1413" s="119" t="str">
        <f t="shared" si="223"/>
        <v/>
      </c>
      <c r="J1413" s="115" t="str">
        <f t="shared" si="224"/>
        <v/>
      </c>
      <c r="K1413" s="102" t="str">
        <f>IF(A1413&amp;B1413="","",VLOOKUP(A1413&amp;B1413,INSUMOS!C:G,5,0))</f>
        <v/>
      </c>
    </row>
    <row r="1414" spans="1:17" ht="15" x14ac:dyDescent="0.25">
      <c r="A1414" s="109"/>
      <c r="B1414" s="116"/>
      <c r="C1414" s="518" t="str">
        <f>IF(A1414&amp;B1414="","",VLOOKUP(A1414&amp;B1414,INSUMOS!C:G,2,0))</f>
        <v/>
      </c>
      <c r="D1414" s="519"/>
      <c r="E1414" s="117" t="str">
        <f>IF(A1414&amp;B1414="","",VLOOKUP(A1414&amp;B1414,INSUMOS!C:G,3,0))</f>
        <v/>
      </c>
      <c r="F1414" s="118"/>
      <c r="G1414" s="113" t="str">
        <f>IF(A1414&amp;B1414="","",VLOOKUP(A1414&amp;B1414,INSUMOS!C:G,4,0))</f>
        <v/>
      </c>
      <c r="H1414" s="119" t="str">
        <f t="shared" si="222"/>
        <v/>
      </c>
      <c r="I1414" s="119" t="str">
        <f t="shared" si="223"/>
        <v/>
      </c>
      <c r="J1414" s="115" t="str">
        <f t="shared" si="224"/>
        <v/>
      </c>
      <c r="K1414" s="102" t="str">
        <f>IF(A1414&amp;B1414="","",VLOOKUP(A1414&amp;B1414,INSUMOS!C:G,5,0))</f>
        <v/>
      </c>
    </row>
    <row r="1415" spans="1:17" ht="15" x14ac:dyDescent="0.25">
      <c r="A1415" s="109"/>
      <c r="B1415" s="116"/>
      <c r="C1415" s="518" t="str">
        <f>IF(A1415&amp;B1415="","",VLOOKUP(A1415&amp;B1415,INSUMOS!C:G,2,0))</f>
        <v/>
      </c>
      <c r="D1415" s="519"/>
      <c r="E1415" s="117" t="str">
        <f>IF(A1415&amp;B1415="","",VLOOKUP(A1415&amp;B1415,INSUMOS!C:G,3,0))</f>
        <v/>
      </c>
      <c r="F1415" s="118"/>
      <c r="G1415" s="113" t="str">
        <f>IF(A1415&amp;B1415="","",VLOOKUP(A1415&amp;B1415,INSUMOS!C:G,4,0))</f>
        <v/>
      </c>
      <c r="H1415" s="119" t="str">
        <f t="shared" si="222"/>
        <v/>
      </c>
      <c r="I1415" s="119" t="str">
        <f t="shared" si="223"/>
        <v/>
      </c>
      <c r="J1415" s="115" t="str">
        <f t="shared" si="224"/>
        <v/>
      </c>
      <c r="K1415" s="102" t="str">
        <f>IF(A1415&amp;B1415="","",VLOOKUP(A1415&amp;B1415,INSUMOS!C:G,5,0))</f>
        <v/>
      </c>
    </row>
    <row r="1416" spans="1:17" ht="15" x14ac:dyDescent="0.25">
      <c r="A1416" s="109"/>
      <c r="B1416" s="116"/>
      <c r="C1416" s="518" t="str">
        <f>IF(A1416&amp;B1416="","",VLOOKUP(A1416&amp;B1416,INSUMOS!C:G,2,0))</f>
        <v/>
      </c>
      <c r="D1416" s="519"/>
      <c r="E1416" s="117" t="str">
        <f>IF(A1416&amp;B1416="","",VLOOKUP(A1416&amp;B1416,INSUMOS!C:G,3,0))</f>
        <v/>
      </c>
      <c r="F1416" s="118"/>
      <c r="G1416" s="113" t="str">
        <f>IF(A1416&amp;B1416="","",VLOOKUP(A1416&amp;B1416,INSUMOS!C:G,4,0))</f>
        <v/>
      </c>
      <c r="H1416" s="119" t="str">
        <f t="shared" si="222"/>
        <v/>
      </c>
      <c r="I1416" s="119" t="str">
        <f t="shared" si="223"/>
        <v/>
      </c>
      <c r="J1416" s="115" t="str">
        <f t="shared" si="224"/>
        <v/>
      </c>
      <c r="K1416" s="102" t="str">
        <f>IF(A1416&amp;B1416="","",VLOOKUP(A1416&amp;B1416,INSUMOS!C:G,5,0))</f>
        <v/>
      </c>
    </row>
    <row r="1417" spans="1:17" ht="15" x14ac:dyDescent="0.25">
      <c r="A1417" s="120"/>
      <c r="B1417" s="121"/>
      <c r="C1417" s="518" t="str">
        <f>IF(A1417&amp;B1417="","",VLOOKUP(A1417&amp;B1417,INSUMOS!C:G,2,0))</f>
        <v/>
      </c>
      <c r="D1417" s="519"/>
      <c r="E1417" s="117" t="str">
        <f>IF(A1417&amp;B1417="","",VLOOKUP(A1417&amp;B1417,INSUMOS!C:G,3,0))</f>
        <v/>
      </c>
      <c r="F1417" s="118"/>
      <c r="G1417" s="122" t="str">
        <f>IF(A1417&amp;B1417="","",VLOOKUP(A1417&amp;B1417,INSUMOS!C:G,4,0))</f>
        <v/>
      </c>
      <c r="H1417" s="119" t="str">
        <f t="shared" si="222"/>
        <v/>
      </c>
      <c r="I1417" s="119" t="str">
        <f t="shared" si="223"/>
        <v/>
      </c>
      <c r="J1417" s="115" t="str">
        <f t="shared" si="224"/>
        <v/>
      </c>
      <c r="K1417" s="102" t="str">
        <f>IF(A1417&amp;B1417="","",VLOOKUP(A1417&amp;B1417,INSUMOS!C:G,5,0))</f>
        <v/>
      </c>
    </row>
    <row r="1418" spans="1:17" ht="15" x14ac:dyDescent="0.25">
      <c r="A1418" s="120"/>
      <c r="B1418" s="121"/>
      <c r="C1418" s="518" t="str">
        <f>IF(A1418&amp;B1418="","",VLOOKUP(A1418&amp;B1418,INSUMOS!C:G,2,0))</f>
        <v/>
      </c>
      <c r="D1418" s="519"/>
      <c r="E1418" s="117" t="str">
        <f>IF(A1418&amp;B1418="","",VLOOKUP(A1418&amp;B1418,INSUMOS!C:G,3,0))</f>
        <v/>
      </c>
      <c r="F1418" s="118"/>
      <c r="G1418" s="122" t="str">
        <f>IF(A1418&amp;B1418="","",VLOOKUP(A1418&amp;B1418,INSUMOS!C:G,4,0))</f>
        <v/>
      </c>
      <c r="H1418" s="119" t="str">
        <f t="shared" si="222"/>
        <v/>
      </c>
      <c r="I1418" s="119" t="str">
        <f t="shared" si="223"/>
        <v/>
      </c>
      <c r="J1418" s="115" t="str">
        <f t="shared" si="224"/>
        <v/>
      </c>
      <c r="K1418" s="102" t="str">
        <f>IF(A1418&amp;B1418="","",VLOOKUP(A1418&amp;B1418,INSUMOS!C:G,5,0))</f>
        <v/>
      </c>
    </row>
    <row r="1419" spans="1:17" ht="15" x14ac:dyDescent="0.25">
      <c r="A1419" s="120"/>
      <c r="B1419" s="121"/>
      <c r="C1419" s="518" t="str">
        <f>IF(A1419&amp;B1419="","",VLOOKUP(A1419&amp;B1419,INSUMOS!C:G,2,0))</f>
        <v/>
      </c>
      <c r="D1419" s="519"/>
      <c r="E1419" s="117" t="str">
        <f>IF(A1419&amp;B1419="","",VLOOKUP(A1419&amp;B1419,INSUMOS!C:G,3,0))</f>
        <v/>
      </c>
      <c r="F1419" s="118"/>
      <c r="G1419" s="122" t="str">
        <f>IF(A1419&amp;B1419="","",VLOOKUP(A1419&amp;B1419,INSUMOS!C:G,4,0))</f>
        <v/>
      </c>
      <c r="H1419" s="119" t="str">
        <f t="shared" si="222"/>
        <v/>
      </c>
      <c r="I1419" s="119" t="str">
        <f t="shared" si="223"/>
        <v/>
      </c>
      <c r="J1419" s="115" t="str">
        <f t="shared" si="224"/>
        <v/>
      </c>
      <c r="K1419" s="102" t="str">
        <f>IF(A1419&amp;B1419="","",VLOOKUP(A1419&amp;B1419,INSUMOS!C:G,5,0))</f>
        <v/>
      </c>
    </row>
    <row r="1420" spans="1:17" ht="15" x14ac:dyDescent="0.25">
      <c r="A1420" s="123" t="s">
        <v>4399</v>
      </c>
      <c r="B1420" s="520"/>
      <c r="C1420" s="520"/>
      <c r="D1420" s="520"/>
      <c r="E1420" s="520"/>
      <c r="F1420" s="521"/>
      <c r="G1420" s="124" t="s">
        <v>50</v>
      </c>
      <c r="H1420" s="125">
        <f>SUM(H1407:H1419)</f>
        <v>3.4400000000000004</v>
      </c>
      <c r="I1420" s="125">
        <f>SUM(I1407:I1419)</f>
        <v>20.580000000000002</v>
      </c>
      <c r="J1420" s="126">
        <f>SUM(J1407:J1419)</f>
        <v>0</v>
      </c>
    </row>
    <row r="1421" spans="1:17" ht="15" x14ac:dyDescent="0.25">
      <c r="A1421" s="127" t="s">
        <v>4400</v>
      </c>
      <c r="B1421" s="128"/>
      <c r="C1421" s="128"/>
      <c r="D1421" s="127" t="s">
        <v>51</v>
      </c>
      <c r="E1421" s="128"/>
      <c r="F1421" s="129"/>
      <c r="G1421" s="130" t="s">
        <v>55</v>
      </c>
      <c r="H1421" s="131" t="s">
        <v>52</v>
      </c>
      <c r="I1421" s="132"/>
      <c r="J1421" s="125">
        <f>SUM(H1420:J1420)</f>
        <v>24.020000000000003</v>
      </c>
    </row>
    <row r="1422" spans="1:17" ht="15" x14ac:dyDescent="0.25">
      <c r="A1422" s="313" t="str">
        <f>$I$3</f>
        <v>Carlos Wieck</v>
      </c>
      <c r="B1422" s="133"/>
      <c r="C1422" s="133"/>
      <c r="D1422" s="134"/>
      <c r="E1422" s="133"/>
      <c r="F1422" s="135"/>
      <c r="G1422" s="522">
        <f>$J$5</f>
        <v>43040</v>
      </c>
      <c r="H1422" s="136" t="s">
        <v>53</v>
      </c>
      <c r="I1422" s="137"/>
      <c r="J1422" s="125">
        <f>TRUNC(I1422*J1421,2)</f>
        <v>0</v>
      </c>
    </row>
    <row r="1423" spans="1:17" ht="15" x14ac:dyDescent="0.25">
      <c r="A1423" s="138"/>
      <c r="B1423" s="139"/>
      <c r="C1423" s="139"/>
      <c r="D1423" s="138"/>
      <c r="E1423" s="139"/>
      <c r="F1423" s="140"/>
      <c r="G1423" s="523"/>
      <c r="H1423" s="141" t="s">
        <v>54</v>
      </c>
      <c r="I1423" s="142"/>
      <c r="J1423" s="143">
        <f>J1422+J1421</f>
        <v>24.020000000000003</v>
      </c>
      <c r="L1423" s="102" t="str">
        <f>A1404</f>
        <v>COMPOSIÇÃO</v>
      </c>
      <c r="M1423" s="144" t="str">
        <f>B1404</f>
        <v>FF-055</v>
      </c>
      <c r="N1423" s="102" t="str">
        <f>L1423&amp;M1423</f>
        <v>COMPOSIÇÃOFF-055</v>
      </c>
      <c r="O1423" s="103" t="str">
        <f>D1403</f>
        <v xml:space="preserve">Fornecimento e plantio de Begonia jureiensis - Begônia </v>
      </c>
      <c r="P1423" s="145" t="str">
        <f>J1404</f>
        <v>un</v>
      </c>
      <c r="Q1423" s="145">
        <f>J1423</f>
        <v>24.020000000000003</v>
      </c>
    </row>
    <row r="1424" spans="1:17" ht="15" customHeight="1" x14ac:dyDescent="0.25">
      <c r="A1424" s="524" t="s">
        <v>40</v>
      </c>
      <c r="B1424" s="525"/>
      <c r="C1424" s="104" t="s">
        <v>41</v>
      </c>
      <c r="D1424" s="526" t="str">
        <f>IF(B1425="","",VLOOKUP(B1425,SERVIÇOS!B:E,3,0))</f>
        <v>Fornecimento e plantio de Sinningia micans - Siníngia</v>
      </c>
      <c r="E1424" s="526"/>
      <c r="F1424" s="526"/>
      <c r="G1424" s="526"/>
      <c r="H1424" s="526"/>
      <c r="I1424" s="527"/>
      <c r="J1424" s="105" t="s">
        <v>42</v>
      </c>
    </row>
    <row r="1425" spans="1:11" ht="15" x14ac:dyDescent="0.25">
      <c r="A1425" s="230" t="s">
        <v>4715</v>
      </c>
      <c r="B1425" s="230" t="s">
        <v>5060</v>
      </c>
      <c r="C1425" s="106"/>
      <c r="D1425" s="528"/>
      <c r="E1425" s="528"/>
      <c r="F1425" s="528"/>
      <c r="G1425" s="528"/>
      <c r="H1425" s="528"/>
      <c r="I1425" s="529"/>
      <c r="J1425" s="107" t="str">
        <f>IF(B1425="","",VLOOKUP(B1425,SERVIÇOS!B:E,4,0))</f>
        <v>un</v>
      </c>
    </row>
    <row r="1426" spans="1:11" ht="15" x14ac:dyDescent="0.25">
      <c r="A1426" s="530" t="s">
        <v>4397</v>
      </c>
      <c r="B1426" s="531" t="s">
        <v>11</v>
      </c>
      <c r="C1426" s="533" t="s">
        <v>43</v>
      </c>
      <c r="D1426" s="534"/>
      <c r="E1426" s="530" t="s">
        <v>13</v>
      </c>
      <c r="F1426" s="530" t="s">
        <v>44</v>
      </c>
      <c r="G1426" s="538" t="s">
        <v>45</v>
      </c>
      <c r="H1426" s="108" t="s">
        <v>46</v>
      </c>
      <c r="I1426" s="108"/>
      <c r="J1426" s="108"/>
    </row>
    <row r="1427" spans="1:11" ht="15" x14ac:dyDescent="0.25">
      <c r="A1427" s="530"/>
      <c r="B1427" s="532"/>
      <c r="C1427" s="535"/>
      <c r="D1427" s="536"/>
      <c r="E1427" s="537"/>
      <c r="F1427" s="537"/>
      <c r="G1427" s="539"/>
      <c r="H1427" s="108" t="s">
        <v>47</v>
      </c>
      <c r="I1427" s="108" t="s">
        <v>48</v>
      </c>
      <c r="J1427" s="108" t="s">
        <v>49</v>
      </c>
    </row>
    <row r="1428" spans="1:11" ht="15" x14ac:dyDescent="0.25">
      <c r="A1428" s="109" t="s">
        <v>4717</v>
      </c>
      <c r="B1428" s="116" t="s">
        <v>4967</v>
      </c>
      <c r="C1428" s="540" t="str">
        <f>IF(A1428&amp;B1428="","",VLOOKUP(A1428&amp;B1428,INSUMOS!C:G,2,0))</f>
        <v>Fornecimento e plantio de Sinningia micans - Siníngia</v>
      </c>
      <c r="D1428" s="541"/>
      <c r="E1428" s="111" t="str">
        <f>IF(A1428&amp;B1428="","",VLOOKUP(A1428&amp;B1428,INSUMOS!C:G,3,0))</f>
        <v>un</v>
      </c>
      <c r="F1428" s="112">
        <v>1</v>
      </c>
      <c r="G1428" s="113">
        <f>IF(A1428&amp;B1428="","",VLOOKUP(A1428&amp;B1428,INSUMOS!C:G,4,0))</f>
        <v>22.954000000000001</v>
      </c>
      <c r="H1428" s="114" t="str">
        <f>IF(K1428="MO",TRUNC(F1428*G1428,2),"")</f>
        <v/>
      </c>
      <c r="I1428" s="114">
        <f>IF(K1428="MT",TRUNC(F1428*G1428,2),"")</f>
        <v>22.95</v>
      </c>
      <c r="J1428" s="115" t="str">
        <f>IF(K1428="EQ",TRUNC(F1428*G1428,2),"")</f>
        <v/>
      </c>
      <c r="K1428" s="102" t="str">
        <f>IF(A1428&amp;B1428="","",VLOOKUP(A1428&amp;B1428,INSUMOS!C:G,5,0))</f>
        <v>MT</v>
      </c>
    </row>
    <row r="1429" spans="1:11" ht="15" x14ac:dyDescent="0.25">
      <c r="A1429" s="109" t="s">
        <v>4398</v>
      </c>
      <c r="B1429" s="116">
        <v>10101</v>
      </c>
      <c r="C1429" s="518" t="str">
        <f>IF(A1429&amp;B1429="","",VLOOKUP(A1429&amp;B1429,INSUMOS!C:G,2,0))</f>
        <v>Ajudante geral</v>
      </c>
      <c r="D1429" s="519"/>
      <c r="E1429" s="117" t="str">
        <f>IF(A1429&amp;B1429="","",VLOOKUP(A1429&amp;B1429,INSUMOS!C:G,3,0))</f>
        <v>h</v>
      </c>
      <c r="F1429" s="118">
        <v>0.2</v>
      </c>
      <c r="G1429" s="113">
        <f>IF(A1429&amp;B1429="","",VLOOKUP(A1429&amp;B1429,INSUMOS!C:G,4,0))</f>
        <v>11.238228999999999</v>
      </c>
      <c r="H1429" s="119">
        <f t="shared" ref="H1429:H1440" si="225">IF(K1429="MO",TRUNC(F1429*G1429,2),"")</f>
        <v>2.2400000000000002</v>
      </c>
      <c r="I1429" s="119" t="str">
        <f t="shared" ref="I1429:I1440" si="226">IF(K1429="MT",TRUNC(F1429*G1429,2),"")</f>
        <v/>
      </c>
      <c r="J1429" s="115" t="str">
        <f t="shared" ref="J1429:J1440" si="227">IF(K1429="EQ",TRUNC(F1429*G1429,2),"")</f>
        <v/>
      </c>
      <c r="K1429" s="102" t="str">
        <f>IF(A1429&amp;B1429="","",VLOOKUP(A1429&amp;B1429,INSUMOS!C:G,5,0))</f>
        <v>MO</v>
      </c>
    </row>
    <row r="1430" spans="1:11" ht="15" x14ac:dyDescent="0.25">
      <c r="A1430" s="109" t="s">
        <v>4398</v>
      </c>
      <c r="B1430" s="116">
        <v>10126</v>
      </c>
      <c r="C1430" s="518" t="str">
        <f>IF(A1430&amp;B1430="","",VLOOKUP(A1430&amp;B1430,INSUMOS!C:G,2,0))</f>
        <v>Jardineiro</v>
      </c>
      <c r="D1430" s="519"/>
      <c r="E1430" s="117" t="str">
        <f>IF(A1430&amp;B1430="","",VLOOKUP(A1430&amp;B1430,INSUMOS!C:G,3,0))</f>
        <v>h</v>
      </c>
      <c r="F1430" s="118">
        <v>0.1</v>
      </c>
      <c r="G1430" s="113">
        <f>IF(A1430&amp;B1430="","",VLOOKUP(A1430&amp;B1430,INSUMOS!C:G,4,0))</f>
        <v>12.07574</v>
      </c>
      <c r="H1430" s="119">
        <f t="shared" si="225"/>
        <v>1.2</v>
      </c>
      <c r="I1430" s="119" t="str">
        <f t="shared" si="226"/>
        <v/>
      </c>
      <c r="J1430" s="115" t="str">
        <f t="shared" si="227"/>
        <v/>
      </c>
      <c r="K1430" s="102" t="str">
        <f>IF(A1430&amp;B1430="","",VLOOKUP(A1430&amp;B1430,INSUMOS!C:G,5,0))</f>
        <v>MO</v>
      </c>
    </row>
    <row r="1431" spans="1:11" ht="15" x14ac:dyDescent="0.25">
      <c r="A1431" s="109" t="s">
        <v>4398</v>
      </c>
      <c r="B1431" s="116">
        <v>38511</v>
      </c>
      <c r="C1431" s="518" t="str">
        <f>IF(A1431&amp;B1431="","",VLOOKUP(A1431&amp;B1431,INSUMOS!C:G,2,0))</f>
        <v>Terra vegetal orgânica comum</v>
      </c>
      <c r="D1431" s="519"/>
      <c r="E1431" s="117" t="str">
        <f>IF(A1431&amp;B1431="","",VLOOKUP(A1431&amp;B1431,INSUMOS!C:G,3,0))</f>
        <v>m³</v>
      </c>
      <c r="F1431" s="118">
        <v>0.05</v>
      </c>
      <c r="G1431" s="113">
        <f>IF(A1431&amp;B1431="","",VLOOKUP(A1431&amp;B1431,INSUMOS!C:G,4,0))</f>
        <v>92.46</v>
      </c>
      <c r="H1431" s="119" t="str">
        <f t="shared" si="225"/>
        <v/>
      </c>
      <c r="I1431" s="119">
        <f t="shared" si="226"/>
        <v>4.62</v>
      </c>
      <c r="J1431" s="115" t="str">
        <f t="shared" si="227"/>
        <v/>
      </c>
      <c r="K1431" s="102" t="str">
        <f>IF(A1431&amp;B1431="","",VLOOKUP(A1431&amp;B1431,INSUMOS!C:G,5,0))</f>
        <v>MT</v>
      </c>
    </row>
    <row r="1432" spans="1:11" ht="15" x14ac:dyDescent="0.25">
      <c r="A1432" s="109"/>
      <c r="B1432" s="116"/>
      <c r="C1432" s="518" t="str">
        <f>IF(A1432&amp;B1432="","",VLOOKUP(A1432&amp;B1432,INSUMOS!C:G,2,0))</f>
        <v/>
      </c>
      <c r="D1432" s="519"/>
      <c r="E1432" s="117" t="str">
        <f>IF(A1432&amp;B1432="","",VLOOKUP(A1432&amp;B1432,INSUMOS!C:G,3,0))</f>
        <v/>
      </c>
      <c r="F1432" s="118"/>
      <c r="G1432" s="113" t="str">
        <f>IF(A1432&amp;B1432="","",VLOOKUP(A1432&amp;B1432,INSUMOS!C:G,4,0))</f>
        <v/>
      </c>
      <c r="H1432" s="119" t="str">
        <f t="shared" si="225"/>
        <v/>
      </c>
      <c r="I1432" s="119" t="str">
        <f t="shared" si="226"/>
        <v/>
      </c>
      <c r="J1432" s="115" t="str">
        <f t="shared" si="227"/>
        <v/>
      </c>
      <c r="K1432" s="102" t="str">
        <f>IF(A1432&amp;B1432="","",VLOOKUP(A1432&amp;B1432,INSUMOS!C:G,5,0))</f>
        <v/>
      </c>
    </row>
    <row r="1433" spans="1:11" ht="15" x14ac:dyDescent="0.25">
      <c r="A1433" s="109"/>
      <c r="B1433" s="116"/>
      <c r="C1433" s="518" t="str">
        <f>IF(A1433&amp;B1433="","",VLOOKUP(A1433&amp;B1433,INSUMOS!C:G,2,0))</f>
        <v/>
      </c>
      <c r="D1433" s="519"/>
      <c r="E1433" s="117" t="str">
        <f>IF(A1433&amp;B1433="","",VLOOKUP(A1433&amp;B1433,INSUMOS!C:G,3,0))</f>
        <v/>
      </c>
      <c r="F1433" s="118"/>
      <c r="G1433" s="113" t="str">
        <f>IF(A1433&amp;B1433="","",VLOOKUP(A1433&amp;B1433,INSUMOS!C:G,4,0))</f>
        <v/>
      </c>
      <c r="H1433" s="119" t="str">
        <f t="shared" si="225"/>
        <v/>
      </c>
      <c r="I1433" s="119" t="str">
        <f t="shared" si="226"/>
        <v/>
      </c>
      <c r="J1433" s="115" t="str">
        <f t="shared" si="227"/>
        <v/>
      </c>
      <c r="K1433" s="102" t="str">
        <f>IF(A1433&amp;B1433="","",VLOOKUP(A1433&amp;B1433,INSUMOS!C:G,5,0))</f>
        <v/>
      </c>
    </row>
    <row r="1434" spans="1:11" ht="15" x14ac:dyDescent="0.25">
      <c r="A1434" s="109"/>
      <c r="B1434" s="116"/>
      <c r="C1434" s="518" t="str">
        <f>IF(A1434&amp;B1434="","",VLOOKUP(A1434&amp;B1434,INSUMOS!C:G,2,0))</f>
        <v/>
      </c>
      <c r="D1434" s="519"/>
      <c r="E1434" s="117" t="str">
        <f>IF(A1434&amp;B1434="","",VLOOKUP(A1434&amp;B1434,INSUMOS!C:G,3,0))</f>
        <v/>
      </c>
      <c r="F1434" s="118"/>
      <c r="G1434" s="113" t="str">
        <f>IF(A1434&amp;B1434="","",VLOOKUP(A1434&amp;B1434,INSUMOS!C:G,4,0))</f>
        <v/>
      </c>
      <c r="H1434" s="119" t="str">
        <f t="shared" si="225"/>
        <v/>
      </c>
      <c r="I1434" s="119" t="str">
        <f t="shared" si="226"/>
        <v/>
      </c>
      <c r="J1434" s="115" t="str">
        <f t="shared" si="227"/>
        <v/>
      </c>
      <c r="K1434" s="102" t="str">
        <f>IF(A1434&amp;B1434="","",VLOOKUP(A1434&amp;B1434,INSUMOS!C:G,5,0))</f>
        <v/>
      </c>
    </row>
    <row r="1435" spans="1:11" ht="15" x14ac:dyDescent="0.25">
      <c r="A1435" s="109"/>
      <c r="B1435" s="116"/>
      <c r="C1435" s="518" t="str">
        <f>IF(A1435&amp;B1435="","",VLOOKUP(A1435&amp;B1435,INSUMOS!C:G,2,0))</f>
        <v/>
      </c>
      <c r="D1435" s="519"/>
      <c r="E1435" s="117" t="str">
        <f>IF(A1435&amp;B1435="","",VLOOKUP(A1435&amp;B1435,INSUMOS!C:G,3,0))</f>
        <v/>
      </c>
      <c r="F1435" s="118"/>
      <c r="G1435" s="113" t="str">
        <f>IF(A1435&amp;B1435="","",VLOOKUP(A1435&amp;B1435,INSUMOS!C:G,4,0))</f>
        <v/>
      </c>
      <c r="H1435" s="119" t="str">
        <f t="shared" si="225"/>
        <v/>
      </c>
      <c r="I1435" s="119" t="str">
        <f t="shared" si="226"/>
        <v/>
      </c>
      <c r="J1435" s="115" t="str">
        <f t="shared" si="227"/>
        <v/>
      </c>
      <c r="K1435" s="102" t="str">
        <f>IF(A1435&amp;B1435="","",VLOOKUP(A1435&amp;B1435,INSUMOS!C:G,5,0))</f>
        <v/>
      </c>
    </row>
    <row r="1436" spans="1:11" ht="15" x14ac:dyDescent="0.25">
      <c r="A1436" s="109"/>
      <c r="B1436" s="116"/>
      <c r="C1436" s="518" t="str">
        <f>IF(A1436&amp;B1436="","",VLOOKUP(A1436&amp;B1436,INSUMOS!C:G,2,0))</f>
        <v/>
      </c>
      <c r="D1436" s="519"/>
      <c r="E1436" s="117" t="str">
        <f>IF(A1436&amp;B1436="","",VLOOKUP(A1436&amp;B1436,INSUMOS!C:G,3,0))</f>
        <v/>
      </c>
      <c r="F1436" s="118"/>
      <c r="G1436" s="113" t="str">
        <f>IF(A1436&amp;B1436="","",VLOOKUP(A1436&amp;B1436,INSUMOS!C:G,4,0))</f>
        <v/>
      </c>
      <c r="H1436" s="119" t="str">
        <f t="shared" si="225"/>
        <v/>
      </c>
      <c r="I1436" s="119" t="str">
        <f t="shared" si="226"/>
        <v/>
      </c>
      <c r="J1436" s="115" t="str">
        <f t="shared" si="227"/>
        <v/>
      </c>
      <c r="K1436" s="102" t="str">
        <f>IF(A1436&amp;B1436="","",VLOOKUP(A1436&amp;B1436,INSUMOS!C:G,5,0))</f>
        <v/>
      </c>
    </row>
    <row r="1437" spans="1:11" ht="15" x14ac:dyDescent="0.25">
      <c r="A1437" s="109"/>
      <c r="B1437" s="116"/>
      <c r="C1437" s="518" t="str">
        <f>IF(A1437&amp;B1437="","",VLOOKUP(A1437&amp;B1437,INSUMOS!C:G,2,0))</f>
        <v/>
      </c>
      <c r="D1437" s="519"/>
      <c r="E1437" s="117" t="str">
        <f>IF(A1437&amp;B1437="","",VLOOKUP(A1437&amp;B1437,INSUMOS!C:G,3,0))</f>
        <v/>
      </c>
      <c r="F1437" s="118"/>
      <c r="G1437" s="113" t="str">
        <f>IF(A1437&amp;B1437="","",VLOOKUP(A1437&amp;B1437,INSUMOS!C:G,4,0))</f>
        <v/>
      </c>
      <c r="H1437" s="119" t="str">
        <f t="shared" si="225"/>
        <v/>
      </c>
      <c r="I1437" s="119" t="str">
        <f t="shared" si="226"/>
        <v/>
      </c>
      <c r="J1437" s="115" t="str">
        <f t="shared" si="227"/>
        <v/>
      </c>
      <c r="K1437" s="102" t="str">
        <f>IF(A1437&amp;B1437="","",VLOOKUP(A1437&amp;B1437,INSUMOS!C:G,5,0))</f>
        <v/>
      </c>
    </row>
    <row r="1438" spans="1:11" ht="15" x14ac:dyDescent="0.25">
      <c r="A1438" s="120"/>
      <c r="B1438" s="121"/>
      <c r="C1438" s="518" t="str">
        <f>IF(A1438&amp;B1438="","",VLOOKUP(A1438&amp;B1438,INSUMOS!C:G,2,0))</f>
        <v/>
      </c>
      <c r="D1438" s="519"/>
      <c r="E1438" s="117" t="str">
        <f>IF(A1438&amp;B1438="","",VLOOKUP(A1438&amp;B1438,INSUMOS!C:G,3,0))</f>
        <v/>
      </c>
      <c r="F1438" s="118"/>
      <c r="G1438" s="122" t="str">
        <f>IF(A1438&amp;B1438="","",VLOOKUP(A1438&amp;B1438,INSUMOS!C:G,4,0))</f>
        <v/>
      </c>
      <c r="H1438" s="119" t="str">
        <f t="shared" si="225"/>
        <v/>
      </c>
      <c r="I1438" s="119" t="str">
        <f t="shared" si="226"/>
        <v/>
      </c>
      <c r="J1438" s="115" t="str">
        <f t="shared" si="227"/>
        <v/>
      </c>
      <c r="K1438" s="102" t="str">
        <f>IF(A1438&amp;B1438="","",VLOOKUP(A1438&amp;B1438,INSUMOS!C:G,5,0))</f>
        <v/>
      </c>
    </row>
    <row r="1439" spans="1:11" ht="15" x14ac:dyDescent="0.25">
      <c r="A1439" s="120"/>
      <c r="B1439" s="121"/>
      <c r="C1439" s="518" t="str">
        <f>IF(A1439&amp;B1439="","",VLOOKUP(A1439&amp;B1439,INSUMOS!C:G,2,0))</f>
        <v/>
      </c>
      <c r="D1439" s="519"/>
      <c r="E1439" s="117" t="str">
        <f>IF(A1439&amp;B1439="","",VLOOKUP(A1439&amp;B1439,INSUMOS!C:G,3,0))</f>
        <v/>
      </c>
      <c r="F1439" s="118"/>
      <c r="G1439" s="122" t="str">
        <f>IF(A1439&amp;B1439="","",VLOOKUP(A1439&amp;B1439,INSUMOS!C:G,4,0))</f>
        <v/>
      </c>
      <c r="H1439" s="119" t="str">
        <f t="shared" si="225"/>
        <v/>
      </c>
      <c r="I1439" s="119" t="str">
        <f t="shared" si="226"/>
        <v/>
      </c>
      <c r="J1439" s="115" t="str">
        <f t="shared" si="227"/>
        <v/>
      </c>
      <c r="K1439" s="102" t="str">
        <f>IF(A1439&amp;B1439="","",VLOOKUP(A1439&amp;B1439,INSUMOS!C:G,5,0))</f>
        <v/>
      </c>
    </row>
    <row r="1440" spans="1:11" ht="15" x14ac:dyDescent="0.25">
      <c r="A1440" s="120"/>
      <c r="B1440" s="121"/>
      <c r="C1440" s="518" t="str">
        <f>IF(A1440&amp;B1440="","",VLOOKUP(A1440&amp;B1440,INSUMOS!C:G,2,0))</f>
        <v/>
      </c>
      <c r="D1440" s="519"/>
      <c r="E1440" s="117" t="str">
        <f>IF(A1440&amp;B1440="","",VLOOKUP(A1440&amp;B1440,INSUMOS!C:G,3,0))</f>
        <v/>
      </c>
      <c r="F1440" s="118"/>
      <c r="G1440" s="122" t="str">
        <f>IF(A1440&amp;B1440="","",VLOOKUP(A1440&amp;B1440,INSUMOS!C:G,4,0))</f>
        <v/>
      </c>
      <c r="H1440" s="119" t="str">
        <f t="shared" si="225"/>
        <v/>
      </c>
      <c r="I1440" s="119" t="str">
        <f t="shared" si="226"/>
        <v/>
      </c>
      <c r="J1440" s="115" t="str">
        <f t="shared" si="227"/>
        <v/>
      </c>
      <c r="K1440" s="102" t="str">
        <f>IF(A1440&amp;B1440="","",VLOOKUP(A1440&amp;B1440,INSUMOS!C:G,5,0))</f>
        <v/>
      </c>
    </row>
    <row r="1441" spans="1:17" ht="15" x14ac:dyDescent="0.25">
      <c r="A1441" s="123" t="s">
        <v>4399</v>
      </c>
      <c r="B1441" s="520"/>
      <c r="C1441" s="520"/>
      <c r="D1441" s="520"/>
      <c r="E1441" s="520"/>
      <c r="F1441" s="521"/>
      <c r="G1441" s="124" t="s">
        <v>50</v>
      </c>
      <c r="H1441" s="125">
        <f>SUM(H1428:H1440)</f>
        <v>3.4400000000000004</v>
      </c>
      <c r="I1441" s="125">
        <f>SUM(I1428:I1440)</f>
        <v>27.57</v>
      </c>
      <c r="J1441" s="126">
        <f>SUM(J1428:J1440)</f>
        <v>0</v>
      </c>
    </row>
    <row r="1442" spans="1:17" ht="15" x14ac:dyDescent="0.25">
      <c r="A1442" s="127" t="s">
        <v>4400</v>
      </c>
      <c r="B1442" s="128"/>
      <c r="C1442" s="128"/>
      <c r="D1442" s="127" t="s">
        <v>51</v>
      </c>
      <c r="E1442" s="128"/>
      <c r="F1442" s="129"/>
      <c r="G1442" s="130" t="s">
        <v>55</v>
      </c>
      <c r="H1442" s="131" t="s">
        <v>52</v>
      </c>
      <c r="I1442" s="132"/>
      <c r="J1442" s="125">
        <f>SUM(H1441:J1441)</f>
        <v>31.01</v>
      </c>
    </row>
    <row r="1443" spans="1:17" ht="15" x14ac:dyDescent="0.25">
      <c r="A1443" s="313" t="str">
        <f>$I$3</f>
        <v>Carlos Wieck</v>
      </c>
      <c r="B1443" s="133"/>
      <c r="C1443" s="133"/>
      <c r="D1443" s="134"/>
      <c r="E1443" s="133"/>
      <c r="F1443" s="135"/>
      <c r="G1443" s="522">
        <f>$J$5</f>
        <v>43040</v>
      </c>
      <c r="H1443" s="136" t="s">
        <v>53</v>
      </c>
      <c r="I1443" s="137"/>
      <c r="J1443" s="125">
        <f>TRUNC(I1443*J1442,2)</f>
        <v>0</v>
      </c>
    </row>
    <row r="1444" spans="1:17" ht="15" x14ac:dyDescent="0.25">
      <c r="A1444" s="138"/>
      <c r="B1444" s="139"/>
      <c r="C1444" s="139"/>
      <c r="D1444" s="138"/>
      <c r="E1444" s="139"/>
      <c r="F1444" s="140"/>
      <c r="G1444" s="523"/>
      <c r="H1444" s="141" t="s">
        <v>54</v>
      </c>
      <c r="I1444" s="142"/>
      <c r="J1444" s="143">
        <f>J1443+J1442</f>
        <v>31.01</v>
      </c>
      <c r="L1444" s="102" t="str">
        <f>A1425</f>
        <v>COMPOSIÇÃO</v>
      </c>
      <c r="M1444" s="144" t="str">
        <f>B1425</f>
        <v>FF-056</v>
      </c>
      <c r="N1444" s="102" t="str">
        <f>L1444&amp;M1444</f>
        <v>COMPOSIÇÃOFF-056</v>
      </c>
      <c r="O1444" s="103" t="str">
        <f>D1424</f>
        <v>Fornecimento e plantio de Sinningia micans - Siníngia</v>
      </c>
      <c r="P1444" s="145" t="str">
        <f>J1425</f>
        <v>un</v>
      </c>
      <c r="Q1444" s="145">
        <f>J1444</f>
        <v>31.01</v>
      </c>
    </row>
    <row r="1445" spans="1:17" ht="15" customHeight="1" x14ac:dyDescent="0.25">
      <c r="A1445" s="524" t="s">
        <v>40</v>
      </c>
      <c r="B1445" s="525"/>
      <c r="C1445" s="104" t="s">
        <v>41</v>
      </c>
      <c r="D1445" s="526" t="str">
        <f>IF(B1446="","",VLOOKUP(B1446,SERVIÇOS!B:E,3,0))</f>
        <v>Fornecimento e instalação de Plataforma Elevatória (elevador acessível) de 2 paradas, desnível de 2,80m entre pisos, com cabine dim. 0,90X1,40m com portas de acesso do mesmo lado e última altura menor que 2,60m, ref. PL 240 da MONTELE ou equivalente técnico.</v>
      </c>
      <c r="E1445" s="526"/>
      <c r="F1445" s="526"/>
      <c r="G1445" s="526"/>
      <c r="H1445" s="526"/>
      <c r="I1445" s="527"/>
      <c r="J1445" s="105" t="s">
        <v>42</v>
      </c>
    </row>
    <row r="1446" spans="1:17" ht="15" x14ac:dyDescent="0.25">
      <c r="A1446" s="230" t="s">
        <v>4715</v>
      </c>
      <c r="B1446" s="230" t="s">
        <v>5061</v>
      </c>
      <c r="C1446" s="106"/>
      <c r="D1446" s="528"/>
      <c r="E1446" s="528"/>
      <c r="F1446" s="528"/>
      <c r="G1446" s="528"/>
      <c r="H1446" s="528"/>
      <c r="I1446" s="529"/>
      <c r="J1446" s="107" t="str">
        <f>IF(B1446="","",VLOOKUP(B1446,SERVIÇOS!B:E,4,0))</f>
        <v>un</v>
      </c>
    </row>
    <row r="1447" spans="1:17" ht="15" x14ac:dyDescent="0.25">
      <c r="A1447" s="530" t="s">
        <v>4397</v>
      </c>
      <c r="B1447" s="531" t="s">
        <v>11</v>
      </c>
      <c r="C1447" s="533" t="s">
        <v>43</v>
      </c>
      <c r="D1447" s="534"/>
      <c r="E1447" s="530" t="s">
        <v>13</v>
      </c>
      <c r="F1447" s="530" t="s">
        <v>44</v>
      </c>
      <c r="G1447" s="538" t="s">
        <v>45</v>
      </c>
      <c r="H1447" s="108" t="s">
        <v>46</v>
      </c>
      <c r="I1447" s="108"/>
      <c r="J1447" s="108"/>
    </row>
    <row r="1448" spans="1:17" ht="15" x14ac:dyDescent="0.25">
      <c r="A1448" s="530"/>
      <c r="B1448" s="532"/>
      <c r="C1448" s="535"/>
      <c r="D1448" s="536"/>
      <c r="E1448" s="537"/>
      <c r="F1448" s="537"/>
      <c r="G1448" s="539"/>
      <c r="H1448" s="108" t="s">
        <v>47</v>
      </c>
      <c r="I1448" s="108" t="s">
        <v>48</v>
      </c>
      <c r="J1448" s="108" t="s">
        <v>49</v>
      </c>
    </row>
    <row r="1449" spans="1:17" ht="45" customHeight="1" x14ac:dyDescent="0.25">
      <c r="A1449" s="109" t="s">
        <v>4717</v>
      </c>
      <c r="B1449" s="116" t="s">
        <v>4968</v>
      </c>
      <c r="C1449" s="540" t="str">
        <f>IF(A1449&amp;B1449="","",VLOOKUP(A1449&amp;B1449,INSUMOS!C:G,2,0))</f>
        <v>Fornecimento e instalação de Plataforma Elevatória (elevador acessível) de 2 paradas, desnível de 2,80m entre pisos, com cabine dim. 0,90X1,40m com portas de acesso do mesmo lado e última altura menor que 2,60m, ref. PL 240 da MONTELE ou equivalente técnico.</v>
      </c>
      <c r="D1449" s="541"/>
      <c r="E1449" s="111" t="str">
        <f>IF(A1449&amp;B1449="","",VLOOKUP(A1449&amp;B1449,INSUMOS!C:G,3,0))</f>
        <v>un</v>
      </c>
      <c r="F1449" s="112">
        <v>1</v>
      </c>
      <c r="G1449" s="113">
        <f>IF(A1449&amp;B1449="","",VLOOKUP(A1449&amp;B1449,INSUMOS!C:G,4,0))</f>
        <v>19435.052</v>
      </c>
      <c r="H1449" s="114" t="str">
        <f>IF(K1449="MO",TRUNC(F1449*G1449,2),"")</f>
        <v/>
      </c>
      <c r="I1449" s="114">
        <f>IF(K1449="MT",TRUNC(F1449*G1449,2),"")</f>
        <v>19435.05</v>
      </c>
      <c r="J1449" s="115" t="str">
        <f>IF(K1449="EQ",TRUNC(F1449*G1449,2),"")</f>
        <v/>
      </c>
      <c r="K1449" s="102" t="str">
        <f>IF(A1449&amp;B1449="","",VLOOKUP(A1449&amp;B1449,INSUMOS!C:G,5,0))</f>
        <v>MT</v>
      </c>
    </row>
    <row r="1450" spans="1:17" ht="15" x14ac:dyDescent="0.25">
      <c r="A1450" s="109"/>
      <c r="B1450" s="116"/>
      <c r="C1450" s="518" t="str">
        <f>IF(A1450&amp;B1450="","",VLOOKUP(A1450&amp;B1450,INSUMOS!C:G,2,0))</f>
        <v/>
      </c>
      <c r="D1450" s="519"/>
      <c r="E1450" s="117" t="str">
        <f>IF(A1450&amp;B1450="","",VLOOKUP(A1450&amp;B1450,INSUMOS!C:G,3,0))</f>
        <v/>
      </c>
      <c r="F1450" s="118"/>
      <c r="G1450" s="113" t="str">
        <f>IF(A1450&amp;B1450="","",VLOOKUP(A1450&amp;B1450,INSUMOS!C:G,4,0))</f>
        <v/>
      </c>
      <c r="H1450" s="119" t="str">
        <f t="shared" ref="H1450:H1461" si="228">IF(K1450="MO",TRUNC(F1450*G1450,2),"")</f>
        <v/>
      </c>
      <c r="I1450" s="119" t="str">
        <f t="shared" ref="I1450:I1461" si="229">IF(K1450="MT",TRUNC(F1450*G1450,2),"")</f>
        <v/>
      </c>
      <c r="J1450" s="115" t="str">
        <f t="shared" ref="J1450:J1461" si="230">IF(K1450="EQ",TRUNC(F1450*G1450,2),"")</f>
        <v/>
      </c>
      <c r="K1450" s="102" t="str">
        <f>IF(A1450&amp;B1450="","",VLOOKUP(A1450&amp;B1450,INSUMOS!C:G,5,0))</f>
        <v/>
      </c>
    </row>
    <row r="1451" spans="1:17" ht="15" x14ac:dyDescent="0.25">
      <c r="A1451" s="109"/>
      <c r="B1451" s="116"/>
      <c r="C1451" s="518" t="str">
        <f>IF(A1451&amp;B1451="","",VLOOKUP(A1451&amp;B1451,INSUMOS!C:G,2,0))</f>
        <v/>
      </c>
      <c r="D1451" s="519"/>
      <c r="E1451" s="117" t="str">
        <f>IF(A1451&amp;B1451="","",VLOOKUP(A1451&amp;B1451,INSUMOS!C:G,3,0))</f>
        <v/>
      </c>
      <c r="F1451" s="118"/>
      <c r="G1451" s="113" t="str">
        <f>IF(A1451&amp;B1451="","",VLOOKUP(A1451&amp;B1451,INSUMOS!C:G,4,0))</f>
        <v/>
      </c>
      <c r="H1451" s="119" t="str">
        <f t="shared" si="228"/>
        <v/>
      </c>
      <c r="I1451" s="119" t="str">
        <f t="shared" si="229"/>
        <v/>
      </c>
      <c r="J1451" s="115" t="str">
        <f t="shared" si="230"/>
        <v/>
      </c>
      <c r="K1451" s="102" t="str">
        <f>IF(A1451&amp;B1451="","",VLOOKUP(A1451&amp;B1451,INSUMOS!C:G,5,0))</f>
        <v/>
      </c>
    </row>
    <row r="1452" spans="1:17" ht="15" x14ac:dyDescent="0.25">
      <c r="A1452" s="109"/>
      <c r="B1452" s="116"/>
      <c r="C1452" s="518" t="str">
        <f>IF(A1452&amp;B1452="","",VLOOKUP(A1452&amp;B1452,INSUMOS!C:G,2,0))</f>
        <v/>
      </c>
      <c r="D1452" s="519"/>
      <c r="E1452" s="117" t="str">
        <f>IF(A1452&amp;B1452="","",VLOOKUP(A1452&amp;B1452,INSUMOS!C:G,3,0))</f>
        <v/>
      </c>
      <c r="F1452" s="118"/>
      <c r="G1452" s="113" t="str">
        <f>IF(A1452&amp;B1452="","",VLOOKUP(A1452&amp;B1452,INSUMOS!C:G,4,0))</f>
        <v/>
      </c>
      <c r="H1452" s="119" t="str">
        <f t="shared" si="228"/>
        <v/>
      </c>
      <c r="I1452" s="119" t="str">
        <f t="shared" si="229"/>
        <v/>
      </c>
      <c r="J1452" s="115" t="str">
        <f t="shared" si="230"/>
        <v/>
      </c>
      <c r="K1452" s="102" t="str">
        <f>IF(A1452&amp;B1452="","",VLOOKUP(A1452&amp;B1452,INSUMOS!C:G,5,0))</f>
        <v/>
      </c>
    </row>
    <row r="1453" spans="1:17" ht="15" x14ac:dyDescent="0.25">
      <c r="A1453" s="109"/>
      <c r="B1453" s="116"/>
      <c r="C1453" s="518" t="str">
        <f>IF(A1453&amp;B1453="","",VLOOKUP(A1453&amp;B1453,INSUMOS!C:G,2,0))</f>
        <v/>
      </c>
      <c r="D1453" s="519"/>
      <c r="E1453" s="117" t="str">
        <f>IF(A1453&amp;B1453="","",VLOOKUP(A1453&amp;B1453,INSUMOS!C:G,3,0))</f>
        <v/>
      </c>
      <c r="F1453" s="118"/>
      <c r="G1453" s="113" t="str">
        <f>IF(A1453&amp;B1453="","",VLOOKUP(A1453&amp;B1453,INSUMOS!C:G,4,0))</f>
        <v/>
      </c>
      <c r="H1453" s="119" t="str">
        <f t="shared" si="228"/>
        <v/>
      </c>
      <c r="I1453" s="119" t="str">
        <f t="shared" si="229"/>
        <v/>
      </c>
      <c r="J1453" s="115" t="str">
        <f t="shared" si="230"/>
        <v/>
      </c>
      <c r="K1453" s="102" t="str">
        <f>IF(A1453&amp;B1453="","",VLOOKUP(A1453&amp;B1453,INSUMOS!C:G,5,0))</f>
        <v/>
      </c>
    </row>
    <row r="1454" spans="1:17" ht="15" x14ac:dyDescent="0.25">
      <c r="A1454" s="109"/>
      <c r="B1454" s="116"/>
      <c r="C1454" s="518" t="str">
        <f>IF(A1454&amp;B1454="","",VLOOKUP(A1454&amp;B1454,INSUMOS!C:G,2,0))</f>
        <v/>
      </c>
      <c r="D1454" s="519"/>
      <c r="E1454" s="117" t="str">
        <f>IF(A1454&amp;B1454="","",VLOOKUP(A1454&amp;B1454,INSUMOS!C:G,3,0))</f>
        <v/>
      </c>
      <c r="F1454" s="118"/>
      <c r="G1454" s="113" t="str">
        <f>IF(A1454&amp;B1454="","",VLOOKUP(A1454&amp;B1454,INSUMOS!C:G,4,0))</f>
        <v/>
      </c>
      <c r="H1454" s="119" t="str">
        <f t="shared" si="228"/>
        <v/>
      </c>
      <c r="I1454" s="119" t="str">
        <f t="shared" si="229"/>
        <v/>
      </c>
      <c r="J1454" s="115" t="str">
        <f t="shared" si="230"/>
        <v/>
      </c>
      <c r="K1454" s="102" t="str">
        <f>IF(A1454&amp;B1454="","",VLOOKUP(A1454&amp;B1454,INSUMOS!C:G,5,0))</f>
        <v/>
      </c>
    </row>
    <row r="1455" spans="1:17" ht="15" x14ac:dyDescent="0.25">
      <c r="A1455" s="109"/>
      <c r="B1455" s="116"/>
      <c r="C1455" s="518" t="str">
        <f>IF(A1455&amp;B1455="","",VLOOKUP(A1455&amp;B1455,INSUMOS!C:G,2,0))</f>
        <v/>
      </c>
      <c r="D1455" s="519"/>
      <c r="E1455" s="117" t="str">
        <f>IF(A1455&amp;B1455="","",VLOOKUP(A1455&amp;B1455,INSUMOS!C:G,3,0))</f>
        <v/>
      </c>
      <c r="F1455" s="118"/>
      <c r="G1455" s="113" t="str">
        <f>IF(A1455&amp;B1455="","",VLOOKUP(A1455&amp;B1455,INSUMOS!C:G,4,0))</f>
        <v/>
      </c>
      <c r="H1455" s="119" t="str">
        <f t="shared" si="228"/>
        <v/>
      </c>
      <c r="I1455" s="119" t="str">
        <f t="shared" si="229"/>
        <v/>
      </c>
      <c r="J1455" s="115" t="str">
        <f t="shared" si="230"/>
        <v/>
      </c>
      <c r="K1455" s="102" t="str">
        <f>IF(A1455&amp;B1455="","",VLOOKUP(A1455&amp;B1455,INSUMOS!C:G,5,0))</f>
        <v/>
      </c>
    </row>
    <row r="1456" spans="1:17" ht="15" x14ac:dyDescent="0.25">
      <c r="A1456" s="109"/>
      <c r="B1456" s="116"/>
      <c r="C1456" s="518" t="str">
        <f>IF(A1456&amp;B1456="","",VLOOKUP(A1456&amp;B1456,INSUMOS!C:G,2,0))</f>
        <v/>
      </c>
      <c r="D1456" s="519"/>
      <c r="E1456" s="117" t="str">
        <f>IF(A1456&amp;B1456="","",VLOOKUP(A1456&amp;B1456,INSUMOS!C:G,3,0))</f>
        <v/>
      </c>
      <c r="F1456" s="118"/>
      <c r="G1456" s="113" t="str">
        <f>IF(A1456&amp;B1456="","",VLOOKUP(A1456&amp;B1456,INSUMOS!C:G,4,0))</f>
        <v/>
      </c>
      <c r="H1456" s="119" t="str">
        <f t="shared" si="228"/>
        <v/>
      </c>
      <c r="I1456" s="119" t="str">
        <f t="shared" si="229"/>
        <v/>
      </c>
      <c r="J1456" s="115" t="str">
        <f t="shared" si="230"/>
        <v/>
      </c>
      <c r="K1456" s="102" t="str">
        <f>IF(A1456&amp;B1456="","",VLOOKUP(A1456&amp;B1456,INSUMOS!C:G,5,0))</f>
        <v/>
      </c>
    </row>
    <row r="1457" spans="1:17" ht="15" x14ac:dyDescent="0.25">
      <c r="A1457" s="109"/>
      <c r="B1457" s="116"/>
      <c r="C1457" s="518" t="str">
        <f>IF(A1457&amp;B1457="","",VLOOKUP(A1457&amp;B1457,INSUMOS!C:G,2,0))</f>
        <v/>
      </c>
      <c r="D1457" s="519"/>
      <c r="E1457" s="117" t="str">
        <f>IF(A1457&amp;B1457="","",VLOOKUP(A1457&amp;B1457,INSUMOS!C:G,3,0))</f>
        <v/>
      </c>
      <c r="F1457" s="118"/>
      <c r="G1457" s="113" t="str">
        <f>IF(A1457&amp;B1457="","",VLOOKUP(A1457&amp;B1457,INSUMOS!C:G,4,0))</f>
        <v/>
      </c>
      <c r="H1457" s="119" t="str">
        <f t="shared" si="228"/>
        <v/>
      </c>
      <c r="I1457" s="119" t="str">
        <f t="shared" si="229"/>
        <v/>
      </c>
      <c r="J1457" s="115" t="str">
        <f t="shared" si="230"/>
        <v/>
      </c>
      <c r="K1457" s="102" t="str">
        <f>IF(A1457&amp;B1457="","",VLOOKUP(A1457&amp;B1457,INSUMOS!C:G,5,0))</f>
        <v/>
      </c>
    </row>
    <row r="1458" spans="1:17" ht="15" x14ac:dyDescent="0.25">
      <c r="A1458" s="109"/>
      <c r="B1458" s="116"/>
      <c r="C1458" s="518" t="str">
        <f>IF(A1458&amp;B1458="","",VLOOKUP(A1458&amp;B1458,INSUMOS!C:G,2,0))</f>
        <v/>
      </c>
      <c r="D1458" s="519"/>
      <c r="E1458" s="117" t="str">
        <f>IF(A1458&amp;B1458="","",VLOOKUP(A1458&amp;B1458,INSUMOS!C:G,3,0))</f>
        <v/>
      </c>
      <c r="F1458" s="118"/>
      <c r="G1458" s="113" t="str">
        <f>IF(A1458&amp;B1458="","",VLOOKUP(A1458&amp;B1458,INSUMOS!C:G,4,0))</f>
        <v/>
      </c>
      <c r="H1458" s="119" t="str">
        <f t="shared" si="228"/>
        <v/>
      </c>
      <c r="I1458" s="119" t="str">
        <f t="shared" si="229"/>
        <v/>
      </c>
      <c r="J1458" s="115" t="str">
        <f t="shared" si="230"/>
        <v/>
      </c>
      <c r="K1458" s="102" t="str">
        <f>IF(A1458&amp;B1458="","",VLOOKUP(A1458&amp;B1458,INSUMOS!C:G,5,0))</f>
        <v/>
      </c>
    </row>
    <row r="1459" spans="1:17" ht="15" x14ac:dyDescent="0.25">
      <c r="A1459" s="120"/>
      <c r="B1459" s="121"/>
      <c r="C1459" s="518" t="str">
        <f>IF(A1459&amp;B1459="","",VLOOKUP(A1459&amp;B1459,INSUMOS!C:G,2,0))</f>
        <v/>
      </c>
      <c r="D1459" s="519"/>
      <c r="E1459" s="117" t="str">
        <f>IF(A1459&amp;B1459="","",VLOOKUP(A1459&amp;B1459,INSUMOS!C:G,3,0))</f>
        <v/>
      </c>
      <c r="F1459" s="118"/>
      <c r="G1459" s="122" t="str">
        <f>IF(A1459&amp;B1459="","",VLOOKUP(A1459&amp;B1459,INSUMOS!C:G,4,0))</f>
        <v/>
      </c>
      <c r="H1459" s="119" t="str">
        <f t="shared" si="228"/>
        <v/>
      </c>
      <c r="I1459" s="119" t="str">
        <f t="shared" si="229"/>
        <v/>
      </c>
      <c r="J1459" s="115" t="str">
        <f t="shared" si="230"/>
        <v/>
      </c>
      <c r="K1459" s="102" t="str">
        <f>IF(A1459&amp;B1459="","",VLOOKUP(A1459&amp;B1459,INSUMOS!C:G,5,0))</f>
        <v/>
      </c>
    </row>
    <row r="1460" spans="1:17" ht="15" x14ac:dyDescent="0.25">
      <c r="A1460" s="120"/>
      <c r="B1460" s="121"/>
      <c r="C1460" s="518" t="str">
        <f>IF(A1460&amp;B1460="","",VLOOKUP(A1460&amp;B1460,INSUMOS!C:G,2,0))</f>
        <v/>
      </c>
      <c r="D1460" s="519"/>
      <c r="E1460" s="117" t="str">
        <f>IF(A1460&amp;B1460="","",VLOOKUP(A1460&amp;B1460,INSUMOS!C:G,3,0))</f>
        <v/>
      </c>
      <c r="F1460" s="118"/>
      <c r="G1460" s="122" t="str">
        <f>IF(A1460&amp;B1460="","",VLOOKUP(A1460&amp;B1460,INSUMOS!C:G,4,0))</f>
        <v/>
      </c>
      <c r="H1460" s="119" t="str">
        <f t="shared" si="228"/>
        <v/>
      </c>
      <c r="I1460" s="119" t="str">
        <f t="shared" si="229"/>
        <v/>
      </c>
      <c r="J1460" s="115" t="str">
        <f t="shared" si="230"/>
        <v/>
      </c>
      <c r="K1460" s="102" t="str">
        <f>IF(A1460&amp;B1460="","",VLOOKUP(A1460&amp;B1460,INSUMOS!C:G,5,0))</f>
        <v/>
      </c>
    </row>
    <row r="1461" spans="1:17" ht="15" x14ac:dyDescent="0.25">
      <c r="A1461" s="120"/>
      <c r="B1461" s="121"/>
      <c r="C1461" s="518" t="str">
        <f>IF(A1461&amp;B1461="","",VLOOKUP(A1461&amp;B1461,INSUMOS!C:G,2,0))</f>
        <v/>
      </c>
      <c r="D1461" s="519"/>
      <c r="E1461" s="117" t="str">
        <f>IF(A1461&amp;B1461="","",VLOOKUP(A1461&amp;B1461,INSUMOS!C:G,3,0))</f>
        <v/>
      </c>
      <c r="F1461" s="118"/>
      <c r="G1461" s="122" t="str">
        <f>IF(A1461&amp;B1461="","",VLOOKUP(A1461&amp;B1461,INSUMOS!C:G,4,0))</f>
        <v/>
      </c>
      <c r="H1461" s="119" t="str">
        <f t="shared" si="228"/>
        <v/>
      </c>
      <c r="I1461" s="119" t="str">
        <f t="shared" si="229"/>
        <v/>
      </c>
      <c r="J1461" s="115" t="str">
        <f t="shared" si="230"/>
        <v/>
      </c>
      <c r="K1461" s="102" t="str">
        <f>IF(A1461&amp;B1461="","",VLOOKUP(A1461&amp;B1461,INSUMOS!C:G,5,0))</f>
        <v/>
      </c>
    </row>
    <row r="1462" spans="1:17" ht="15" x14ac:dyDescent="0.25">
      <c r="A1462" s="123" t="s">
        <v>4399</v>
      </c>
      <c r="B1462" s="520"/>
      <c r="C1462" s="520"/>
      <c r="D1462" s="520"/>
      <c r="E1462" s="520"/>
      <c r="F1462" s="521"/>
      <c r="G1462" s="124" t="s">
        <v>50</v>
      </c>
      <c r="H1462" s="125">
        <f>SUM(H1449:H1461)</f>
        <v>0</v>
      </c>
      <c r="I1462" s="125">
        <f>SUM(I1449:I1461)</f>
        <v>19435.05</v>
      </c>
      <c r="J1462" s="126">
        <f>SUM(J1449:J1461)</f>
        <v>0</v>
      </c>
    </row>
    <row r="1463" spans="1:17" ht="15" x14ac:dyDescent="0.25">
      <c r="A1463" s="127" t="s">
        <v>4400</v>
      </c>
      <c r="B1463" s="128"/>
      <c r="C1463" s="128"/>
      <c r="D1463" s="127" t="s">
        <v>51</v>
      </c>
      <c r="E1463" s="128"/>
      <c r="F1463" s="129"/>
      <c r="G1463" s="130" t="s">
        <v>55</v>
      </c>
      <c r="H1463" s="131" t="s">
        <v>52</v>
      </c>
      <c r="I1463" s="132"/>
      <c r="J1463" s="125">
        <f>SUM(H1462:J1462)</f>
        <v>19435.05</v>
      </c>
    </row>
    <row r="1464" spans="1:17" ht="15" x14ac:dyDescent="0.25">
      <c r="A1464" s="313" t="str">
        <f>$I$3</f>
        <v>Carlos Wieck</v>
      </c>
      <c r="B1464" s="133"/>
      <c r="C1464" s="133"/>
      <c r="D1464" s="134"/>
      <c r="E1464" s="133"/>
      <c r="F1464" s="135"/>
      <c r="G1464" s="522">
        <f>$J$5</f>
        <v>43040</v>
      </c>
      <c r="H1464" s="136" t="s">
        <v>53</v>
      </c>
      <c r="I1464" s="137"/>
      <c r="J1464" s="125">
        <f>TRUNC(I1464*J1463,2)</f>
        <v>0</v>
      </c>
    </row>
    <row r="1465" spans="1:17" ht="15" x14ac:dyDescent="0.25">
      <c r="A1465" s="138"/>
      <c r="B1465" s="139"/>
      <c r="C1465" s="139"/>
      <c r="D1465" s="138"/>
      <c r="E1465" s="139"/>
      <c r="F1465" s="140"/>
      <c r="G1465" s="523"/>
      <c r="H1465" s="141" t="s">
        <v>54</v>
      </c>
      <c r="I1465" s="142"/>
      <c r="J1465" s="143">
        <f>J1464+J1463</f>
        <v>19435.05</v>
      </c>
      <c r="L1465" s="102" t="str">
        <f>A1446</f>
        <v>COMPOSIÇÃO</v>
      </c>
      <c r="M1465" s="144" t="str">
        <f>B1446</f>
        <v>FF-057</v>
      </c>
      <c r="N1465" s="102" t="str">
        <f>L1465&amp;M1465</f>
        <v>COMPOSIÇÃOFF-057</v>
      </c>
      <c r="O1465" s="103" t="str">
        <f>D1445</f>
        <v>Fornecimento e instalação de Plataforma Elevatória (elevador acessível) de 2 paradas, desnível de 2,80m entre pisos, com cabine dim. 0,90X1,40m com portas de acesso do mesmo lado e última altura menor que 2,60m, ref. PL 240 da MONTELE ou equivalente técnico.</v>
      </c>
      <c r="P1465" s="145" t="str">
        <f>J1446</f>
        <v>un</v>
      </c>
      <c r="Q1465" s="145">
        <f>J1465</f>
        <v>19435.05</v>
      </c>
    </row>
    <row r="1466" spans="1:17" ht="15" customHeight="1" x14ac:dyDescent="0.25">
      <c r="A1466" s="524" t="s">
        <v>40</v>
      </c>
      <c r="B1466" s="525"/>
      <c r="C1466" s="104" t="s">
        <v>41</v>
      </c>
      <c r="D1466" s="526" t="str">
        <f>IF(B1467="","",VLOOKUP(B1467,SERVIÇOS!B:E,3,0))</f>
        <v>Prateleira em painel com miolo de madeira contraplacado por lâminas de madeira e externamente por chapas em CRFS, para piso, ref. Eternit ou equivalente. Com pintura epóxi cor branca</v>
      </c>
      <c r="E1466" s="526"/>
      <c r="F1466" s="526"/>
      <c r="G1466" s="526"/>
      <c r="H1466" s="526"/>
      <c r="I1466" s="527"/>
      <c r="J1466" s="105" t="s">
        <v>42</v>
      </c>
    </row>
    <row r="1467" spans="1:17" ht="15" x14ac:dyDescent="0.25">
      <c r="A1467" s="230" t="s">
        <v>4715</v>
      </c>
      <c r="B1467" s="230" t="s">
        <v>5062</v>
      </c>
      <c r="C1467" s="106"/>
      <c r="D1467" s="528"/>
      <c r="E1467" s="528"/>
      <c r="F1467" s="528"/>
      <c r="G1467" s="528"/>
      <c r="H1467" s="528"/>
      <c r="I1467" s="529"/>
      <c r="J1467" s="107" t="str">
        <f>IF(B1467="","",VLOOKUP(B1467,SERVIÇOS!B:E,4,0))</f>
        <v>m²</v>
      </c>
    </row>
    <row r="1468" spans="1:17" ht="15" x14ac:dyDescent="0.25">
      <c r="A1468" s="530" t="s">
        <v>4397</v>
      </c>
      <c r="B1468" s="531" t="s">
        <v>11</v>
      </c>
      <c r="C1468" s="533" t="s">
        <v>43</v>
      </c>
      <c r="D1468" s="534"/>
      <c r="E1468" s="530" t="s">
        <v>13</v>
      </c>
      <c r="F1468" s="530" t="s">
        <v>44</v>
      </c>
      <c r="G1468" s="538" t="s">
        <v>45</v>
      </c>
      <c r="H1468" s="108" t="s">
        <v>46</v>
      </c>
      <c r="I1468" s="108"/>
      <c r="J1468" s="108"/>
    </row>
    <row r="1469" spans="1:17" ht="15" x14ac:dyDescent="0.25">
      <c r="A1469" s="530"/>
      <c r="B1469" s="532"/>
      <c r="C1469" s="535"/>
      <c r="D1469" s="536"/>
      <c r="E1469" s="537"/>
      <c r="F1469" s="537"/>
      <c r="G1469" s="539"/>
      <c r="H1469" s="108" t="s">
        <v>47</v>
      </c>
      <c r="I1469" s="108" t="s">
        <v>48</v>
      </c>
      <c r="J1469" s="108" t="s">
        <v>49</v>
      </c>
    </row>
    <row r="1470" spans="1:17" ht="15" x14ac:dyDescent="0.25">
      <c r="A1470" s="109" t="s">
        <v>4398</v>
      </c>
      <c r="B1470" s="116">
        <v>10146</v>
      </c>
      <c r="C1470" s="540" t="str">
        <f>IF(A1470&amp;B1470="","",VLOOKUP(A1470&amp;B1470,INSUMOS!C:G,2,0))</f>
        <v>Servente</v>
      </c>
      <c r="D1470" s="541"/>
      <c r="E1470" s="111" t="str">
        <f>IF(A1470&amp;B1470="","",VLOOKUP(A1470&amp;B1470,INSUMOS!C:G,3,0))</f>
        <v>h</v>
      </c>
      <c r="F1470" s="112">
        <v>0.5</v>
      </c>
      <c r="G1470" s="113">
        <f>IF(A1470&amp;B1470="","",VLOOKUP(A1470&amp;B1470,INSUMOS!C:G,4,0))</f>
        <v>11.335614</v>
      </c>
      <c r="H1470" s="114">
        <f>IF(K1470="MO",TRUNC(F1470*G1470,2),"")</f>
        <v>5.66</v>
      </c>
      <c r="I1470" s="114" t="str">
        <f>IF(K1470="MT",TRUNC(F1470*G1470,2),"")</f>
        <v/>
      </c>
      <c r="J1470" s="115" t="str">
        <f>IF(K1470="EQ",TRUNC(F1470*G1470,2),"")</f>
        <v/>
      </c>
      <c r="K1470" s="102" t="str">
        <f>IF(A1470&amp;B1470="","",VLOOKUP(A1470&amp;B1470,INSUMOS!C:G,5,0))</f>
        <v>MO</v>
      </c>
    </row>
    <row r="1471" spans="1:17" ht="15" x14ac:dyDescent="0.25">
      <c r="A1471" s="109" t="s">
        <v>4398</v>
      </c>
      <c r="B1471" s="116">
        <v>10111</v>
      </c>
      <c r="C1471" s="518" t="str">
        <f>IF(A1471&amp;B1471="","",VLOOKUP(A1471&amp;B1471,INSUMOS!C:G,2,0))</f>
        <v>Carpinteiro</v>
      </c>
      <c r="D1471" s="519"/>
      <c r="E1471" s="117" t="str">
        <f>IF(A1471&amp;B1471="","",VLOOKUP(A1471&amp;B1471,INSUMOS!C:G,3,0))</f>
        <v>h</v>
      </c>
      <c r="F1471" s="118">
        <v>0.5</v>
      </c>
      <c r="G1471" s="113">
        <f>IF(A1471&amp;B1471="","",VLOOKUP(A1471&amp;B1471,INSUMOS!C:G,4,0))</f>
        <v>13.380699</v>
      </c>
      <c r="H1471" s="119">
        <f t="shared" ref="H1471" si="231">IF(K1471="MO",TRUNC(F1471*G1471,2),"")</f>
        <v>6.69</v>
      </c>
      <c r="I1471" s="119" t="str">
        <f t="shared" ref="I1471" si="232">IF(K1471="MT",TRUNC(F1471*G1471,2),"")</f>
        <v/>
      </c>
      <c r="J1471" s="115" t="str">
        <f t="shared" ref="J1471" si="233">IF(K1471="EQ",TRUNC(F1471*G1471,2),"")</f>
        <v/>
      </c>
      <c r="K1471" s="102" t="str">
        <f>IF(A1471&amp;B1471="","",VLOOKUP(A1471&amp;B1471,INSUMOS!C:G,5,0))</f>
        <v>MO</v>
      </c>
    </row>
    <row r="1472" spans="1:17" ht="15" x14ac:dyDescent="0.25">
      <c r="A1472" s="109" t="s">
        <v>4398</v>
      </c>
      <c r="B1472" s="116">
        <v>10140</v>
      </c>
      <c r="C1472" s="518" t="str">
        <f>IF(A1472&amp;B1472="","",VLOOKUP(A1472&amp;B1472,INSUMOS!C:G,2,0))</f>
        <v>Pintor</v>
      </c>
      <c r="D1472" s="519"/>
      <c r="E1472" s="117" t="str">
        <f>IF(A1472&amp;B1472="","",VLOOKUP(A1472&amp;B1472,INSUMOS!C:G,3,0))</f>
        <v>h</v>
      </c>
      <c r="F1472" s="118">
        <v>0.9</v>
      </c>
      <c r="G1472" s="113">
        <f>IF(A1472&amp;B1472="","",VLOOKUP(A1472&amp;B1472,INSUMOS!C:G,4,0))</f>
        <v>14.198733000000001</v>
      </c>
      <c r="H1472" s="119">
        <f>IF(K1472="MO",TRUNC(F1472*G1472,2),"")</f>
        <v>12.77</v>
      </c>
      <c r="I1472" s="119" t="str">
        <f>IF(K1472="MT",TRUNC(F1472*G1472,2),"")</f>
        <v/>
      </c>
      <c r="J1472" s="115" t="str">
        <f>IF(K1472="EQ",TRUNC(F1472*G1472,2),"")</f>
        <v/>
      </c>
      <c r="K1472" s="102" t="str">
        <f>IF(A1472&amp;B1472="","",VLOOKUP(A1472&amp;B1472,INSUMOS!C:G,5,0))</f>
        <v>MO</v>
      </c>
    </row>
    <row r="1473" spans="1:17" ht="15" x14ac:dyDescent="0.25">
      <c r="A1473" s="109" t="s">
        <v>4398</v>
      </c>
      <c r="B1473" s="116">
        <v>10141</v>
      </c>
      <c r="C1473" s="518" t="str">
        <f>IF(A1473&amp;B1473="","",VLOOKUP(A1473&amp;B1473,INSUMOS!C:G,2,0))</f>
        <v xml:space="preserve">Ajudante de pintor </v>
      </c>
      <c r="D1473" s="519"/>
      <c r="E1473" s="117" t="str">
        <f>IF(A1473&amp;B1473="","",VLOOKUP(A1473&amp;B1473,INSUMOS!C:G,3,0))</f>
        <v>h</v>
      </c>
      <c r="F1473" s="118">
        <v>0.9</v>
      </c>
      <c r="G1473" s="113">
        <f>IF(A1473&amp;B1473="","",VLOOKUP(A1473&amp;B1473,INSUMOS!C:G,4,0))</f>
        <v>10.985028</v>
      </c>
      <c r="H1473" s="119">
        <f>IF(K1473="MO",TRUNC(F1473*G1473,2),"")</f>
        <v>9.8800000000000008</v>
      </c>
      <c r="I1473" s="119" t="str">
        <f>IF(K1473="MT",TRUNC(F1473*G1473,2),"")</f>
        <v/>
      </c>
      <c r="J1473" s="115" t="str">
        <f>IF(K1473="EQ",TRUNC(F1473*G1473,2),"")</f>
        <v/>
      </c>
      <c r="K1473" s="102" t="str">
        <f>IF(A1473&amp;B1473="","",VLOOKUP(A1473&amp;B1473,INSUMOS!C:G,5,0))</f>
        <v>MO</v>
      </c>
    </row>
    <row r="1474" spans="1:17" ht="30" customHeight="1" x14ac:dyDescent="0.25">
      <c r="A1474" s="109" t="s">
        <v>4398</v>
      </c>
      <c r="B1474" s="116">
        <v>25057</v>
      </c>
      <c r="C1474" s="518" t="str">
        <f>IF(A1474&amp;B1474="","",VLOOKUP(A1474&amp;B1474,INSUMOS!C:G,2,0))</f>
        <v>Painel Wall com miolo de madeira contraplacado por lâminas de madeira e externamente por chapas em CRFS, para piso, ref. Eternit ou equivalente</v>
      </c>
      <c r="D1474" s="519"/>
      <c r="E1474" s="117" t="str">
        <f>IF(A1474&amp;B1474="","",VLOOKUP(A1474&amp;B1474,INSUMOS!C:G,3,0))</f>
        <v>m²</v>
      </c>
      <c r="F1474" s="118">
        <v>1</v>
      </c>
      <c r="G1474" s="113">
        <f>IF(A1474&amp;B1474="","",VLOOKUP(A1474&amp;B1474,INSUMOS!C:G,4,0))</f>
        <v>82.88</v>
      </c>
      <c r="H1474" s="119" t="str">
        <f t="shared" ref="H1474:H1481" si="234">IF(K1474="MO",TRUNC(F1474*G1474,2),"")</f>
        <v/>
      </c>
      <c r="I1474" s="119">
        <f t="shared" ref="I1474:I1481" si="235">IF(K1474="MT",TRUNC(F1474*G1474,2),"")</f>
        <v>82.88</v>
      </c>
      <c r="J1474" s="115" t="str">
        <f t="shared" ref="J1474:J1481" si="236">IF(K1474="EQ",TRUNC(F1474*G1474,2),"")</f>
        <v/>
      </c>
      <c r="K1474" s="102" t="str">
        <f>IF(A1474&amp;B1474="","",VLOOKUP(A1474&amp;B1474,INSUMOS!C:G,5,0))</f>
        <v>MT</v>
      </c>
    </row>
    <row r="1475" spans="1:17" ht="15" x14ac:dyDescent="0.25">
      <c r="A1475" s="109" t="s">
        <v>4398</v>
      </c>
      <c r="B1475" s="116">
        <v>28057</v>
      </c>
      <c r="C1475" s="518" t="str">
        <f>IF(A1475&amp;B1475="","",VLOOKUP(A1475&amp;B1475,INSUMOS!C:G,2,0))</f>
        <v>Selador para tinta epóxi</v>
      </c>
      <c r="D1475" s="519"/>
      <c r="E1475" s="117" t="str">
        <f>IF(A1475&amp;B1475="","",VLOOKUP(A1475&amp;B1475,INSUMOS!C:G,3,0))</f>
        <v>l</v>
      </c>
      <c r="F1475" s="118">
        <v>0.24</v>
      </c>
      <c r="G1475" s="113">
        <f>IF(A1475&amp;B1475="","",VLOOKUP(A1475&amp;B1475,INSUMOS!C:G,4,0))</f>
        <v>35.58</v>
      </c>
      <c r="H1475" s="119" t="str">
        <f t="shared" si="234"/>
        <v/>
      </c>
      <c r="I1475" s="119">
        <f t="shared" si="235"/>
        <v>8.5299999999999994</v>
      </c>
      <c r="J1475" s="115" t="str">
        <f t="shared" si="236"/>
        <v/>
      </c>
      <c r="K1475" s="102" t="str">
        <f>IF(A1475&amp;B1475="","",VLOOKUP(A1475&amp;B1475,INSUMOS!C:G,5,0))</f>
        <v>MT</v>
      </c>
    </row>
    <row r="1476" spans="1:17" ht="15" x14ac:dyDescent="0.25">
      <c r="A1476" s="109" t="s">
        <v>4398</v>
      </c>
      <c r="B1476" s="116">
        <v>37545</v>
      </c>
      <c r="C1476" s="518" t="str">
        <f>IF(A1476&amp;B1476="","",VLOOKUP(A1476&amp;B1476,INSUMOS!C:G,2,0))</f>
        <v>Tinta-base epoxi</v>
      </c>
      <c r="D1476" s="519"/>
      <c r="E1476" s="117" t="str">
        <f>IF(A1476&amp;B1476="","",VLOOKUP(A1476&amp;B1476,INSUMOS!C:G,3,0))</f>
        <v>l</v>
      </c>
      <c r="F1476" s="118">
        <v>0.5</v>
      </c>
      <c r="G1476" s="113">
        <f>IF(A1476&amp;B1476="","",VLOOKUP(A1476&amp;B1476,INSUMOS!C:G,4,0))</f>
        <v>44.74</v>
      </c>
      <c r="H1476" s="119" t="str">
        <f t="shared" si="234"/>
        <v/>
      </c>
      <c r="I1476" s="119">
        <f t="shared" si="235"/>
        <v>22.37</v>
      </c>
      <c r="J1476" s="115" t="str">
        <f t="shared" si="236"/>
        <v/>
      </c>
      <c r="K1476" s="102" t="str">
        <f>IF(A1476&amp;B1476="","",VLOOKUP(A1476&amp;B1476,INSUMOS!C:G,5,0))</f>
        <v>MT</v>
      </c>
    </row>
    <row r="1477" spans="1:17" ht="15" x14ac:dyDescent="0.25">
      <c r="A1477" s="109" t="s">
        <v>4398</v>
      </c>
      <c r="B1477" s="116">
        <v>38014</v>
      </c>
      <c r="C1477" s="518" t="str">
        <f>IF(A1477&amp;B1477="","",VLOOKUP(A1477&amp;B1477,INSUMOS!C:G,2,0))</f>
        <v>Lixa massa/madeira uso geral Norton, Alcar ou equivalente (médias)</v>
      </c>
      <c r="D1477" s="519"/>
      <c r="E1477" s="117" t="str">
        <f>IF(A1477&amp;B1477="","",VLOOKUP(A1477&amp;B1477,INSUMOS!C:G,3,0))</f>
        <v>un</v>
      </c>
      <c r="F1477" s="118">
        <v>0.3</v>
      </c>
      <c r="G1477" s="113">
        <f>IF(A1477&amp;B1477="","",VLOOKUP(A1477&amp;B1477,INSUMOS!C:G,4,0))</f>
        <v>0.5</v>
      </c>
      <c r="H1477" s="119" t="str">
        <f t="shared" si="234"/>
        <v/>
      </c>
      <c r="I1477" s="119">
        <f t="shared" si="235"/>
        <v>0.15</v>
      </c>
      <c r="J1477" s="115" t="str">
        <f t="shared" si="236"/>
        <v/>
      </c>
      <c r="K1477" s="102" t="str">
        <f>IF(A1477&amp;B1477="","",VLOOKUP(A1477&amp;B1477,INSUMOS!C:G,5,0))</f>
        <v>MT</v>
      </c>
    </row>
    <row r="1478" spans="1:17" ht="15" x14ac:dyDescent="0.25">
      <c r="A1478" s="109" t="s">
        <v>4701</v>
      </c>
      <c r="B1478" s="116">
        <v>31065</v>
      </c>
      <c r="C1478" s="518" t="str">
        <f>IF(A1478&amp;B1478="","",VLOOKUP(A1478&amp;B1478,INSUMOS!C:G,2,0))</f>
        <v>Suporte  metálico (perfil laminado trabalhado)</v>
      </c>
      <c r="D1478" s="519"/>
      <c r="E1478" s="117" t="str">
        <f>IF(A1478&amp;B1478="","",VLOOKUP(A1478&amp;B1478,INSUMOS!C:G,3,0))</f>
        <v>kg</v>
      </c>
      <c r="F1478" s="118">
        <v>4.66</v>
      </c>
      <c r="G1478" s="113">
        <f>IF(A1478&amp;B1478="","",VLOOKUP(A1478&amp;B1478,INSUMOS!C:G,4,0))</f>
        <v>17.28</v>
      </c>
      <c r="H1478" s="119" t="str">
        <f t="shared" si="234"/>
        <v/>
      </c>
      <c r="I1478" s="119">
        <f t="shared" si="235"/>
        <v>80.52</v>
      </c>
      <c r="J1478" s="115" t="str">
        <f t="shared" si="236"/>
        <v/>
      </c>
      <c r="K1478" s="102" t="str">
        <f>IF(A1478&amp;B1478="","",VLOOKUP(A1478&amp;B1478,INSUMOS!C:G,5,0))</f>
        <v>MT</v>
      </c>
    </row>
    <row r="1479" spans="1:17" ht="15" x14ac:dyDescent="0.25">
      <c r="A1479" s="120"/>
      <c r="B1479" s="121"/>
      <c r="C1479" s="518" t="str">
        <f>IF(A1479&amp;B1479="","",VLOOKUP(A1479&amp;B1479,INSUMOS!C:G,2,0))</f>
        <v/>
      </c>
      <c r="D1479" s="519"/>
      <c r="E1479" s="117" t="str">
        <f>IF(A1479&amp;B1479="","",VLOOKUP(A1479&amp;B1479,INSUMOS!C:G,3,0))</f>
        <v/>
      </c>
      <c r="F1479" s="118"/>
      <c r="G1479" s="122" t="str">
        <f>IF(A1479&amp;B1479="","",VLOOKUP(A1479&amp;B1479,INSUMOS!C:G,4,0))</f>
        <v/>
      </c>
      <c r="H1479" s="119" t="str">
        <f t="shared" si="234"/>
        <v/>
      </c>
      <c r="I1479" s="119" t="str">
        <f t="shared" si="235"/>
        <v/>
      </c>
      <c r="J1479" s="115" t="str">
        <f t="shared" si="236"/>
        <v/>
      </c>
      <c r="K1479" s="102" t="str">
        <f>IF(A1479&amp;B1479="","",VLOOKUP(A1479&amp;B1479,INSUMOS!C:G,5,0))</f>
        <v/>
      </c>
    </row>
    <row r="1480" spans="1:17" ht="15" x14ac:dyDescent="0.25">
      <c r="A1480" s="120"/>
      <c r="B1480" s="121"/>
      <c r="C1480" s="518" t="str">
        <f>IF(A1480&amp;B1480="","",VLOOKUP(A1480&amp;B1480,INSUMOS!C:G,2,0))</f>
        <v/>
      </c>
      <c r="D1480" s="519"/>
      <c r="E1480" s="117" t="str">
        <f>IF(A1480&amp;B1480="","",VLOOKUP(A1480&amp;B1480,INSUMOS!C:G,3,0))</f>
        <v/>
      </c>
      <c r="F1480" s="118"/>
      <c r="G1480" s="122" t="str">
        <f>IF(A1480&amp;B1480="","",VLOOKUP(A1480&amp;B1480,INSUMOS!C:G,4,0))</f>
        <v/>
      </c>
      <c r="H1480" s="119" t="str">
        <f t="shared" si="234"/>
        <v/>
      </c>
      <c r="I1480" s="119" t="str">
        <f t="shared" si="235"/>
        <v/>
      </c>
      <c r="J1480" s="115" t="str">
        <f t="shared" si="236"/>
        <v/>
      </c>
      <c r="K1480" s="102" t="str">
        <f>IF(A1480&amp;B1480="","",VLOOKUP(A1480&amp;B1480,INSUMOS!C:G,5,0))</f>
        <v/>
      </c>
    </row>
    <row r="1481" spans="1:17" ht="15" x14ac:dyDescent="0.25">
      <c r="A1481" s="120"/>
      <c r="B1481" s="121"/>
      <c r="C1481" s="518" t="str">
        <f>IF(A1481&amp;B1481="","",VLOOKUP(A1481&amp;B1481,INSUMOS!C:G,2,0))</f>
        <v/>
      </c>
      <c r="D1481" s="519"/>
      <c r="E1481" s="117" t="str">
        <f>IF(A1481&amp;B1481="","",VLOOKUP(A1481&amp;B1481,INSUMOS!C:G,3,0))</f>
        <v/>
      </c>
      <c r="F1481" s="118"/>
      <c r="G1481" s="122" t="str">
        <f>IF(A1481&amp;B1481="","",VLOOKUP(A1481&amp;B1481,INSUMOS!C:G,4,0))</f>
        <v/>
      </c>
      <c r="H1481" s="119" t="str">
        <f t="shared" si="234"/>
        <v/>
      </c>
      <c r="I1481" s="119" t="str">
        <f t="shared" si="235"/>
        <v/>
      </c>
      <c r="J1481" s="115" t="str">
        <f t="shared" si="236"/>
        <v/>
      </c>
      <c r="K1481" s="102" t="str">
        <f>IF(A1481&amp;B1481="","",VLOOKUP(A1481&amp;B1481,INSUMOS!C:G,5,0))</f>
        <v/>
      </c>
    </row>
    <row r="1482" spans="1:17" ht="15" x14ac:dyDescent="0.25">
      <c r="A1482" s="123" t="s">
        <v>4399</v>
      </c>
      <c r="B1482" s="520"/>
      <c r="C1482" s="520"/>
      <c r="D1482" s="520"/>
      <c r="E1482" s="520"/>
      <c r="F1482" s="521"/>
      <c r="G1482" s="124" t="s">
        <v>50</v>
      </c>
      <c r="H1482" s="125">
        <f>SUM(H1470:H1481)</f>
        <v>35</v>
      </c>
      <c r="I1482" s="125">
        <f>SUM(I1470:I1481)</f>
        <v>194.45</v>
      </c>
      <c r="J1482" s="126">
        <f>SUM(J1470:J1481)</f>
        <v>0</v>
      </c>
    </row>
    <row r="1483" spans="1:17" ht="15" x14ac:dyDescent="0.25">
      <c r="A1483" s="127" t="s">
        <v>4400</v>
      </c>
      <c r="B1483" s="128"/>
      <c r="C1483" s="128"/>
      <c r="D1483" s="127" t="s">
        <v>51</v>
      </c>
      <c r="E1483" s="128"/>
      <c r="F1483" s="129"/>
      <c r="G1483" s="130" t="s">
        <v>55</v>
      </c>
      <c r="H1483" s="131" t="s">
        <v>52</v>
      </c>
      <c r="I1483" s="132"/>
      <c r="J1483" s="125">
        <f>SUM(H1482:J1482)</f>
        <v>229.45</v>
      </c>
    </row>
    <row r="1484" spans="1:17" ht="15" x14ac:dyDescent="0.25">
      <c r="A1484" s="313" t="str">
        <f>$I$3</f>
        <v>Carlos Wieck</v>
      </c>
      <c r="B1484" s="133"/>
      <c r="C1484" s="133"/>
      <c r="D1484" s="134"/>
      <c r="E1484" s="133"/>
      <c r="F1484" s="135"/>
      <c r="G1484" s="522">
        <f>$J$5</f>
        <v>43040</v>
      </c>
      <c r="H1484" s="136" t="s">
        <v>53</v>
      </c>
      <c r="I1484" s="137"/>
      <c r="J1484" s="125">
        <f>TRUNC(I1484*J1483,2)</f>
        <v>0</v>
      </c>
    </row>
    <row r="1485" spans="1:17" ht="15" x14ac:dyDescent="0.25">
      <c r="A1485" s="138"/>
      <c r="B1485" s="139"/>
      <c r="C1485" s="139"/>
      <c r="D1485" s="138"/>
      <c r="E1485" s="139"/>
      <c r="F1485" s="140"/>
      <c r="G1485" s="523"/>
      <c r="H1485" s="141" t="s">
        <v>54</v>
      </c>
      <c r="I1485" s="142"/>
      <c r="J1485" s="143">
        <f>J1484+J1483</f>
        <v>229.45</v>
      </c>
      <c r="L1485" s="102" t="str">
        <f>A1467</f>
        <v>COMPOSIÇÃO</v>
      </c>
      <c r="M1485" s="144" t="str">
        <f>B1467</f>
        <v>FF-058</v>
      </c>
      <c r="N1485" s="102" t="str">
        <f>L1485&amp;M1485</f>
        <v>COMPOSIÇÃOFF-058</v>
      </c>
      <c r="O1485" s="103" t="str">
        <f>D1466</f>
        <v>Prateleira em painel com miolo de madeira contraplacado por lâminas de madeira e externamente por chapas em CRFS, para piso, ref. Eternit ou equivalente. Com pintura epóxi cor branca</v>
      </c>
      <c r="P1485" s="145" t="str">
        <f>J1467</f>
        <v>m²</v>
      </c>
      <c r="Q1485" s="145">
        <f>J1485</f>
        <v>229.45</v>
      </c>
    </row>
    <row r="1486" spans="1:17" ht="15" customHeight="1" x14ac:dyDescent="0.25">
      <c r="A1486" s="524" t="s">
        <v>40</v>
      </c>
      <c r="B1486" s="525"/>
      <c r="C1486" s="104" t="s">
        <v>41</v>
      </c>
      <c r="D1486" s="526" t="str">
        <f>IF(B1487="","",VLOOKUP(B1487,SERVIÇOS!B:E,3,0))</f>
        <v>Divisória em painel com miolo de madeira contraplacado por lâminas de madeira e externamente por chapas em CRFS, para piso, ref. Eternit ou equivalente. Com pintura epóxi cor branca</v>
      </c>
      <c r="E1486" s="526"/>
      <c r="F1486" s="526"/>
      <c r="G1486" s="526"/>
      <c r="H1486" s="526"/>
      <c r="I1486" s="527"/>
      <c r="J1486" s="105" t="s">
        <v>42</v>
      </c>
    </row>
    <row r="1487" spans="1:17" ht="15" x14ac:dyDescent="0.25">
      <c r="A1487" s="230" t="s">
        <v>4715</v>
      </c>
      <c r="B1487" s="230" t="s">
        <v>5071</v>
      </c>
      <c r="C1487" s="106"/>
      <c r="D1487" s="528"/>
      <c r="E1487" s="528"/>
      <c r="F1487" s="528"/>
      <c r="G1487" s="528"/>
      <c r="H1487" s="528"/>
      <c r="I1487" s="529"/>
      <c r="J1487" s="107" t="str">
        <f>IF(B1487="","",VLOOKUP(B1487,SERVIÇOS!B:E,4,0))</f>
        <v>m²</v>
      </c>
    </row>
    <row r="1488" spans="1:17" ht="15" x14ac:dyDescent="0.25">
      <c r="A1488" s="530" t="s">
        <v>4397</v>
      </c>
      <c r="B1488" s="531" t="s">
        <v>11</v>
      </c>
      <c r="C1488" s="533" t="s">
        <v>43</v>
      </c>
      <c r="D1488" s="534"/>
      <c r="E1488" s="530" t="s">
        <v>13</v>
      </c>
      <c r="F1488" s="530" t="s">
        <v>44</v>
      </c>
      <c r="G1488" s="538" t="s">
        <v>45</v>
      </c>
      <c r="H1488" s="108" t="s">
        <v>46</v>
      </c>
      <c r="I1488" s="108"/>
      <c r="J1488" s="108"/>
    </row>
    <row r="1489" spans="1:11" ht="15" x14ac:dyDescent="0.25">
      <c r="A1489" s="530"/>
      <c r="B1489" s="532"/>
      <c r="C1489" s="535"/>
      <c r="D1489" s="536"/>
      <c r="E1489" s="537"/>
      <c r="F1489" s="537"/>
      <c r="G1489" s="539"/>
      <c r="H1489" s="108" t="s">
        <v>47</v>
      </c>
      <c r="I1489" s="108" t="s">
        <v>48</v>
      </c>
      <c r="J1489" s="108" t="s">
        <v>49</v>
      </c>
    </row>
    <row r="1490" spans="1:11" ht="15" x14ac:dyDescent="0.25">
      <c r="A1490" s="109" t="s">
        <v>4398</v>
      </c>
      <c r="B1490" s="116">
        <v>10146</v>
      </c>
      <c r="C1490" s="540" t="str">
        <f>IF(A1490&amp;B1490="","",VLOOKUP(A1490&amp;B1490,INSUMOS!C:G,2,0))</f>
        <v>Servente</v>
      </c>
      <c r="D1490" s="541"/>
      <c r="E1490" s="111" t="str">
        <f>IF(A1490&amp;B1490="","",VLOOKUP(A1490&amp;B1490,INSUMOS!C:G,3,0))</f>
        <v>h</v>
      </c>
      <c r="F1490" s="112">
        <v>0.5</v>
      </c>
      <c r="G1490" s="113">
        <f>IF(A1490&amp;B1490="","",VLOOKUP(A1490&amp;B1490,INSUMOS!C:G,4,0))</f>
        <v>11.335614</v>
      </c>
      <c r="H1490" s="114">
        <f>IF(K1490="MO",TRUNC(F1490*G1490,2),"")</f>
        <v>5.66</v>
      </c>
      <c r="I1490" s="114" t="str">
        <f>IF(K1490="MT",TRUNC(F1490*G1490,2),"")</f>
        <v/>
      </c>
      <c r="J1490" s="115" t="str">
        <f>IF(K1490="EQ",TRUNC(F1490*G1490,2),"")</f>
        <v/>
      </c>
      <c r="K1490" s="102" t="str">
        <f>IF(A1490&amp;B1490="","",VLOOKUP(A1490&amp;B1490,INSUMOS!C:G,5,0))</f>
        <v>MO</v>
      </c>
    </row>
    <row r="1491" spans="1:11" ht="15" x14ac:dyDescent="0.25">
      <c r="A1491" s="109" t="s">
        <v>4398</v>
      </c>
      <c r="B1491" s="116">
        <v>10111</v>
      </c>
      <c r="C1491" s="518" t="str">
        <f>IF(A1491&amp;B1491="","",VLOOKUP(A1491&amp;B1491,INSUMOS!C:G,2,0))</f>
        <v>Carpinteiro</v>
      </c>
      <c r="D1491" s="519"/>
      <c r="E1491" s="117" t="str">
        <f>IF(A1491&amp;B1491="","",VLOOKUP(A1491&amp;B1491,INSUMOS!C:G,3,0))</f>
        <v>h</v>
      </c>
      <c r="F1491" s="118">
        <v>0.5</v>
      </c>
      <c r="G1491" s="113">
        <f>IF(A1491&amp;B1491="","",VLOOKUP(A1491&amp;B1491,INSUMOS!C:G,4,0))</f>
        <v>13.380699</v>
      </c>
      <c r="H1491" s="119">
        <f t="shared" ref="H1491" si="237">IF(K1491="MO",TRUNC(F1491*G1491,2),"")</f>
        <v>6.69</v>
      </c>
      <c r="I1491" s="119" t="str">
        <f t="shared" ref="I1491" si="238">IF(K1491="MT",TRUNC(F1491*G1491,2),"")</f>
        <v/>
      </c>
      <c r="J1491" s="115" t="str">
        <f t="shared" ref="J1491" si="239">IF(K1491="EQ",TRUNC(F1491*G1491,2),"")</f>
        <v/>
      </c>
      <c r="K1491" s="102" t="str">
        <f>IF(A1491&amp;B1491="","",VLOOKUP(A1491&amp;B1491,INSUMOS!C:G,5,0))</f>
        <v>MO</v>
      </c>
    </row>
    <row r="1492" spans="1:11" ht="15" x14ac:dyDescent="0.25">
      <c r="A1492" s="109" t="s">
        <v>4398</v>
      </c>
      <c r="B1492" s="116">
        <v>10140</v>
      </c>
      <c r="C1492" s="518" t="str">
        <f>IF(A1492&amp;B1492="","",VLOOKUP(A1492&amp;B1492,INSUMOS!C:G,2,0))</f>
        <v>Pintor</v>
      </c>
      <c r="D1492" s="519"/>
      <c r="E1492" s="117" t="str">
        <f>IF(A1492&amp;B1492="","",VLOOKUP(A1492&amp;B1492,INSUMOS!C:G,3,0))</f>
        <v>h</v>
      </c>
      <c r="F1492" s="118">
        <v>0.9</v>
      </c>
      <c r="G1492" s="113">
        <f>IF(A1492&amp;B1492="","",VLOOKUP(A1492&amp;B1492,INSUMOS!C:G,4,0))</f>
        <v>14.198733000000001</v>
      </c>
      <c r="H1492" s="119">
        <f>IF(K1492="MO",TRUNC(F1492*G1492,2),"")</f>
        <v>12.77</v>
      </c>
      <c r="I1492" s="119" t="str">
        <f>IF(K1492="MT",TRUNC(F1492*G1492,2),"")</f>
        <v/>
      </c>
      <c r="J1492" s="115" t="str">
        <f>IF(K1492="EQ",TRUNC(F1492*G1492,2),"")</f>
        <v/>
      </c>
      <c r="K1492" s="102" t="str">
        <f>IF(A1492&amp;B1492="","",VLOOKUP(A1492&amp;B1492,INSUMOS!C:G,5,0))</f>
        <v>MO</v>
      </c>
    </row>
    <row r="1493" spans="1:11" ht="15" x14ac:dyDescent="0.25">
      <c r="A1493" s="109" t="s">
        <v>4398</v>
      </c>
      <c r="B1493" s="116">
        <v>10141</v>
      </c>
      <c r="C1493" s="518" t="str">
        <f>IF(A1493&amp;B1493="","",VLOOKUP(A1493&amp;B1493,INSUMOS!C:G,2,0))</f>
        <v xml:space="preserve">Ajudante de pintor </v>
      </c>
      <c r="D1493" s="519"/>
      <c r="E1493" s="117" t="str">
        <f>IF(A1493&amp;B1493="","",VLOOKUP(A1493&amp;B1493,INSUMOS!C:G,3,0))</f>
        <v>h</v>
      </c>
      <c r="F1493" s="118">
        <v>0.9</v>
      </c>
      <c r="G1493" s="113">
        <f>IF(A1493&amp;B1493="","",VLOOKUP(A1493&amp;B1493,INSUMOS!C:G,4,0))</f>
        <v>10.985028</v>
      </c>
      <c r="H1493" s="119">
        <f>IF(K1493="MO",TRUNC(F1493*G1493,2),"")</f>
        <v>9.8800000000000008</v>
      </c>
      <c r="I1493" s="119" t="str">
        <f>IF(K1493="MT",TRUNC(F1493*G1493,2),"")</f>
        <v/>
      </c>
      <c r="J1493" s="115" t="str">
        <f>IF(K1493="EQ",TRUNC(F1493*G1493,2),"")</f>
        <v/>
      </c>
      <c r="K1493" s="102" t="str">
        <f>IF(A1493&amp;B1493="","",VLOOKUP(A1493&amp;B1493,INSUMOS!C:G,5,0))</f>
        <v>MO</v>
      </c>
    </row>
    <row r="1494" spans="1:11" ht="30" customHeight="1" x14ac:dyDescent="0.25">
      <c r="A1494" s="109" t="s">
        <v>4398</v>
      </c>
      <c r="B1494" s="116">
        <v>25057</v>
      </c>
      <c r="C1494" s="518" t="str">
        <f>IF(A1494&amp;B1494="","",VLOOKUP(A1494&amp;B1494,INSUMOS!C:G,2,0))</f>
        <v>Painel Wall com miolo de madeira contraplacado por lâminas de madeira e externamente por chapas em CRFS, para piso, ref. Eternit ou equivalente</v>
      </c>
      <c r="D1494" s="519"/>
      <c r="E1494" s="117" t="str">
        <f>IF(A1494&amp;B1494="","",VLOOKUP(A1494&amp;B1494,INSUMOS!C:G,3,0))</f>
        <v>m²</v>
      </c>
      <c r="F1494" s="118">
        <v>1</v>
      </c>
      <c r="G1494" s="113">
        <f>IF(A1494&amp;B1494="","",VLOOKUP(A1494&amp;B1494,INSUMOS!C:G,4,0))</f>
        <v>82.88</v>
      </c>
      <c r="H1494" s="119" t="str">
        <f t="shared" ref="H1494:H1501" si="240">IF(K1494="MO",TRUNC(F1494*G1494,2),"")</f>
        <v/>
      </c>
      <c r="I1494" s="119">
        <f t="shared" ref="I1494:I1501" si="241">IF(K1494="MT",TRUNC(F1494*G1494,2),"")</f>
        <v>82.88</v>
      </c>
      <c r="J1494" s="115" t="str">
        <f t="shared" ref="J1494:J1501" si="242">IF(K1494="EQ",TRUNC(F1494*G1494,2),"")</f>
        <v/>
      </c>
      <c r="K1494" s="102" t="str">
        <f>IF(A1494&amp;B1494="","",VLOOKUP(A1494&amp;B1494,INSUMOS!C:G,5,0))</f>
        <v>MT</v>
      </c>
    </row>
    <row r="1495" spans="1:11" ht="15" x14ac:dyDescent="0.25">
      <c r="A1495" s="109" t="s">
        <v>4398</v>
      </c>
      <c r="B1495" s="116">
        <v>28057</v>
      </c>
      <c r="C1495" s="518" t="str">
        <f>IF(A1495&amp;B1495="","",VLOOKUP(A1495&amp;B1495,INSUMOS!C:G,2,0))</f>
        <v>Selador para tinta epóxi</v>
      </c>
      <c r="D1495" s="519"/>
      <c r="E1495" s="117" t="str">
        <f>IF(A1495&amp;B1495="","",VLOOKUP(A1495&amp;B1495,INSUMOS!C:G,3,0))</f>
        <v>l</v>
      </c>
      <c r="F1495" s="118">
        <v>0.24</v>
      </c>
      <c r="G1495" s="113">
        <f>IF(A1495&amp;B1495="","",VLOOKUP(A1495&amp;B1495,INSUMOS!C:G,4,0))</f>
        <v>35.58</v>
      </c>
      <c r="H1495" s="119" t="str">
        <f t="shared" si="240"/>
        <v/>
      </c>
      <c r="I1495" s="119">
        <f t="shared" si="241"/>
        <v>8.5299999999999994</v>
      </c>
      <c r="J1495" s="115" t="str">
        <f t="shared" si="242"/>
        <v/>
      </c>
      <c r="K1495" s="102" t="str">
        <f>IF(A1495&amp;B1495="","",VLOOKUP(A1495&amp;B1495,INSUMOS!C:G,5,0))</f>
        <v>MT</v>
      </c>
    </row>
    <row r="1496" spans="1:11" ht="15" x14ac:dyDescent="0.25">
      <c r="A1496" s="109" t="s">
        <v>4398</v>
      </c>
      <c r="B1496" s="116">
        <v>37545</v>
      </c>
      <c r="C1496" s="518" t="str">
        <f>IF(A1496&amp;B1496="","",VLOOKUP(A1496&amp;B1496,INSUMOS!C:G,2,0))</f>
        <v>Tinta-base epoxi</v>
      </c>
      <c r="D1496" s="519"/>
      <c r="E1496" s="117" t="str">
        <f>IF(A1496&amp;B1496="","",VLOOKUP(A1496&amp;B1496,INSUMOS!C:G,3,0))</f>
        <v>l</v>
      </c>
      <c r="F1496" s="118">
        <v>0.5</v>
      </c>
      <c r="G1496" s="113">
        <f>IF(A1496&amp;B1496="","",VLOOKUP(A1496&amp;B1496,INSUMOS!C:G,4,0))</f>
        <v>44.74</v>
      </c>
      <c r="H1496" s="119" t="str">
        <f t="shared" si="240"/>
        <v/>
      </c>
      <c r="I1496" s="119">
        <f t="shared" si="241"/>
        <v>22.37</v>
      </c>
      <c r="J1496" s="115" t="str">
        <f t="shared" si="242"/>
        <v/>
      </c>
      <c r="K1496" s="102" t="str">
        <f>IF(A1496&amp;B1496="","",VLOOKUP(A1496&amp;B1496,INSUMOS!C:G,5,0))</f>
        <v>MT</v>
      </c>
    </row>
    <row r="1497" spans="1:11" ht="15" x14ac:dyDescent="0.25">
      <c r="A1497" s="109" t="s">
        <v>4398</v>
      </c>
      <c r="B1497" s="116">
        <v>38014</v>
      </c>
      <c r="C1497" s="518" t="str">
        <f>IF(A1497&amp;B1497="","",VLOOKUP(A1497&amp;B1497,INSUMOS!C:G,2,0))</f>
        <v>Lixa massa/madeira uso geral Norton, Alcar ou equivalente (médias)</v>
      </c>
      <c r="D1497" s="519"/>
      <c r="E1497" s="117" t="str">
        <f>IF(A1497&amp;B1497="","",VLOOKUP(A1497&amp;B1497,INSUMOS!C:G,3,0))</f>
        <v>un</v>
      </c>
      <c r="F1497" s="118">
        <v>0.3</v>
      </c>
      <c r="G1497" s="113">
        <f>IF(A1497&amp;B1497="","",VLOOKUP(A1497&amp;B1497,INSUMOS!C:G,4,0))</f>
        <v>0.5</v>
      </c>
      <c r="H1497" s="119" t="str">
        <f t="shared" si="240"/>
        <v/>
      </c>
      <c r="I1497" s="119">
        <f t="shared" si="241"/>
        <v>0.15</v>
      </c>
      <c r="J1497" s="115" t="str">
        <f t="shared" si="242"/>
        <v/>
      </c>
      <c r="K1497" s="102" t="str">
        <f>IF(A1497&amp;B1497="","",VLOOKUP(A1497&amp;B1497,INSUMOS!C:G,5,0))</f>
        <v>MT</v>
      </c>
    </row>
    <row r="1498" spans="1:11" ht="15" x14ac:dyDescent="0.25">
      <c r="A1498" s="109" t="s">
        <v>4701</v>
      </c>
      <c r="B1498" s="116">
        <v>31065</v>
      </c>
      <c r="C1498" s="518" t="str">
        <f>IF(A1498&amp;B1498="","",VLOOKUP(A1498&amp;B1498,INSUMOS!C:G,2,0))</f>
        <v>Suporte  metálico (perfil laminado trabalhado)</v>
      </c>
      <c r="D1498" s="519"/>
      <c r="E1498" s="117" t="str">
        <f>IF(A1498&amp;B1498="","",VLOOKUP(A1498&amp;B1498,INSUMOS!C:G,3,0))</f>
        <v>kg</v>
      </c>
      <c r="F1498" s="118">
        <f>12.07*1.42</f>
        <v>17.139399999999998</v>
      </c>
      <c r="G1498" s="113">
        <f>IF(A1498&amp;B1498="","",VLOOKUP(A1498&amp;B1498,INSUMOS!C:G,4,0))</f>
        <v>17.28</v>
      </c>
      <c r="H1498" s="119" t="str">
        <f t="shared" si="240"/>
        <v/>
      </c>
      <c r="I1498" s="119">
        <f t="shared" si="241"/>
        <v>296.16000000000003</v>
      </c>
      <c r="J1498" s="115" t="str">
        <f t="shared" si="242"/>
        <v/>
      </c>
      <c r="K1498" s="102" t="str">
        <f>IF(A1498&amp;B1498="","",VLOOKUP(A1498&amp;B1498,INSUMOS!C:G,5,0))</f>
        <v>MT</v>
      </c>
    </row>
    <row r="1499" spans="1:11" ht="15" x14ac:dyDescent="0.25">
      <c r="A1499" s="120" t="s">
        <v>4398</v>
      </c>
      <c r="B1499" s="121">
        <v>280108</v>
      </c>
      <c r="C1499" s="518" t="str">
        <f>IF(A1499&amp;B1499="","",VLOOKUP(A1499&amp;B1499,INSUMOS!C:G,2,0))</f>
        <v>Ferragem adicional para porta vão simples em divisória</v>
      </c>
      <c r="D1499" s="519"/>
      <c r="E1499" s="117" t="str">
        <f>IF(A1499&amp;B1499="","",VLOOKUP(A1499&amp;B1499,INSUMOS!C:G,3,0))</f>
        <v>cj</v>
      </c>
      <c r="F1499" s="118">
        <v>1</v>
      </c>
      <c r="G1499" s="122">
        <f>IF(A1499&amp;B1499="","",VLOOKUP(A1499&amp;B1499,INSUMOS!C:G,4,0))</f>
        <v>145.49</v>
      </c>
      <c r="H1499" s="119" t="str">
        <f t="shared" si="240"/>
        <v/>
      </c>
      <c r="I1499" s="119">
        <f t="shared" si="241"/>
        <v>145.49</v>
      </c>
      <c r="J1499" s="115" t="str">
        <f t="shared" si="242"/>
        <v/>
      </c>
      <c r="K1499" s="102" t="str">
        <f>IF(A1499&amp;B1499="","",VLOOKUP(A1499&amp;B1499,INSUMOS!C:G,5,0))</f>
        <v>MT</v>
      </c>
    </row>
    <row r="1500" spans="1:11" ht="15" x14ac:dyDescent="0.25">
      <c r="A1500" s="120"/>
      <c r="B1500" s="121"/>
      <c r="C1500" s="518" t="str">
        <f>IF(A1500&amp;B1500="","",VLOOKUP(A1500&amp;B1500,INSUMOS!C:G,2,0))</f>
        <v/>
      </c>
      <c r="D1500" s="519"/>
      <c r="E1500" s="117" t="str">
        <f>IF(A1500&amp;B1500="","",VLOOKUP(A1500&amp;B1500,INSUMOS!C:G,3,0))</f>
        <v/>
      </c>
      <c r="F1500" s="118"/>
      <c r="G1500" s="122" t="str">
        <f>IF(A1500&amp;B1500="","",VLOOKUP(A1500&amp;B1500,INSUMOS!C:G,4,0))</f>
        <v/>
      </c>
      <c r="H1500" s="119" t="str">
        <f t="shared" si="240"/>
        <v/>
      </c>
      <c r="I1500" s="119" t="str">
        <f t="shared" si="241"/>
        <v/>
      </c>
      <c r="J1500" s="115" t="str">
        <f t="shared" si="242"/>
        <v/>
      </c>
      <c r="K1500" s="102" t="str">
        <f>IF(A1500&amp;B1500="","",VLOOKUP(A1500&amp;B1500,INSUMOS!C:G,5,0))</f>
        <v/>
      </c>
    </row>
    <row r="1501" spans="1:11" ht="15" x14ac:dyDescent="0.25">
      <c r="A1501" s="120"/>
      <c r="B1501" s="121"/>
      <c r="C1501" s="518" t="str">
        <f>IF(A1501&amp;B1501="","",VLOOKUP(A1501&amp;B1501,INSUMOS!C:G,2,0))</f>
        <v/>
      </c>
      <c r="D1501" s="519"/>
      <c r="E1501" s="117" t="str">
        <f>IF(A1501&amp;B1501="","",VLOOKUP(A1501&amp;B1501,INSUMOS!C:G,3,0))</f>
        <v/>
      </c>
      <c r="F1501" s="118"/>
      <c r="G1501" s="122" t="str">
        <f>IF(A1501&amp;B1501="","",VLOOKUP(A1501&amp;B1501,INSUMOS!C:G,4,0))</f>
        <v/>
      </c>
      <c r="H1501" s="119" t="str">
        <f t="shared" si="240"/>
        <v/>
      </c>
      <c r="I1501" s="119" t="str">
        <f t="shared" si="241"/>
        <v/>
      </c>
      <c r="J1501" s="115" t="str">
        <f t="shared" si="242"/>
        <v/>
      </c>
      <c r="K1501" s="102" t="str">
        <f>IF(A1501&amp;B1501="","",VLOOKUP(A1501&amp;B1501,INSUMOS!C:G,5,0))</f>
        <v/>
      </c>
    </row>
    <row r="1502" spans="1:11" ht="15" x14ac:dyDescent="0.25">
      <c r="A1502" s="123" t="s">
        <v>4399</v>
      </c>
      <c r="B1502" s="520"/>
      <c r="C1502" s="520"/>
      <c r="D1502" s="520"/>
      <c r="E1502" s="520"/>
      <c r="F1502" s="521"/>
      <c r="G1502" s="124" t="s">
        <v>50</v>
      </c>
      <c r="H1502" s="125">
        <f>SUM(H1490:H1501)</f>
        <v>35</v>
      </c>
      <c r="I1502" s="125">
        <f>SUM(I1490:I1501)</f>
        <v>555.58000000000004</v>
      </c>
      <c r="J1502" s="126">
        <f>SUM(J1490:J1501)</f>
        <v>0</v>
      </c>
    </row>
    <row r="1503" spans="1:11" ht="15" x14ac:dyDescent="0.25">
      <c r="A1503" s="127" t="s">
        <v>4400</v>
      </c>
      <c r="B1503" s="128"/>
      <c r="C1503" s="128"/>
      <c r="D1503" s="127" t="s">
        <v>51</v>
      </c>
      <c r="E1503" s="128"/>
      <c r="F1503" s="129"/>
      <c r="G1503" s="130" t="s">
        <v>55</v>
      </c>
      <c r="H1503" s="131" t="s">
        <v>52</v>
      </c>
      <c r="I1503" s="132"/>
      <c r="J1503" s="125">
        <f>SUM(H1502:J1502)</f>
        <v>590.58000000000004</v>
      </c>
    </row>
    <row r="1504" spans="1:11" ht="15" x14ac:dyDescent="0.25">
      <c r="A1504" s="313" t="str">
        <f>$I$3</f>
        <v>Carlos Wieck</v>
      </c>
      <c r="B1504" s="133"/>
      <c r="C1504" s="133"/>
      <c r="D1504" s="134"/>
      <c r="E1504" s="133"/>
      <c r="F1504" s="135"/>
      <c r="G1504" s="522">
        <f>$J$5</f>
        <v>43040</v>
      </c>
      <c r="H1504" s="136" t="s">
        <v>53</v>
      </c>
      <c r="I1504" s="137"/>
      <c r="J1504" s="125">
        <f>TRUNC(I1504*J1503,2)</f>
        <v>0</v>
      </c>
    </row>
    <row r="1505" spans="1:17" ht="15" x14ac:dyDescent="0.25">
      <c r="A1505" s="138"/>
      <c r="B1505" s="139"/>
      <c r="C1505" s="139"/>
      <c r="D1505" s="138"/>
      <c r="E1505" s="139"/>
      <c r="F1505" s="140"/>
      <c r="G1505" s="523"/>
      <c r="H1505" s="141" t="s">
        <v>54</v>
      </c>
      <c r="I1505" s="142"/>
      <c r="J1505" s="143">
        <f>J1504+J1503</f>
        <v>590.58000000000004</v>
      </c>
      <c r="L1505" s="102" t="str">
        <f>A1487</f>
        <v>COMPOSIÇÃO</v>
      </c>
      <c r="M1505" s="144" t="str">
        <f>B1487</f>
        <v>FF-059</v>
      </c>
      <c r="N1505" s="102" t="str">
        <f>L1505&amp;M1505</f>
        <v>COMPOSIÇÃOFF-059</v>
      </c>
      <c r="O1505" s="103" t="str">
        <f>D1486</f>
        <v>Divisória em painel com miolo de madeira contraplacado por lâminas de madeira e externamente por chapas em CRFS, para piso, ref. Eternit ou equivalente. Com pintura epóxi cor branca</v>
      </c>
      <c r="P1505" s="145" t="str">
        <f>J1487</f>
        <v>m²</v>
      </c>
      <c r="Q1505" s="145">
        <f>J1505</f>
        <v>590.58000000000004</v>
      </c>
    </row>
    <row r="1506" spans="1:17" ht="15" customHeight="1" x14ac:dyDescent="0.25">
      <c r="A1506" s="524" t="s">
        <v>40</v>
      </c>
      <c r="B1506" s="525"/>
      <c r="C1506" s="104" t="s">
        <v>41</v>
      </c>
      <c r="D1506" s="526" t="str">
        <f>IF(B1507="","",VLOOKUP(B1507,SERVIÇOS!B:E,3,0))</f>
        <v>Assoalho de madeira com pranchas de Pinus tratado em autoclave unidas com encaixe tipo macho-fêmea, L = 100 mm E = 20 mm</v>
      </c>
      <c r="E1506" s="526"/>
      <c r="F1506" s="526"/>
      <c r="G1506" s="526"/>
      <c r="H1506" s="526"/>
      <c r="I1506" s="527"/>
      <c r="J1506" s="105" t="s">
        <v>42</v>
      </c>
    </row>
    <row r="1507" spans="1:17" ht="15" x14ac:dyDescent="0.25">
      <c r="A1507" s="230" t="s">
        <v>4715</v>
      </c>
      <c r="B1507" s="230" t="s">
        <v>5072</v>
      </c>
      <c r="C1507" s="106"/>
      <c r="D1507" s="528"/>
      <c r="E1507" s="528"/>
      <c r="F1507" s="528"/>
      <c r="G1507" s="528"/>
      <c r="H1507" s="528"/>
      <c r="I1507" s="529"/>
      <c r="J1507" s="107" t="str">
        <f>IF(B1507="","",VLOOKUP(B1507,SERVIÇOS!B:E,4,0))</f>
        <v>m²</v>
      </c>
    </row>
    <row r="1508" spans="1:17" ht="15" x14ac:dyDescent="0.25">
      <c r="A1508" s="530" t="s">
        <v>4397</v>
      </c>
      <c r="B1508" s="531" t="s">
        <v>11</v>
      </c>
      <c r="C1508" s="533" t="s">
        <v>43</v>
      </c>
      <c r="D1508" s="534"/>
      <c r="E1508" s="530" t="s">
        <v>13</v>
      </c>
      <c r="F1508" s="530" t="s">
        <v>44</v>
      </c>
      <c r="G1508" s="538" t="s">
        <v>45</v>
      </c>
      <c r="H1508" s="108" t="s">
        <v>46</v>
      </c>
      <c r="I1508" s="108"/>
      <c r="J1508" s="108"/>
    </row>
    <row r="1509" spans="1:17" ht="15" x14ac:dyDescent="0.25">
      <c r="A1509" s="530"/>
      <c r="B1509" s="532"/>
      <c r="C1509" s="535"/>
      <c r="D1509" s="536"/>
      <c r="E1509" s="537"/>
      <c r="F1509" s="537"/>
      <c r="G1509" s="539"/>
      <c r="H1509" s="108" t="s">
        <v>47</v>
      </c>
      <c r="I1509" s="108" t="s">
        <v>48</v>
      </c>
      <c r="J1509" s="108" t="s">
        <v>49</v>
      </c>
    </row>
    <row r="1510" spans="1:17" ht="15" x14ac:dyDescent="0.25">
      <c r="A1510" s="109" t="s">
        <v>4398</v>
      </c>
      <c r="B1510" s="116">
        <v>10111</v>
      </c>
      <c r="C1510" s="540" t="str">
        <f>IF(A1510&amp;B1510="","",VLOOKUP(A1510&amp;B1510,INSUMOS!C:G,2,0))</f>
        <v>Carpinteiro</v>
      </c>
      <c r="D1510" s="541"/>
      <c r="E1510" s="111" t="str">
        <f>IF(A1510&amp;B1510="","",VLOOKUP(A1510&amp;B1510,INSUMOS!C:G,3,0))</f>
        <v>h</v>
      </c>
      <c r="F1510" s="112">
        <v>1</v>
      </c>
      <c r="G1510" s="113">
        <f>IF(A1510&amp;B1510="","",VLOOKUP(A1510&amp;B1510,INSUMOS!C:G,4,0))</f>
        <v>13.380699</v>
      </c>
      <c r="H1510" s="114">
        <f>IF(K1510="MO",TRUNC(F1510*G1510,2),"")</f>
        <v>13.38</v>
      </c>
      <c r="I1510" s="114" t="str">
        <f>IF(K1510="MT",TRUNC(F1510*G1510,2),"")</f>
        <v/>
      </c>
      <c r="J1510" s="115" t="str">
        <f>IF(K1510="EQ",TRUNC(F1510*G1510,2),"")</f>
        <v/>
      </c>
      <c r="K1510" s="102" t="str">
        <f>IF(A1510&amp;B1510="","",VLOOKUP(A1510&amp;B1510,INSUMOS!C:G,5,0))</f>
        <v>MO</v>
      </c>
    </row>
    <row r="1511" spans="1:17" ht="15" x14ac:dyDescent="0.25">
      <c r="A1511" s="109" t="s">
        <v>4398</v>
      </c>
      <c r="B1511" s="116">
        <v>10112</v>
      </c>
      <c r="C1511" s="518" t="str">
        <f>IF(A1511&amp;B1511="","",VLOOKUP(A1511&amp;B1511,INSUMOS!C:G,2,0))</f>
        <v>Ajudante de carpinteiro</v>
      </c>
      <c r="D1511" s="519"/>
      <c r="E1511" s="117" t="str">
        <f>IF(A1511&amp;B1511="","",VLOOKUP(A1511&amp;B1511,INSUMOS!C:G,3,0))</f>
        <v>h</v>
      </c>
      <c r="F1511" s="118">
        <v>1</v>
      </c>
      <c r="G1511" s="113">
        <f>IF(A1511&amp;B1511="","",VLOOKUP(A1511&amp;B1511,INSUMOS!C:G,4,0))</f>
        <v>10.985028</v>
      </c>
      <c r="H1511" s="119">
        <f t="shared" ref="H1511" si="243">IF(K1511="MO",TRUNC(F1511*G1511,2),"")</f>
        <v>10.98</v>
      </c>
      <c r="I1511" s="119" t="str">
        <f t="shared" ref="I1511" si="244">IF(K1511="MT",TRUNC(F1511*G1511,2),"")</f>
        <v/>
      </c>
      <c r="J1511" s="115" t="str">
        <f t="shared" ref="J1511" si="245">IF(K1511="EQ",TRUNC(F1511*G1511,2),"")</f>
        <v/>
      </c>
      <c r="K1511" s="102" t="str">
        <f>IF(A1511&amp;B1511="","",VLOOKUP(A1511&amp;B1511,INSUMOS!C:G,5,0))</f>
        <v>MO</v>
      </c>
    </row>
    <row r="1512" spans="1:17" ht="15" x14ac:dyDescent="0.25">
      <c r="A1512" s="109" t="s">
        <v>4398</v>
      </c>
      <c r="B1512" s="116">
        <v>10139</v>
      </c>
      <c r="C1512" s="518" t="str">
        <f>IF(A1512&amp;B1512="","",VLOOKUP(A1512&amp;B1512,INSUMOS!C:G,2,0))</f>
        <v xml:space="preserve">Pedreiro </v>
      </c>
      <c r="D1512" s="519"/>
      <c r="E1512" s="117" t="str">
        <f>IF(A1512&amp;B1512="","",VLOOKUP(A1512&amp;B1512,INSUMOS!C:G,3,0))</f>
        <v>h</v>
      </c>
      <c r="F1512" s="118">
        <v>0.3</v>
      </c>
      <c r="G1512" s="113">
        <f>IF(A1512&amp;B1512="","",VLOOKUP(A1512&amp;B1512,INSUMOS!C:G,4,0))</f>
        <v>13.731285</v>
      </c>
      <c r="H1512" s="119">
        <f>IF(K1512="MO",TRUNC(F1512*G1512,2),"")</f>
        <v>4.1100000000000003</v>
      </c>
      <c r="I1512" s="119" t="str">
        <f>IF(K1512="MT",TRUNC(F1512*G1512,2),"")</f>
        <v/>
      </c>
      <c r="J1512" s="115" t="str">
        <f>IF(K1512="EQ",TRUNC(F1512*G1512,2),"")</f>
        <v/>
      </c>
      <c r="K1512" s="102" t="str">
        <f>IF(A1512&amp;B1512="","",VLOOKUP(A1512&amp;B1512,INSUMOS!C:G,5,0))</f>
        <v>MO</v>
      </c>
    </row>
    <row r="1513" spans="1:17" ht="15" x14ac:dyDescent="0.25">
      <c r="A1513" s="109" t="s">
        <v>4398</v>
      </c>
      <c r="B1513" s="116">
        <v>10146</v>
      </c>
      <c r="C1513" s="518" t="str">
        <f>IF(A1513&amp;B1513="","",VLOOKUP(A1513&amp;B1513,INSUMOS!C:G,2,0))</f>
        <v>Servente</v>
      </c>
      <c r="D1513" s="519"/>
      <c r="E1513" s="117" t="str">
        <f>IF(A1513&amp;B1513="","",VLOOKUP(A1513&amp;B1513,INSUMOS!C:G,3,0))</f>
        <v>h</v>
      </c>
      <c r="F1513" s="118">
        <v>0.8</v>
      </c>
      <c r="G1513" s="113">
        <f>IF(A1513&amp;B1513="","",VLOOKUP(A1513&amp;B1513,INSUMOS!C:G,4,0))</f>
        <v>11.335614</v>
      </c>
      <c r="H1513" s="119">
        <f>IF(K1513="MO",TRUNC(F1513*G1513,2),"")</f>
        <v>9.06</v>
      </c>
      <c r="I1513" s="119" t="str">
        <f>IF(K1513="MT",TRUNC(F1513*G1513,2),"")</f>
        <v/>
      </c>
      <c r="J1513" s="115" t="str">
        <f>IF(K1513="EQ",TRUNC(F1513*G1513,2),"")</f>
        <v/>
      </c>
      <c r="K1513" s="102" t="str">
        <f>IF(A1513&amp;B1513="","",VLOOKUP(A1513&amp;B1513,INSUMOS!C:G,5,0))</f>
        <v>MO</v>
      </c>
    </row>
    <row r="1514" spans="1:17" ht="15" x14ac:dyDescent="0.25">
      <c r="A1514" s="109" t="s">
        <v>4398</v>
      </c>
      <c r="B1514" s="116">
        <v>39040</v>
      </c>
      <c r="C1514" s="518" t="str">
        <f>IF(A1514&amp;B1514="","",VLOOKUP(A1514&amp;B1514,INSUMOS!C:G,2,0))</f>
        <v>Argamassa de cimento e areia - média 1:5</v>
      </c>
      <c r="D1514" s="519"/>
      <c r="E1514" s="117" t="str">
        <f>IF(A1514&amp;B1514="","",VLOOKUP(A1514&amp;B1514,INSUMOS!C:G,3,0))</f>
        <v>m³</v>
      </c>
      <c r="F1514" s="118">
        <v>2.5000000000000001E-2</v>
      </c>
      <c r="G1514" s="113">
        <f>IF(A1514&amp;B1514="","",VLOOKUP(A1514&amp;B1514,INSUMOS!C:G,4,0))</f>
        <v>339.93</v>
      </c>
      <c r="H1514" s="119" t="str">
        <f t="shared" ref="H1514:H1521" si="246">IF(K1514="MO",TRUNC(F1514*G1514,2),"")</f>
        <v/>
      </c>
      <c r="I1514" s="119">
        <f t="shared" ref="I1514:I1521" si="247">IF(K1514="MT",TRUNC(F1514*G1514,2),"")</f>
        <v>8.49</v>
      </c>
      <c r="J1514" s="115" t="str">
        <f t="shared" ref="J1514:J1521" si="248">IF(K1514="EQ",TRUNC(F1514*G1514,2),"")</f>
        <v/>
      </c>
      <c r="K1514" s="102" t="str">
        <f>IF(A1514&amp;B1514="","",VLOOKUP(A1514&amp;B1514,INSUMOS!C:G,5,0))</f>
        <v>MT</v>
      </c>
    </row>
    <row r="1515" spans="1:17" ht="30" customHeight="1" x14ac:dyDescent="0.25">
      <c r="A1515" s="109" t="s">
        <v>4398</v>
      </c>
      <c r="B1515" s="116">
        <v>24028</v>
      </c>
      <c r="C1515" s="518" t="str">
        <f>IF(A1515&amp;B1515="","",VLOOKUP(A1515&amp;B1515,INSUMOS!C:G,2,0))</f>
        <v>Hidrorrepelente a base de silano-siloxano oligomérico disperso em solvente, ref. Denver HR da Denver, Nitoprimer 40 da Fosroc</v>
      </c>
      <c r="D1515" s="519"/>
      <c r="E1515" s="117" t="str">
        <f>IF(A1515&amp;B1515="","",VLOOKUP(A1515&amp;B1515,INSUMOS!C:G,3,0))</f>
        <v>L</v>
      </c>
      <c r="F1515" s="118">
        <v>0.3</v>
      </c>
      <c r="G1515" s="113">
        <f>IF(A1515&amp;B1515="","",VLOOKUP(A1515&amp;B1515,INSUMOS!C:G,4,0))</f>
        <v>19.13</v>
      </c>
      <c r="H1515" s="119" t="str">
        <f t="shared" si="246"/>
        <v/>
      </c>
      <c r="I1515" s="119">
        <f t="shared" si="247"/>
        <v>5.73</v>
      </c>
      <c r="J1515" s="115" t="str">
        <f t="shared" si="248"/>
        <v/>
      </c>
      <c r="K1515" s="102" t="str">
        <f>IF(A1515&amp;B1515="","",VLOOKUP(A1515&amp;B1515,INSUMOS!C:G,5,0))</f>
        <v>MT</v>
      </c>
    </row>
    <row r="1516" spans="1:17" ht="15" x14ac:dyDescent="0.25">
      <c r="A1516" s="109" t="s">
        <v>4398</v>
      </c>
      <c r="B1516" s="116">
        <v>26760</v>
      </c>
      <c r="C1516" s="518" t="str">
        <f>IF(A1516&amp;B1516="","",VLOOKUP(A1516&amp;B1516,INSUMOS!C:G,2,0))</f>
        <v>Prego diversas bitolas (referência 18 x 27)</v>
      </c>
      <c r="D1516" s="519"/>
      <c r="E1516" s="117" t="str">
        <f>IF(A1516&amp;B1516="","",VLOOKUP(A1516&amp;B1516,INSUMOS!C:G,3,0))</f>
        <v>kg</v>
      </c>
      <c r="F1516" s="118">
        <v>0.26</v>
      </c>
      <c r="G1516" s="113">
        <f>IF(A1516&amp;B1516="","",VLOOKUP(A1516&amp;B1516,INSUMOS!C:G,4,0))</f>
        <v>5.0999999999999996</v>
      </c>
      <c r="H1516" s="119" t="str">
        <f t="shared" si="246"/>
        <v/>
      </c>
      <c r="I1516" s="119">
        <f t="shared" si="247"/>
        <v>1.32</v>
      </c>
      <c r="J1516" s="115" t="str">
        <f t="shared" si="248"/>
        <v/>
      </c>
      <c r="K1516" s="102" t="str">
        <f>IF(A1516&amp;B1516="","",VLOOKUP(A1516&amp;B1516,INSUMOS!C:G,5,0))</f>
        <v>MT</v>
      </c>
    </row>
    <row r="1517" spans="1:17" ht="15" x14ac:dyDescent="0.25">
      <c r="A1517" s="109" t="s">
        <v>5339</v>
      </c>
      <c r="B1517" s="116">
        <v>35072</v>
      </c>
      <c r="C1517" s="518" t="str">
        <f>IF(A1517&amp;B1517="","",VLOOKUP(A1517&amp;B1517,INSUMOS!C:G,2,0))</f>
        <v>Assoalho em cumaru com encaixe macho e fêmea</v>
      </c>
      <c r="D1517" s="519"/>
      <c r="E1517" s="117" t="str">
        <f>IF(A1517&amp;B1517="","",VLOOKUP(A1517&amp;B1517,INSUMOS!C:G,3,0))</f>
        <v>m²</v>
      </c>
      <c r="F1517" s="118">
        <v>1.1000000000000001</v>
      </c>
      <c r="G1517" s="113">
        <f>IF(A1517&amp;B1517="","",VLOOKUP(A1517&amp;B1517,INSUMOS!C:G,4,0))</f>
        <v>150.53</v>
      </c>
      <c r="H1517" s="119" t="str">
        <f t="shared" si="246"/>
        <v/>
      </c>
      <c r="I1517" s="119">
        <f t="shared" si="247"/>
        <v>165.58</v>
      </c>
      <c r="J1517" s="115" t="str">
        <f t="shared" si="248"/>
        <v/>
      </c>
      <c r="K1517" s="102" t="str">
        <f>IF(A1517&amp;B1517="","",VLOOKUP(A1517&amp;B1517,INSUMOS!C:G,5,0))</f>
        <v>MT</v>
      </c>
    </row>
    <row r="1518" spans="1:17" ht="15" x14ac:dyDescent="0.25">
      <c r="A1518" s="109" t="s">
        <v>5339</v>
      </c>
      <c r="B1518" s="116">
        <v>39005</v>
      </c>
      <c r="C1518" s="518" t="str">
        <f>IF(A1518&amp;B1518="","",VLOOKUP(A1518&amp;B1518,INSUMOS!C:G,2,0))</f>
        <v>Barrote de madeira para assoalho</v>
      </c>
      <c r="D1518" s="519"/>
      <c r="E1518" s="117" t="str">
        <f>IF(A1518&amp;B1518="","",VLOOKUP(A1518&amp;B1518,INSUMOS!C:G,3,0))</f>
        <v>m</v>
      </c>
      <c r="F1518" s="118">
        <v>3</v>
      </c>
      <c r="G1518" s="113">
        <f>IF(A1518&amp;B1518="","",VLOOKUP(A1518&amp;B1518,INSUMOS!C:G,4,0))</f>
        <v>10.130000000000001</v>
      </c>
      <c r="H1518" s="119" t="str">
        <f t="shared" si="246"/>
        <v/>
      </c>
      <c r="I1518" s="119">
        <f t="shared" si="247"/>
        <v>30.39</v>
      </c>
      <c r="J1518" s="115" t="str">
        <f t="shared" si="248"/>
        <v/>
      </c>
      <c r="K1518" s="102" t="str">
        <f>IF(A1518&amp;B1518="","",VLOOKUP(A1518&amp;B1518,INSUMOS!C:G,5,0))</f>
        <v>MT</v>
      </c>
    </row>
    <row r="1519" spans="1:17" ht="15" x14ac:dyDescent="0.25">
      <c r="A1519" s="120"/>
      <c r="B1519" s="121"/>
      <c r="C1519" s="518" t="str">
        <f>IF(A1519&amp;B1519="","",VLOOKUP(A1519&amp;B1519,INSUMOS!C:G,2,0))</f>
        <v/>
      </c>
      <c r="D1519" s="519"/>
      <c r="E1519" s="117" t="str">
        <f>IF(A1519&amp;B1519="","",VLOOKUP(A1519&amp;B1519,INSUMOS!C:G,3,0))</f>
        <v/>
      </c>
      <c r="F1519" s="118"/>
      <c r="G1519" s="122" t="str">
        <f>IF(A1519&amp;B1519="","",VLOOKUP(A1519&amp;B1519,INSUMOS!C:G,4,0))</f>
        <v/>
      </c>
      <c r="H1519" s="119" t="str">
        <f t="shared" si="246"/>
        <v/>
      </c>
      <c r="I1519" s="119" t="str">
        <f t="shared" si="247"/>
        <v/>
      </c>
      <c r="J1519" s="115" t="str">
        <f t="shared" si="248"/>
        <v/>
      </c>
      <c r="K1519" s="102" t="str">
        <f>IF(A1519&amp;B1519="","",VLOOKUP(A1519&amp;B1519,INSUMOS!C:G,5,0))</f>
        <v/>
      </c>
    </row>
    <row r="1520" spans="1:17" ht="15" x14ac:dyDescent="0.25">
      <c r="A1520" s="120"/>
      <c r="B1520" s="121"/>
      <c r="C1520" s="518" t="str">
        <f>IF(A1520&amp;B1520="","",VLOOKUP(A1520&amp;B1520,INSUMOS!C:G,2,0))</f>
        <v/>
      </c>
      <c r="D1520" s="519"/>
      <c r="E1520" s="117" t="str">
        <f>IF(A1520&amp;B1520="","",VLOOKUP(A1520&amp;B1520,INSUMOS!C:G,3,0))</f>
        <v/>
      </c>
      <c r="F1520" s="118"/>
      <c r="G1520" s="122" t="str">
        <f>IF(A1520&amp;B1520="","",VLOOKUP(A1520&amp;B1520,INSUMOS!C:G,4,0))</f>
        <v/>
      </c>
      <c r="H1520" s="119" t="str">
        <f t="shared" si="246"/>
        <v/>
      </c>
      <c r="I1520" s="119" t="str">
        <f t="shared" si="247"/>
        <v/>
      </c>
      <c r="J1520" s="115" t="str">
        <f t="shared" si="248"/>
        <v/>
      </c>
      <c r="K1520" s="102" t="str">
        <f>IF(A1520&amp;B1520="","",VLOOKUP(A1520&amp;B1520,INSUMOS!C:G,5,0))</f>
        <v/>
      </c>
    </row>
    <row r="1521" spans="1:17" ht="15" x14ac:dyDescent="0.25">
      <c r="A1521" s="120"/>
      <c r="B1521" s="121"/>
      <c r="C1521" s="518" t="str">
        <f>IF(A1521&amp;B1521="","",VLOOKUP(A1521&amp;B1521,INSUMOS!C:G,2,0))</f>
        <v/>
      </c>
      <c r="D1521" s="519"/>
      <c r="E1521" s="117" t="str">
        <f>IF(A1521&amp;B1521="","",VLOOKUP(A1521&amp;B1521,INSUMOS!C:G,3,0))</f>
        <v/>
      </c>
      <c r="F1521" s="118"/>
      <c r="G1521" s="122" t="str">
        <f>IF(A1521&amp;B1521="","",VLOOKUP(A1521&amp;B1521,INSUMOS!C:G,4,0))</f>
        <v/>
      </c>
      <c r="H1521" s="119" t="str">
        <f t="shared" si="246"/>
        <v/>
      </c>
      <c r="I1521" s="119" t="str">
        <f t="shared" si="247"/>
        <v/>
      </c>
      <c r="J1521" s="115" t="str">
        <f t="shared" si="248"/>
        <v/>
      </c>
      <c r="K1521" s="102" t="str">
        <f>IF(A1521&amp;B1521="","",VLOOKUP(A1521&amp;B1521,INSUMOS!C:G,5,0))</f>
        <v/>
      </c>
    </row>
    <row r="1522" spans="1:17" ht="15" x14ac:dyDescent="0.25">
      <c r="A1522" s="123" t="s">
        <v>4399</v>
      </c>
      <c r="B1522" s="520"/>
      <c r="C1522" s="520"/>
      <c r="D1522" s="520"/>
      <c r="E1522" s="520"/>
      <c r="F1522" s="521"/>
      <c r="G1522" s="124" t="s">
        <v>50</v>
      </c>
      <c r="H1522" s="125">
        <f>SUM(H1510:H1521)</f>
        <v>37.53</v>
      </c>
      <c r="I1522" s="125">
        <f>SUM(I1510:I1521)</f>
        <v>211.51</v>
      </c>
      <c r="J1522" s="126">
        <f>SUM(J1510:J1521)</f>
        <v>0</v>
      </c>
    </row>
    <row r="1523" spans="1:17" ht="15" x14ac:dyDescent="0.25">
      <c r="A1523" s="127" t="s">
        <v>4400</v>
      </c>
      <c r="B1523" s="128"/>
      <c r="C1523" s="128"/>
      <c r="D1523" s="127" t="s">
        <v>51</v>
      </c>
      <c r="E1523" s="128"/>
      <c r="F1523" s="129"/>
      <c r="G1523" s="130" t="s">
        <v>55</v>
      </c>
      <c r="H1523" s="131" t="s">
        <v>52</v>
      </c>
      <c r="I1523" s="132"/>
      <c r="J1523" s="125">
        <f>SUM(H1522:J1522)</f>
        <v>249.04</v>
      </c>
    </row>
    <row r="1524" spans="1:17" ht="15" x14ac:dyDescent="0.25">
      <c r="A1524" s="313" t="str">
        <f>$I$3</f>
        <v>Carlos Wieck</v>
      </c>
      <c r="B1524" s="133"/>
      <c r="C1524" s="133"/>
      <c r="D1524" s="134"/>
      <c r="E1524" s="133"/>
      <c r="F1524" s="135"/>
      <c r="G1524" s="522">
        <f>$J$5</f>
        <v>43040</v>
      </c>
      <c r="H1524" s="136" t="s">
        <v>53</v>
      </c>
      <c r="I1524" s="137"/>
      <c r="J1524" s="125">
        <f>TRUNC(I1524*J1523,2)</f>
        <v>0</v>
      </c>
    </row>
    <row r="1525" spans="1:17" ht="15" x14ac:dyDescent="0.25">
      <c r="A1525" s="138"/>
      <c r="B1525" s="139"/>
      <c r="C1525" s="139"/>
      <c r="D1525" s="138"/>
      <c r="E1525" s="139"/>
      <c r="F1525" s="140"/>
      <c r="G1525" s="523"/>
      <c r="H1525" s="141" t="s">
        <v>54</v>
      </c>
      <c r="I1525" s="142"/>
      <c r="J1525" s="143">
        <f>J1524+J1523</f>
        <v>249.04</v>
      </c>
      <c r="L1525" s="102" t="str">
        <f>A1507</f>
        <v>COMPOSIÇÃO</v>
      </c>
      <c r="M1525" s="144" t="str">
        <f>B1507</f>
        <v>FF-060</v>
      </c>
      <c r="N1525" s="102" t="str">
        <f>L1525&amp;M1525</f>
        <v>COMPOSIÇÃOFF-060</v>
      </c>
      <c r="O1525" s="103" t="str">
        <f>D1506</f>
        <v>Assoalho de madeira com pranchas de Pinus tratado em autoclave unidas com encaixe tipo macho-fêmea, L = 100 mm E = 20 mm</v>
      </c>
      <c r="P1525" s="145" t="str">
        <f>J1507</f>
        <v>m²</v>
      </c>
      <c r="Q1525" s="145">
        <f>J1525</f>
        <v>249.04</v>
      </c>
    </row>
    <row r="1526" spans="1:17" ht="20.100000000000001" customHeight="1" x14ac:dyDescent="0.25">
      <c r="A1526" s="524" t="s">
        <v>40</v>
      </c>
      <c r="B1526" s="525"/>
      <c r="C1526" s="104" t="s">
        <v>41</v>
      </c>
      <c r="D1526" s="526" t="str">
        <f>IF(B1527="","",VLOOKUP(B1527,SERVIÇOS!B:E,3,0))</f>
        <v>Piso de poliuretano autonivelante monolítico flexível com acabamento em sistema de pintura poliuretânica alifática, com alta resistência à abrasão, a derramamentos químicos e a raios U.V. E = 3 mm. Referência: Duracolor. 
Instalado sobre painéis com miolo de madeira contraplacado por lâminas de madeira e externamente por chapas em CRFS - espessura de 40 mm</v>
      </c>
      <c r="E1526" s="526"/>
      <c r="F1526" s="526"/>
      <c r="G1526" s="526"/>
      <c r="H1526" s="526"/>
      <c r="I1526" s="527"/>
      <c r="J1526" s="105" t="s">
        <v>42</v>
      </c>
    </row>
    <row r="1527" spans="1:17" ht="20.100000000000001" customHeight="1" x14ac:dyDescent="0.25">
      <c r="A1527" s="230" t="s">
        <v>4715</v>
      </c>
      <c r="B1527" s="230" t="s">
        <v>5077</v>
      </c>
      <c r="C1527" s="106"/>
      <c r="D1527" s="528"/>
      <c r="E1527" s="528"/>
      <c r="F1527" s="528"/>
      <c r="G1527" s="528"/>
      <c r="H1527" s="528"/>
      <c r="I1527" s="529"/>
      <c r="J1527" s="107" t="str">
        <f>IF(B1527="","",VLOOKUP(B1527,SERVIÇOS!B:E,4,0))</f>
        <v>m²</v>
      </c>
    </row>
    <row r="1528" spans="1:17" ht="15" x14ac:dyDescent="0.25">
      <c r="A1528" s="530" t="s">
        <v>4397</v>
      </c>
      <c r="B1528" s="531" t="s">
        <v>11</v>
      </c>
      <c r="C1528" s="533" t="s">
        <v>43</v>
      </c>
      <c r="D1528" s="534"/>
      <c r="E1528" s="530" t="s">
        <v>13</v>
      </c>
      <c r="F1528" s="530" t="s">
        <v>44</v>
      </c>
      <c r="G1528" s="538" t="s">
        <v>45</v>
      </c>
      <c r="H1528" s="108" t="s">
        <v>46</v>
      </c>
      <c r="I1528" s="108"/>
      <c r="J1528" s="108"/>
    </row>
    <row r="1529" spans="1:17" ht="15" x14ac:dyDescent="0.25">
      <c r="A1529" s="530"/>
      <c r="B1529" s="532"/>
      <c r="C1529" s="535"/>
      <c r="D1529" s="536"/>
      <c r="E1529" s="537"/>
      <c r="F1529" s="537"/>
      <c r="G1529" s="539"/>
      <c r="H1529" s="108" t="s">
        <v>47</v>
      </c>
      <c r="I1529" s="108" t="s">
        <v>48</v>
      </c>
      <c r="J1529" s="108" t="s">
        <v>49</v>
      </c>
    </row>
    <row r="1530" spans="1:17" ht="15" x14ac:dyDescent="0.25">
      <c r="A1530" s="109" t="s">
        <v>4398</v>
      </c>
      <c r="B1530" s="116">
        <v>10140</v>
      </c>
      <c r="C1530" s="540" t="str">
        <f>IF(A1530&amp;B1530="","",VLOOKUP(A1530&amp;B1530,INSUMOS!C:G,2,0))</f>
        <v>Pintor</v>
      </c>
      <c r="D1530" s="541"/>
      <c r="E1530" s="111" t="str">
        <f>IF(A1530&amp;B1530="","",VLOOKUP(A1530&amp;B1530,INSUMOS!C:G,3,0))</f>
        <v>h</v>
      </c>
      <c r="F1530" s="112">
        <v>0.4</v>
      </c>
      <c r="G1530" s="113">
        <f>IF(A1530&amp;B1530="","",VLOOKUP(A1530&amp;B1530,INSUMOS!C:G,4,0))</f>
        <v>14.198733000000001</v>
      </c>
      <c r="H1530" s="114">
        <f>IF(K1530="MO",TRUNC(F1530*G1530,2),"")</f>
        <v>5.67</v>
      </c>
      <c r="I1530" s="114" t="str">
        <f>IF(K1530="MT",TRUNC(F1530*G1530,2),"")</f>
        <v/>
      </c>
      <c r="J1530" s="115" t="str">
        <f>IF(K1530="EQ",TRUNC(F1530*G1530,2),"")</f>
        <v/>
      </c>
      <c r="K1530" s="102" t="str">
        <f>IF(A1530&amp;B1530="","",VLOOKUP(A1530&amp;B1530,INSUMOS!C:G,5,0))</f>
        <v>MO</v>
      </c>
    </row>
    <row r="1531" spans="1:17" ht="15" x14ac:dyDescent="0.25">
      <c r="A1531" s="109" t="s">
        <v>4398</v>
      </c>
      <c r="B1531" s="116">
        <v>10141</v>
      </c>
      <c r="C1531" s="518" t="str">
        <f>IF(A1531&amp;B1531="","",VLOOKUP(A1531&amp;B1531,INSUMOS!C:G,2,0))</f>
        <v xml:space="preserve">Ajudante de pintor </v>
      </c>
      <c r="D1531" s="519"/>
      <c r="E1531" s="117" t="str">
        <f>IF(A1531&amp;B1531="","",VLOOKUP(A1531&amp;B1531,INSUMOS!C:G,3,0))</f>
        <v>h</v>
      </c>
      <c r="F1531" s="118">
        <v>0.35</v>
      </c>
      <c r="G1531" s="113">
        <f>IF(A1531&amp;B1531="","",VLOOKUP(A1531&amp;B1531,INSUMOS!C:G,4,0))</f>
        <v>10.985028</v>
      </c>
      <c r="H1531" s="119">
        <f t="shared" ref="H1531" si="249">IF(K1531="MO",TRUNC(F1531*G1531,2),"")</f>
        <v>3.84</v>
      </c>
      <c r="I1531" s="119" t="str">
        <f t="shared" ref="I1531" si="250">IF(K1531="MT",TRUNC(F1531*G1531,2),"")</f>
        <v/>
      </c>
      <c r="J1531" s="115" t="str">
        <f t="shared" ref="J1531" si="251">IF(K1531="EQ",TRUNC(F1531*G1531,2),"")</f>
        <v/>
      </c>
      <c r="K1531" s="102" t="str">
        <f>IF(A1531&amp;B1531="","",VLOOKUP(A1531&amp;B1531,INSUMOS!C:G,5,0))</f>
        <v>MO</v>
      </c>
    </row>
    <row r="1532" spans="1:17" ht="15" x14ac:dyDescent="0.25">
      <c r="A1532" s="109" t="s">
        <v>4398</v>
      </c>
      <c r="B1532" s="116">
        <v>28002</v>
      </c>
      <c r="C1532" s="518" t="str">
        <f>IF(A1532&amp;B1532="","",VLOOKUP(A1532&amp;B1532,INSUMOS!C:G,2,0))</f>
        <v>Solvente para materiais base epóxi</v>
      </c>
      <c r="D1532" s="519"/>
      <c r="E1532" s="117" t="str">
        <f>IF(A1532&amp;B1532="","",VLOOKUP(A1532&amp;B1532,INSUMOS!C:G,3,0))</f>
        <v>l</v>
      </c>
      <c r="F1532" s="118">
        <v>0.05</v>
      </c>
      <c r="G1532" s="113">
        <f>IF(A1532&amp;B1532="","",VLOOKUP(A1532&amp;B1532,INSUMOS!C:G,4,0))</f>
        <v>35.21</v>
      </c>
      <c r="H1532" s="119" t="str">
        <f>IF(K1532="MO",TRUNC(F1532*G1532,2),"")</f>
        <v/>
      </c>
      <c r="I1532" s="119">
        <f>IF(K1532="MT",TRUNC(F1532*G1532,2),"")</f>
        <v>1.76</v>
      </c>
      <c r="J1532" s="115" t="str">
        <f>IF(K1532="EQ",TRUNC(F1532*G1532,2),"")</f>
        <v/>
      </c>
      <c r="K1532" s="102" t="str">
        <f>IF(A1532&amp;B1532="","",VLOOKUP(A1532&amp;B1532,INSUMOS!C:G,5,0))</f>
        <v>MT</v>
      </c>
    </row>
    <row r="1533" spans="1:17" ht="15" x14ac:dyDescent="0.25">
      <c r="A1533" s="109" t="s">
        <v>4398</v>
      </c>
      <c r="B1533" s="116">
        <v>37545</v>
      </c>
      <c r="C1533" s="518" t="str">
        <f>IF(A1533&amp;B1533="","",VLOOKUP(A1533&amp;B1533,INSUMOS!C:G,2,0))</f>
        <v>Tinta-base epoxi</v>
      </c>
      <c r="D1533" s="519"/>
      <c r="E1533" s="117" t="str">
        <f>IF(A1533&amp;B1533="","",VLOOKUP(A1533&amp;B1533,INSUMOS!C:G,3,0))</f>
        <v>l</v>
      </c>
      <c r="F1533" s="118">
        <v>0.5</v>
      </c>
      <c r="G1533" s="113">
        <f>IF(A1533&amp;B1533="","",VLOOKUP(A1533&amp;B1533,INSUMOS!C:G,4,0))</f>
        <v>44.74</v>
      </c>
      <c r="H1533" s="119" t="str">
        <f>IF(K1533="MO",TRUNC(F1533*G1533,2),"")</f>
        <v/>
      </c>
      <c r="I1533" s="119">
        <f>IF(K1533="MT",TRUNC(F1533*G1533,2),"")</f>
        <v>22.37</v>
      </c>
      <c r="J1533" s="115" t="str">
        <f>IF(K1533="EQ",TRUNC(F1533*G1533,2),"")</f>
        <v/>
      </c>
      <c r="K1533" s="102" t="str">
        <f>IF(A1533&amp;B1533="","",VLOOKUP(A1533&amp;B1533,INSUMOS!C:G,5,0))</f>
        <v>MT</v>
      </c>
    </row>
    <row r="1534" spans="1:17" ht="15" x14ac:dyDescent="0.25">
      <c r="A1534" s="109"/>
      <c r="B1534" s="116"/>
      <c r="C1534" s="518" t="str">
        <f>IF(A1534&amp;B1534="","",VLOOKUP(A1534&amp;B1534,INSUMOS!C:G,2,0))</f>
        <v/>
      </c>
      <c r="D1534" s="519"/>
      <c r="E1534" s="117" t="str">
        <f>IF(A1534&amp;B1534="","",VLOOKUP(A1534&amp;B1534,INSUMOS!C:G,3,0))</f>
        <v/>
      </c>
      <c r="F1534" s="118"/>
      <c r="G1534" s="113" t="str">
        <f>IF(A1534&amp;B1534="","",VLOOKUP(A1534&amp;B1534,INSUMOS!C:G,4,0))</f>
        <v/>
      </c>
      <c r="H1534" s="119" t="str">
        <f t="shared" ref="H1534:H1541" si="252">IF(K1534="MO",TRUNC(F1534*G1534,2),"")</f>
        <v/>
      </c>
      <c r="I1534" s="119" t="str">
        <f t="shared" ref="I1534:I1541" si="253">IF(K1534="MT",TRUNC(F1534*G1534,2),"")</f>
        <v/>
      </c>
      <c r="J1534" s="115" t="str">
        <f t="shared" ref="J1534:J1541" si="254">IF(K1534="EQ",TRUNC(F1534*G1534,2),"")</f>
        <v/>
      </c>
      <c r="K1534" s="102" t="str">
        <f>IF(A1534&amp;B1534="","",VLOOKUP(A1534&amp;B1534,INSUMOS!C:G,5,0))</f>
        <v/>
      </c>
    </row>
    <row r="1535" spans="1:17" ht="30" customHeight="1" x14ac:dyDescent="0.25">
      <c r="A1535" s="109"/>
      <c r="B1535" s="116"/>
      <c r="C1535" s="518" t="str">
        <f>IF(A1535&amp;B1535="","",VLOOKUP(A1535&amp;B1535,INSUMOS!C:G,2,0))</f>
        <v/>
      </c>
      <c r="D1535" s="519"/>
      <c r="E1535" s="117" t="str">
        <f>IF(A1535&amp;B1535="","",VLOOKUP(A1535&amp;B1535,INSUMOS!C:G,3,0))</f>
        <v/>
      </c>
      <c r="F1535" s="118"/>
      <c r="G1535" s="113" t="str">
        <f>IF(A1535&amp;B1535="","",VLOOKUP(A1535&amp;B1535,INSUMOS!C:G,4,0))</f>
        <v/>
      </c>
      <c r="H1535" s="119" t="str">
        <f t="shared" si="252"/>
        <v/>
      </c>
      <c r="I1535" s="119" t="str">
        <f t="shared" si="253"/>
        <v/>
      </c>
      <c r="J1535" s="115" t="str">
        <f t="shared" si="254"/>
        <v/>
      </c>
      <c r="K1535" s="102" t="str">
        <f>IF(A1535&amp;B1535="","",VLOOKUP(A1535&amp;B1535,INSUMOS!C:G,5,0))</f>
        <v/>
      </c>
    </row>
    <row r="1536" spans="1:17" ht="15" x14ac:dyDescent="0.25">
      <c r="A1536" s="109"/>
      <c r="B1536" s="116"/>
      <c r="C1536" s="518" t="str">
        <f>IF(A1536&amp;B1536="","",VLOOKUP(A1536&amp;B1536,INSUMOS!C:G,2,0))</f>
        <v/>
      </c>
      <c r="D1536" s="519"/>
      <c r="E1536" s="117" t="str">
        <f>IF(A1536&amp;B1536="","",VLOOKUP(A1536&amp;B1536,INSUMOS!C:G,3,0))</f>
        <v/>
      </c>
      <c r="F1536" s="118"/>
      <c r="G1536" s="113" t="str">
        <f>IF(A1536&amp;B1536="","",VLOOKUP(A1536&amp;B1536,INSUMOS!C:G,4,0))</f>
        <v/>
      </c>
      <c r="H1536" s="119" t="str">
        <f t="shared" si="252"/>
        <v/>
      </c>
      <c r="I1536" s="119" t="str">
        <f t="shared" si="253"/>
        <v/>
      </c>
      <c r="J1536" s="115" t="str">
        <f t="shared" si="254"/>
        <v/>
      </c>
      <c r="K1536" s="102" t="str">
        <f>IF(A1536&amp;B1536="","",VLOOKUP(A1536&amp;B1536,INSUMOS!C:G,5,0))</f>
        <v/>
      </c>
    </row>
    <row r="1537" spans="1:17" ht="15" x14ac:dyDescent="0.25">
      <c r="A1537" s="109"/>
      <c r="B1537" s="116"/>
      <c r="C1537" s="518" t="str">
        <f>IF(A1537&amp;B1537="","",VLOOKUP(A1537&amp;B1537,INSUMOS!C:G,2,0))</f>
        <v/>
      </c>
      <c r="D1537" s="519"/>
      <c r="E1537" s="117" t="str">
        <f>IF(A1537&amp;B1537="","",VLOOKUP(A1537&amp;B1537,INSUMOS!C:G,3,0))</f>
        <v/>
      </c>
      <c r="F1537" s="118"/>
      <c r="G1537" s="113" t="str">
        <f>IF(A1537&amp;B1537="","",VLOOKUP(A1537&amp;B1537,INSUMOS!C:G,4,0))</f>
        <v/>
      </c>
      <c r="H1537" s="119" t="str">
        <f t="shared" si="252"/>
        <v/>
      </c>
      <c r="I1537" s="119" t="str">
        <f t="shared" si="253"/>
        <v/>
      </c>
      <c r="J1537" s="115" t="str">
        <f t="shared" si="254"/>
        <v/>
      </c>
      <c r="K1537" s="102" t="str">
        <f>IF(A1537&amp;B1537="","",VLOOKUP(A1537&amp;B1537,INSUMOS!C:G,5,0))</f>
        <v/>
      </c>
    </row>
    <row r="1538" spans="1:17" ht="15" x14ac:dyDescent="0.25">
      <c r="A1538" s="109"/>
      <c r="B1538" s="116"/>
      <c r="C1538" s="518" t="str">
        <f>IF(A1538&amp;B1538="","",VLOOKUP(A1538&amp;B1538,INSUMOS!C:G,2,0))</f>
        <v/>
      </c>
      <c r="D1538" s="519"/>
      <c r="E1538" s="117" t="str">
        <f>IF(A1538&amp;B1538="","",VLOOKUP(A1538&amp;B1538,INSUMOS!C:G,3,0))</f>
        <v/>
      </c>
      <c r="F1538" s="118"/>
      <c r="G1538" s="113" t="str">
        <f>IF(A1538&amp;B1538="","",VLOOKUP(A1538&amp;B1538,INSUMOS!C:G,4,0))</f>
        <v/>
      </c>
      <c r="H1538" s="119" t="str">
        <f t="shared" si="252"/>
        <v/>
      </c>
      <c r="I1538" s="119" t="str">
        <f t="shared" si="253"/>
        <v/>
      </c>
      <c r="J1538" s="115" t="str">
        <f t="shared" si="254"/>
        <v/>
      </c>
      <c r="K1538" s="102" t="str">
        <f>IF(A1538&amp;B1538="","",VLOOKUP(A1538&amp;B1538,INSUMOS!C:G,5,0))</f>
        <v/>
      </c>
    </row>
    <row r="1539" spans="1:17" ht="15" x14ac:dyDescent="0.25">
      <c r="A1539" s="120"/>
      <c r="B1539" s="121"/>
      <c r="C1539" s="518" t="str">
        <f>IF(A1539&amp;B1539="","",VLOOKUP(A1539&amp;B1539,INSUMOS!C:G,2,0))</f>
        <v/>
      </c>
      <c r="D1539" s="519"/>
      <c r="E1539" s="117" t="str">
        <f>IF(A1539&amp;B1539="","",VLOOKUP(A1539&amp;B1539,INSUMOS!C:G,3,0))</f>
        <v/>
      </c>
      <c r="F1539" s="118"/>
      <c r="G1539" s="122" t="str">
        <f>IF(A1539&amp;B1539="","",VLOOKUP(A1539&amp;B1539,INSUMOS!C:G,4,0))</f>
        <v/>
      </c>
      <c r="H1539" s="119" t="str">
        <f t="shared" si="252"/>
        <v/>
      </c>
      <c r="I1539" s="119" t="str">
        <f t="shared" si="253"/>
        <v/>
      </c>
      <c r="J1539" s="115" t="str">
        <f t="shared" si="254"/>
        <v/>
      </c>
      <c r="K1539" s="102" t="str">
        <f>IF(A1539&amp;B1539="","",VLOOKUP(A1539&amp;B1539,INSUMOS!C:G,5,0))</f>
        <v/>
      </c>
    </row>
    <row r="1540" spans="1:17" ht="15" x14ac:dyDescent="0.25">
      <c r="A1540" s="120"/>
      <c r="B1540" s="121"/>
      <c r="C1540" s="518" t="str">
        <f>IF(A1540&amp;B1540="","",VLOOKUP(A1540&amp;B1540,INSUMOS!C:G,2,0))</f>
        <v/>
      </c>
      <c r="D1540" s="519"/>
      <c r="E1540" s="117" t="str">
        <f>IF(A1540&amp;B1540="","",VLOOKUP(A1540&amp;B1540,INSUMOS!C:G,3,0))</f>
        <v/>
      </c>
      <c r="F1540" s="118"/>
      <c r="G1540" s="122" t="str">
        <f>IF(A1540&amp;B1540="","",VLOOKUP(A1540&amp;B1540,INSUMOS!C:G,4,0))</f>
        <v/>
      </c>
      <c r="H1540" s="119" t="str">
        <f t="shared" si="252"/>
        <v/>
      </c>
      <c r="I1540" s="119" t="str">
        <f t="shared" si="253"/>
        <v/>
      </c>
      <c r="J1540" s="115" t="str">
        <f t="shared" si="254"/>
        <v/>
      </c>
      <c r="K1540" s="102" t="str">
        <f>IF(A1540&amp;B1540="","",VLOOKUP(A1540&amp;B1540,INSUMOS!C:G,5,0))</f>
        <v/>
      </c>
    </row>
    <row r="1541" spans="1:17" ht="15" x14ac:dyDescent="0.25">
      <c r="A1541" s="120"/>
      <c r="B1541" s="121"/>
      <c r="C1541" s="518" t="str">
        <f>IF(A1541&amp;B1541="","",VLOOKUP(A1541&amp;B1541,INSUMOS!C:G,2,0))</f>
        <v/>
      </c>
      <c r="D1541" s="519"/>
      <c r="E1541" s="117" t="str">
        <f>IF(A1541&amp;B1541="","",VLOOKUP(A1541&amp;B1541,INSUMOS!C:G,3,0))</f>
        <v/>
      </c>
      <c r="F1541" s="118"/>
      <c r="G1541" s="122" t="str">
        <f>IF(A1541&amp;B1541="","",VLOOKUP(A1541&amp;B1541,INSUMOS!C:G,4,0))</f>
        <v/>
      </c>
      <c r="H1541" s="119" t="str">
        <f t="shared" si="252"/>
        <v/>
      </c>
      <c r="I1541" s="119" t="str">
        <f t="shared" si="253"/>
        <v/>
      </c>
      <c r="J1541" s="115" t="str">
        <f t="shared" si="254"/>
        <v/>
      </c>
      <c r="K1541" s="102" t="str">
        <f>IF(A1541&amp;B1541="","",VLOOKUP(A1541&amp;B1541,INSUMOS!C:G,5,0))</f>
        <v/>
      </c>
    </row>
    <row r="1542" spans="1:17" ht="15" x14ac:dyDescent="0.25">
      <c r="A1542" s="123" t="s">
        <v>4399</v>
      </c>
      <c r="B1542" s="520"/>
      <c r="C1542" s="520"/>
      <c r="D1542" s="520"/>
      <c r="E1542" s="520"/>
      <c r="F1542" s="521"/>
      <c r="G1542" s="124" t="s">
        <v>50</v>
      </c>
      <c r="H1542" s="125">
        <f>SUM(H1530:H1541)</f>
        <v>9.51</v>
      </c>
      <c r="I1542" s="125">
        <f>SUM(I1530:I1541)</f>
        <v>24.130000000000003</v>
      </c>
      <c r="J1542" s="126">
        <f>SUM(J1530:J1541)</f>
        <v>0</v>
      </c>
    </row>
    <row r="1543" spans="1:17" ht="15" x14ac:dyDescent="0.25">
      <c r="A1543" s="127" t="s">
        <v>4400</v>
      </c>
      <c r="B1543" s="128"/>
      <c r="C1543" s="128"/>
      <c r="D1543" s="127" t="s">
        <v>51</v>
      </c>
      <c r="E1543" s="128"/>
      <c r="F1543" s="129"/>
      <c r="G1543" s="130" t="s">
        <v>55</v>
      </c>
      <c r="H1543" s="131" t="s">
        <v>52</v>
      </c>
      <c r="I1543" s="132"/>
      <c r="J1543" s="125">
        <f>SUM(H1542:J1542)</f>
        <v>33.64</v>
      </c>
    </row>
    <row r="1544" spans="1:17" ht="15" x14ac:dyDescent="0.25">
      <c r="A1544" s="313" t="str">
        <f>$I$3</f>
        <v>Carlos Wieck</v>
      </c>
      <c r="B1544" s="133"/>
      <c r="C1544" s="133"/>
      <c r="D1544" s="134"/>
      <c r="E1544" s="133"/>
      <c r="F1544" s="135"/>
      <c r="G1544" s="522">
        <f>$J$5</f>
        <v>43040</v>
      </c>
      <c r="H1544" s="136" t="s">
        <v>53</v>
      </c>
      <c r="I1544" s="137"/>
      <c r="J1544" s="125">
        <f>TRUNC(I1544*J1543,2)</f>
        <v>0</v>
      </c>
    </row>
    <row r="1545" spans="1:17" ht="15" x14ac:dyDescent="0.25">
      <c r="A1545" s="138"/>
      <c r="B1545" s="139"/>
      <c r="C1545" s="139"/>
      <c r="D1545" s="138"/>
      <c r="E1545" s="139"/>
      <c r="F1545" s="140"/>
      <c r="G1545" s="523"/>
      <c r="H1545" s="141" t="s">
        <v>54</v>
      </c>
      <c r="I1545" s="142"/>
      <c r="J1545" s="143">
        <f>J1544+J1543</f>
        <v>33.64</v>
      </c>
      <c r="L1545" s="102" t="str">
        <f>A1527</f>
        <v>COMPOSIÇÃO</v>
      </c>
      <c r="M1545" s="144" t="str">
        <f>B1527</f>
        <v>FF-061</v>
      </c>
      <c r="N1545" s="102" t="str">
        <f>L1545&amp;M1545</f>
        <v>COMPOSIÇÃOFF-061</v>
      </c>
      <c r="O1545" s="103" t="str">
        <f>D1526</f>
        <v>Piso de poliuretano autonivelante monolítico flexível com acabamento em sistema de pintura poliuretânica alifática, com alta resistência à abrasão, a derramamentos químicos e a raios U.V. E = 3 mm. Referência: Duracolor. 
Instalado sobre painéis com miolo de madeira contraplacado por lâminas de madeira e externamente por chapas em CRFS - espessura de 40 mm</v>
      </c>
      <c r="P1545" s="145" t="str">
        <f>J1527</f>
        <v>m²</v>
      </c>
      <c r="Q1545" s="145">
        <f>J1545</f>
        <v>33.64</v>
      </c>
    </row>
    <row r="1546" spans="1:17" ht="15" x14ac:dyDescent="0.25">
      <c r="A1546" s="524" t="s">
        <v>40</v>
      </c>
      <c r="B1546" s="525"/>
      <c r="C1546" s="104" t="s">
        <v>41</v>
      </c>
      <c r="D1546" s="526" t="str">
        <f>IF(B1547="","",VLOOKUP(B1547,SERVIÇOS!B:E,3,0))</f>
        <v>Deck de madeira com pranchas de Pinus tratado em autoclave impermeabilizado, L = 100 mm e E = 20 mm</v>
      </c>
      <c r="E1546" s="526"/>
      <c r="F1546" s="526"/>
      <c r="G1546" s="526"/>
      <c r="H1546" s="526"/>
      <c r="I1546" s="527"/>
      <c r="J1546" s="105" t="s">
        <v>42</v>
      </c>
    </row>
    <row r="1547" spans="1:17" ht="15" x14ac:dyDescent="0.25">
      <c r="A1547" s="230" t="s">
        <v>4715</v>
      </c>
      <c r="B1547" s="230" t="s">
        <v>5079</v>
      </c>
      <c r="C1547" s="106"/>
      <c r="D1547" s="528"/>
      <c r="E1547" s="528"/>
      <c r="F1547" s="528"/>
      <c r="G1547" s="528"/>
      <c r="H1547" s="528"/>
      <c r="I1547" s="529"/>
      <c r="J1547" s="107" t="str">
        <f>IF(B1547="","",VLOOKUP(B1547,SERVIÇOS!B:E,4,0))</f>
        <v>m²</v>
      </c>
    </row>
    <row r="1548" spans="1:17" ht="15" x14ac:dyDescent="0.25">
      <c r="A1548" s="530" t="s">
        <v>4397</v>
      </c>
      <c r="B1548" s="531" t="s">
        <v>11</v>
      </c>
      <c r="C1548" s="533" t="s">
        <v>43</v>
      </c>
      <c r="D1548" s="534"/>
      <c r="E1548" s="530" t="s">
        <v>13</v>
      </c>
      <c r="F1548" s="530" t="s">
        <v>44</v>
      </c>
      <c r="G1548" s="538" t="s">
        <v>45</v>
      </c>
      <c r="H1548" s="108" t="s">
        <v>46</v>
      </c>
      <c r="I1548" s="108"/>
      <c r="J1548" s="108"/>
    </row>
    <row r="1549" spans="1:17" ht="15" x14ac:dyDescent="0.25">
      <c r="A1549" s="530"/>
      <c r="B1549" s="532"/>
      <c r="C1549" s="535"/>
      <c r="D1549" s="536"/>
      <c r="E1549" s="537"/>
      <c r="F1549" s="537"/>
      <c r="G1549" s="539"/>
      <c r="H1549" s="108" t="s">
        <v>47</v>
      </c>
      <c r="I1549" s="108" t="s">
        <v>48</v>
      </c>
      <c r="J1549" s="108" t="s">
        <v>49</v>
      </c>
    </row>
    <row r="1550" spans="1:17" ht="15" x14ac:dyDescent="0.25">
      <c r="A1550" s="109" t="s">
        <v>4398</v>
      </c>
      <c r="B1550" s="116">
        <v>10111</v>
      </c>
      <c r="C1550" s="540" t="str">
        <f>IF(A1550&amp;B1550="","",VLOOKUP(A1550&amp;B1550,INSUMOS!C:G,2,0))</f>
        <v>Carpinteiro</v>
      </c>
      <c r="D1550" s="541"/>
      <c r="E1550" s="111" t="str">
        <f>IF(A1550&amp;B1550="","",VLOOKUP(A1550&amp;B1550,INSUMOS!C:G,3,0))</f>
        <v>h</v>
      </c>
      <c r="F1550" s="112">
        <v>1</v>
      </c>
      <c r="G1550" s="113">
        <f>IF(A1550&amp;B1550="","",VLOOKUP(A1550&amp;B1550,INSUMOS!C:G,4,0))</f>
        <v>13.380699</v>
      </c>
      <c r="H1550" s="114">
        <f>IF(K1550="MO",TRUNC(F1550*G1550,2),"")</f>
        <v>13.38</v>
      </c>
      <c r="I1550" s="114" t="str">
        <f>IF(K1550="MT",TRUNC(F1550*G1550,2),"")</f>
        <v/>
      </c>
      <c r="J1550" s="115" t="str">
        <f>IF(K1550="EQ",TRUNC(F1550*G1550,2),"")</f>
        <v/>
      </c>
      <c r="K1550" s="102" t="str">
        <f>IF(A1550&amp;B1550="","",VLOOKUP(A1550&amp;B1550,INSUMOS!C:G,5,0))</f>
        <v>MO</v>
      </c>
    </row>
    <row r="1551" spans="1:17" ht="15" x14ac:dyDescent="0.25">
      <c r="A1551" s="109" t="s">
        <v>4398</v>
      </c>
      <c r="B1551" s="116">
        <v>10112</v>
      </c>
      <c r="C1551" s="518" t="str">
        <f>IF(A1551&amp;B1551="","",VLOOKUP(A1551&amp;B1551,INSUMOS!C:G,2,0))</f>
        <v>Ajudante de carpinteiro</v>
      </c>
      <c r="D1551" s="519"/>
      <c r="E1551" s="117" t="str">
        <f>IF(A1551&amp;B1551="","",VLOOKUP(A1551&amp;B1551,INSUMOS!C:G,3,0))</f>
        <v>h</v>
      </c>
      <c r="F1551" s="118">
        <v>1</v>
      </c>
      <c r="G1551" s="113">
        <f>IF(A1551&amp;B1551="","",VLOOKUP(A1551&amp;B1551,INSUMOS!C:G,4,0))</f>
        <v>10.985028</v>
      </c>
      <c r="H1551" s="119">
        <f t="shared" ref="H1551" si="255">IF(K1551="MO",TRUNC(F1551*G1551,2),"")</f>
        <v>10.98</v>
      </c>
      <c r="I1551" s="119" t="str">
        <f t="shared" ref="I1551" si="256">IF(K1551="MT",TRUNC(F1551*G1551,2),"")</f>
        <v/>
      </c>
      <c r="J1551" s="115" t="str">
        <f t="shared" ref="J1551" si="257">IF(K1551="EQ",TRUNC(F1551*G1551,2),"")</f>
        <v/>
      </c>
      <c r="K1551" s="102" t="str">
        <f>IF(A1551&amp;B1551="","",VLOOKUP(A1551&amp;B1551,INSUMOS!C:G,5,0))</f>
        <v>MO</v>
      </c>
    </row>
    <row r="1552" spans="1:17" ht="15" x14ac:dyDescent="0.25">
      <c r="A1552" s="109" t="s">
        <v>4398</v>
      </c>
      <c r="B1552" s="116">
        <v>10139</v>
      </c>
      <c r="C1552" s="518" t="str">
        <f>IF(A1552&amp;B1552="","",VLOOKUP(A1552&amp;B1552,INSUMOS!C:G,2,0))</f>
        <v xml:space="preserve">Pedreiro </v>
      </c>
      <c r="D1552" s="519"/>
      <c r="E1552" s="117" t="str">
        <f>IF(A1552&amp;B1552="","",VLOOKUP(A1552&amp;B1552,INSUMOS!C:G,3,0))</f>
        <v>h</v>
      </c>
      <c r="F1552" s="118">
        <v>0.3</v>
      </c>
      <c r="G1552" s="113">
        <f>IF(A1552&amp;B1552="","",VLOOKUP(A1552&amp;B1552,INSUMOS!C:G,4,0))</f>
        <v>13.731285</v>
      </c>
      <c r="H1552" s="119">
        <f>IF(K1552="MO",TRUNC(F1552*G1552,2),"")</f>
        <v>4.1100000000000003</v>
      </c>
      <c r="I1552" s="119" t="str">
        <f>IF(K1552="MT",TRUNC(F1552*G1552,2),"")</f>
        <v/>
      </c>
      <c r="J1552" s="115" t="str">
        <f>IF(K1552="EQ",TRUNC(F1552*G1552,2),"")</f>
        <v/>
      </c>
      <c r="K1552" s="102" t="str">
        <f>IF(A1552&amp;B1552="","",VLOOKUP(A1552&amp;B1552,INSUMOS!C:G,5,0))</f>
        <v>MO</v>
      </c>
    </row>
    <row r="1553" spans="1:17" ht="15" x14ac:dyDescent="0.25">
      <c r="A1553" s="109" t="s">
        <v>4398</v>
      </c>
      <c r="B1553" s="116">
        <v>10146</v>
      </c>
      <c r="C1553" s="518" t="str">
        <f>IF(A1553&amp;B1553="","",VLOOKUP(A1553&amp;B1553,INSUMOS!C:G,2,0))</f>
        <v>Servente</v>
      </c>
      <c r="D1553" s="519"/>
      <c r="E1553" s="117" t="str">
        <f>IF(A1553&amp;B1553="","",VLOOKUP(A1553&amp;B1553,INSUMOS!C:G,3,0))</f>
        <v>h</v>
      </c>
      <c r="F1553" s="118">
        <v>0.8</v>
      </c>
      <c r="G1553" s="113">
        <f>IF(A1553&amp;B1553="","",VLOOKUP(A1553&amp;B1553,INSUMOS!C:G,4,0))</f>
        <v>11.335614</v>
      </c>
      <c r="H1553" s="119">
        <f>IF(K1553="MO",TRUNC(F1553*G1553,2),"")</f>
        <v>9.06</v>
      </c>
      <c r="I1553" s="119" t="str">
        <f>IF(K1553="MT",TRUNC(F1553*G1553,2),"")</f>
        <v/>
      </c>
      <c r="J1553" s="115" t="str">
        <f>IF(K1553="EQ",TRUNC(F1553*G1553,2),"")</f>
        <v/>
      </c>
      <c r="K1553" s="102" t="str">
        <f>IF(A1553&amp;B1553="","",VLOOKUP(A1553&amp;B1553,INSUMOS!C:G,5,0))</f>
        <v>MO</v>
      </c>
    </row>
    <row r="1554" spans="1:17" ht="15" x14ac:dyDescent="0.25">
      <c r="A1554" s="109" t="s">
        <v>4398</v>
      </c>
      <c r="B1554" s="116">
        <v>39040</v>
      </c>
      <c r="C1554" s="518" t="str">
        <f>IF(A1554&amp;B1554="","",VLOOKUP(A1554&amp;B1554,INSUMOS!C:G,2,0))</f>
        <v>Argamassa de cimento e areia - média 1:5</v>
      </c>
      <c r="D1554" s="519"/>
      <c r="E1554" s="117" t="str">
        <f>IF(A1554&amp;B1554="","",VLOOKUP(A1554&amp;B1554,INSUMOS!C:G,3,0))</f>
        <v>m³</v>
      </c>
      <c r="F1554" s="118">
        <v>2.5000000000000001E-2</v>
      </c>
      <c r="G1554" s="113">
        <f>IF(A1554&amp;B1554="","",VLOOKUP(A1554&amp;B1554,INSUMOS!C:G,4,0))</f>
        <v>339.93</v>
      </c>
      <c r="H1554" s="119" t="str">
        <f t="shared" ref="H1554:H1561" si="258">IF(K1554="MO",TRUNC(F1554*G1554,2),"")</f>
        <v/>
      </c>
      <c r="I1554" s="119">
        <f t="shared" ref="I1554:I1561" si="259">IF(K1554="MT",TRUNC(F1554*G1554,2),"")</f>
        <v>8.49</v>
      </c>
      <c r="J1554" s="115" t="str">
        <f t="shared" ref="J1554:J1561" si="260">IF(K1554="EQ",TRUNC(F1554*G1554,2),"")</f>
        <v/>
      </c>
      <c r="K1554" s="102" t="str">
        <f>IF(A1554&amp;B1554="","",VLOOKUP(A1554&amp;B1554,INSUMOS!C:G,5,0))</f>
        <v>MT</v>
      </c>
    </row>
    <row r="1555" spans="1:17" ht="30" customHeight="1" x14ac:dyDescent="0.25">
      <c r="A1555" s="109" t="s">
        <v>4398</v>
      </c>
      <c r="B1555" s="116">
        <v>24028</v>
      </c>
      <c r="C1555" s="518" t="str">
        <f>IF(A1555&amp;B1555="","",VLOOKUP(A1555&amp;B1555,INSUMOS!C:G,2,0))</f>
        <v>Hidrorrepelente a base de silano-siloxano oligomérico disperso em solvente, ref. Denver HR da Denver, Nitoprimer 40 da Fosroc</v>
      </c>
      <c r="D1555" s="519"/>
      <c r="E1555" s="117" t="str">
        <f>IF(A1555&amp;B1555="","",VLOOKUP(A1555&amp;B1555,INSUMOS!C:G,3,0))</f>
        <v>L</v>
      </c>
      <c r="F1555" s="118">
        <v>0.3</v>
      </c>
      <c r="G1555" s="113">
        <f>IF(A1555&amp;B1555="","",VLOOKUP(A1555&amp;B1555,INSUMOS!C:G,4,0))</f>
        <v>19.13</v>
      </c>
      <c r="H1555" s="119" t="str">
        <f t="shared" si="258"/>
        <v/>
      </c>
      <c r="I1555" s="119">
        <f t="shared" si="259"/>
        <v>5.73</v>
      </c>
      <c r="J1555" s="115" t="str">
        <f t="shared" si="260"/>
        <v/>
      </c>
      <c r="K1555" s="102" t="str">
        <f>IF(A1555&amp;B1555="","",VLOOKUP(A1555&amp;B1555,INSUMOS!C:G,5,0))</f>
        <v>MT</v>
      </c>
    </row>
    <row r="1556" spans="1:17" ht="15" x14ac:dyDescent="0.25">
      <c r="A1556" s="109" t="s">
        <v>4398</v>
      </c>
      <c r="B1556" s="116">
        <v>26760</v>
      </c>
      <c r="C1556" s="518" t="str">
        <f>IF(A1556&amp;B1556="","",VLOOKUP(A1556&amp;B1556,INSUMOS!C:G,2,0))</f>
        <v>Prego diversas bitolas (referência 18 x 27)</v>
      </c>
      <c r="D1556" s="519"/>
      <c r="E1556" s="117" t="str">
        <f>IF(A1556&amp;B1556="","",VLOOKUP(A1556&amp;B1556,INSUMOS!C:G,3,0))</f>
        <v>kg</v>
      </c>
      <c r="F1556" s="118">
        <v>0.26</v>
      </c>
      <c r="G1556" s="113">
        <f>IF(A1556&amp;B1556="","",VLOOKUP(A1556&amp;B1556,INSUMOS!C:G,4,0))</f>
        <v>5.0999999999999996</v>
      </c>
      <c r="H1556" s="119" t="str">
        <f t="shared" si="258"/>
        <v/>
      </c>
      <c r="I1556" s="119">
        <f t="shared" si="259"/>
        <v>1.32</v>
      </c>
      <c r="J1556" s="115" t="str">
        <f t="shared" si="260"/>
        <v/>
      </c>
      <c r="K1556" s="102" t="str">
        <f>IF(A1556&amp;B1556="","",VLOOKUP(A1556&amp;B1556,INSUMOS!C:G,5,0))</f>
        <v>MT</v>
      </c>
    </row>
    <row r="1557" spans="1:17" ht="15" x14ac:dyDescent="0.25">
      <c r="A1557" s="109" t="s">
        <v>5339</v>
      </c>
      <c r="B1557" s="116">
        <v>35072</v>
      </c>
      <c r="C1557" s="518" t="str">
        <f>IF(A1557&amp;B1557="","",VLOOKUP(A1557&amp;B1557,INSUMOS!C:G,2,0))</f>
        <v>Assoalho em cumaru com encaixe macho e fêmea</v>
      </c>
      <c r="D1557" s="519"/>
      <c r="E1557" s="117" t="str">
        <f>IF(A1557&amp;B1557="","",VLOOKUP(A1557&amp;B1557,INSUMOS!C:G,3,0))</f>
        <v>m²</v>
      </c>
      <c r="F1557" s="118">
        <v>1.1000000000000001</v>
      </c>
      <c r="G1557" s="113">
        <f>IF(A1557&amp;B1557="","",VLOOKUP(A1557&amp;B1557,INSUMOS!C:G,4,0))</f>
        <v>150.53</v>
      </c>
      <c r="H1557" s="119" t="str">
        <f t="shared" si="258"/>
        <v/>
      </c>
      <c r="I1557" s="119">
        <f t="shared" si="259"/>
        <v>165.58</v>
      </c>
      <c r="J1557" s="115" t="str">
        <f t="shared" si="260"/>
        <v/>
      </c>
      <c r="K1557" s="102" t="str">
        <f>IF(A1557&amp;B1557="","",VLOOKUP(A1557&amp;B1557,INSUMOS!C:G,5,0))</f>
        <v>MT</v>
      </c>
    </row>
    <row r="1558" spans="1:17" ht="15" x14ac:dyDescent="0.25">
      <c r="A1558" s="109" t="s">
        <v>5339</v>
      </c>
      <c r="B1558" s="116">
        <v>39005</v>
      </c>
      <c r="C1558" s="518" t="str">
        <f>IF(A1558&amp;B1558="","",VLOOKUP(A1558&amp;B1558,INSUMOS!C:G,2,0))</f>
        <v>Barrote de madeira para assoalho</v>
      </c>
      <c r="D1558" s="519"/>
      <c r="E1558" s="117" t="str">
        <f>IF(A1558&amp;B1558="","",VLOOKUP(A1558&amp;B1558,INSUMOS!C:G,3,0))</f>
        <v>m</v>
      </c>
      <c r="F1558" s="118">
        <v>3</v>
      </c>
      <c r="G1558" s="113">
        <f>IF(A1558&amp;B1558="","",VLOOKUP(A1558&amp;B1558,INSUMOS!C:G,4,0))</f>
        <v>10.130000000000001</v>
      </c>
      <c r="H1558" s="119" t="str">
        <f t="shared" si="258"/>
        <v/>
      </c>
      <c r="I1558" s="119">
        <f t="shared" si="259"/>
        <v>30.39</v>
      </c>
      <c r="J1558" s="115" t="str">
        <f t="shared" si="260"/>
        <v/>
      </c>
      <c r="K1558" s="102" t="str">
        <f>IF(A1558&amp;B1558="","",VLOOKUP(A1558&amp;B1558,INSUMOS!C:G,5,0))</f>
        <v>MT</v>
      </c>
    </row>
    <row r="1559" spans="1:17" ht="15" x14ac:dyDescent="0.25">
      <c r="A1559" s="120" t="s">
        <v>4398</v>
      </c>
      <c r="B1559" s="121">
        <v>330533</v>
      </c>
      <c r="C1559" s="518" t="str">
        <f>IF(A1559&amp;B1559="","",VLOOKUP(A1559&amp;B1559,INSUMOS!C:G,2,0))</f>
        <v>Verniz em superfície de madeira</v>
      </c>
      <c r="D1559" s="519"/>
      <c r="E1559" s="117" t="str">
        <f>IF(A1559&amp;B1559="","",VLOOKUP(A1559&amp;B1559,INSUMOS!C:G,3,0))</f>
        <v>m²</v>
      </c>
      <c r="F1559" s="118">
        <v>1.05</v>
      </c>
      <c r="G1559" s="122">
        <f>IF(A1559&amp;B1559="","",VLOOKUP(A1559&amp;B1559,INSUMOS!C:G,4,0))</f>
        <v>13.23</v>
      </c>
      <c r="H1559" s="119" t="str">
        <f t="shared" si="258"/>
        <v/>
      </c>
      <c r="I1559" s="119">
        <f t="shared" si="259"/>
        <v>13.89</v>
      </c>
      <c r="J1559" s="115" t="str">
        <f t="shared" si="260"/>
        <v/>
      </c>
      <c r="K1559" s="102" t="str">
        <f>IF(A1559&amp;B1559="","",VLOOKUP(A1559&amp;B1559,INSUMOS!C:G,5,0))</f>
        <v>MT</v>
      </c>
    </row>
    <row r="1560" spans="1:17" ht="15" x14ac:dyDescent="0.25">
      <c r="A1560" s="120"/>
      <c r="B1560" s="121"/>
      <c r="C1560" s="518" t="str">
        <f>IF(A1560&amp;B1560="","",VLOOKUP(A1560&amp;B1560,INSUMOS!C:G,2,0))</f>
        <v/>
      </c>
      <c r="D1560" s="519"/>
      <c r="E1560" s="117" t="str">
        <f>IF(A1560&amp;B1560="","",VLOOKUP(A1560&amp;B1560,INSUMOS!C:G,3,0))</f>
        <v/>
      </c>
      <c r="F1560" s="118"/>
      <c r="G1560" s="122" t="str">
        <f>IF(A1560&amp;B1560="","",VLOOKUP(A1560&amp;B1560,INSUMOS!C:G,4,0))</f>
        <v/>
      </c>
      <c r="H1560" s="119" t="str">
        <f t="shared" si="258"/>
        <v/>
      </c>
      <c r="I1560" s="119" t="str">
        <f t="shared" si="259"/>
        <v/>
      </c>
      <c r="J1560" s="115" t="str">
        <f t="shared" si="260"/>
        <v/>
      </c>
      <c r="K1560" s="102" t="str">
        <f>IF(A1560&amp;B1560="","",VLOOKUP(A1560&amp;B1560,INSUMOS!C:G,5,0))</f>
        <v/>
      </c>
    </row>
    <row r="1561" spans="1:17" ht="15" x14ac:dyDescent="0.25">
      <c r="A1561" s="120"/>
      <c r="B1561" s="121"/>
      <c r="C1561" s="518" t="str">
        <f>IF(A1561&amp;B1561="","",VLOOKUP(A1561&amp;B1561,INSUMOS!C:G,2,0))</f>
        <v/>
      </c>
      <c r="D1561" s="519"/>
      <c r="E1561" s="117" t="str">
        <f>IF(A1561&amp;B1561="","",VLOOKUP(A1561&amp;B1561,INSUMOS!C:G,3,0))</f>
        <v/>
      </c>
      <c r="F1561" s="118"/>
      <c r="G1561" s="122" t="str">
        <f>IF(A1561&amp;B1561="","",VLOOKUP(A1561&amp;B1561,INSUMOS!C:G,4,0))</f>
        <v/>
      </c>
      <c r="H1561" s="119" t="str">
        <f t="shared" si="258"/>
        <v/>
      </c>
      <c r="I1561" s="119" t="str">
        <f t="shared" si="259"/>
        <v/>
      </c>
      <c r="J1561" s="115" t="str">
        <f t="shared" si="260"/>
        <v/>
      </c>
      <c r="K1561" s="102" t="str">
        <f>IF(A1561&amp;B1561="","",VLOOKUP(A1561&amp;B1561,INSUMOS!C:G,5,0))</f>
        <v/>
      </c>
    </row>
    <row r="1562" spans="1:17" ht="15" x14ac:dyDescent="0.25">
      <c r="A1562" s="123" t="s">
        <v>4399</v>
      </c>
      <c r="B1562" s="520"/>
      <c r="C1562" s="520"/>
      <c r="D1562" s="520"/>
      <c r="E1562" s="520"/>
      <c r="F1562" s="521"/>
      <c r="G1562" s="124" t="s">
        <v>50</v>
      </c>
      <c r="H1562" s="125">
        <f>SUM(H1550:H1561)</f>
        <v>37.53</v>
      </c>
      <c r="I1562" s="125">
        <f>SUM(I1550:I1561)</f>
        <v>225.39999999999998</v>
      </c>
      <c r="J1562" s="126">
        <f>SUM(J1550:J1561)</f>
        <v>0</v>
      </c>
    </row>
    <row r="1563" spans="1:17" ht="15" x14ac:dyDescent="0.25">
      <c r="A1563" s="127" t="s">
        <v>4400</v>
      </c>
      <c r="B1563" s="128"/>
      <c r="C1563" s="128"/>
      <c r="D1563" s="127" t="s">
        <v>51</v>
      </c>
      <c r="E1563" s="128"/>
      <c r="F1563" s="129"/>
      <c r="G1563" s="130" t="s">
        <v>55</v>
      </c>
      <c r="H1563" s="131" t="s">
        <v>52</v>
      </c>
      <c r="I1563" s="132"/>
      <c r="J1563" s="125">
        <f>SUM(H1562:J1562)</f>
        <v>262.92999999999995</v>
      </c>
    </row>
    <row r="1564" spans="1:17" ht="15" x14ac:dyDescent="0.25">
      <c r="A1564" s="313" t="str">
        <f>$I$3</f>
        <v>Carlos Wieck</v>
      </c>
      <c r="B1564" s="133"/>
      <c r="C1564" s="133"/>
      <c r="D1564" s="134"/>
      <c r="E1564" s="133"/>
      <c r="F1564" s="135"/>
      <c r="G1564" s="522">
        <f>$J$5</f>
        <v>43040</v>
      </c>
      <c r="H1564" s="136" t="s">
        <v>53</v>
      </c>
      <c r="I1564" s="137"/>
      <c r="J1564" s="125">
        <f>TRUNC(I1564*J1563,2)</f>
        <v>0</v>
      </c>
    </row>
    <row r="1565" spans="1:17" ht="15" x14ac:dyDescent="0.25">
      <c r="A1565" s="138"/>
      <c r="B1565" s="139"/>
      <c r="C1565" s="139"/>
      <c r="D1565" s="138"/>
      <c r="E1565" s="139"/>
      <c r="F1565" s="140"/>
      <c r="G1565" s="523"/>
      <c r="H1565" s="141" t="s">
        <v>54</v>
      </c>
      <c r="I1565" s="142"/>
      <c r="J1565" s="143">
        <f>J1564+J1563</f>
        <v>262.92999999999995</v>
      </c>
      <c r="L1565" s="102" t="str">
        <f>A1547</f>
        <v>COMPOSIÇÃO</v>
      </c>
      <c r="M1565" s="144" t="str">
        <f>B1547</f>
        <v>FF-062</v>
      </c>
      <c r="N1565" s="102" t="str">
        <f>L1565&amp;M1565</f>
        <v>COMPOSIÇÃOFF-062</v>
      </c>
      <c r="O1565" s="103" t="str">
        <f>D1546</f>
        <v>Deck de madeira com pranchas de Pinus tratado em autoclave impermeabilizado, L = 100 mm e E = 20 mm</v>
      </c>
      <c r="P1565" s="145" t="str">
        <f>J1547</f>
        <v>m²</v>
      </c>
      <c r="Q1565" s="145">
        <f>J1565</f>
        <v>262.92999999999995</v>
      </c>
    </row>
    <row r="1566" spans="1:17" ht="15" x14ac:dyDescent="0.25">
      <c r="A1566" s="524" t="s">
        <v>40</v>
      </c>
      <c r="B1566" s="525"/>
      <c r="C1566" s="104" t="s">
        <v>41</v>
      </c>
      <c r="D1566" s="526" t="str">
        <f>IF(B1567="","",VLOOKUP(B1567,SERVIÇOS!B:E,3,0))</f>
        <v>Assoalho de madeira com pranchas de Pinus tratado em autoclave unidas com encaixe tipo macho-fêmea, L = 100 mm E = 20 mm
Instalado sobre painéis com miolo de madeira contraplacado por lâminas de madeira e externamente por chapas em CRFS - espessura de 40 mm</v>
      </c>
      <c r="E1566" s="526"/>
      <c r="F1566" s="526"/>
      <c r="G1566" s="526"/>
      <c r="H1566" s="526"/>
      <c r="I1566" s="527"/>
      <c r="J1566" s="105" t="s">
        <v>42</v>
      </c>
    </row>
    <row r="1567" spans="1:17" ht="15" x14ac:dyDescent="0.25">
      <c r="A1567" s="230" t="s">
        <v>4715</v>
      </c>
      <c r="B1567" s="230" t="s">
        <v>5080</v>
      </c>
      <c r="C1567" s="106"/>
      <c r="D1567" s="528"/>
      <c r="E1567" s="528"/>
      <c r="F1567" s="528"/>
      <c r="G1567" s="528"/>
      <c r="H1567" s="528"/>
      <c r="I1567" s="529"/>
      <c r="J1567" s="107" t="str">
        <f>IF(B1567="","",VLOOKUP(B1567,SERVIÇOS!B:E,4,0))</f>
        <v>m²</v>
      </c>
    </row>
    <row r="1568" spans="1:17" ht="15" x14ac:dyDescent="0.25">
      <c r="A1568" s="530" t="s">
        <v>4397</v>
      </c>
      <c r="B1568" s="531" t="s">
        <v>11</v>
      </c>
      <c r="C1568" s="533" t="s">
        <v>43</v>
      </c>
      <c r="D1568" s="534"/>
      <c r="E1568" s="530" t="s">
        <v>13</v>
      </c>
      <c r="F1568" s="530" t="s">
        <v>44</v>
      </c>
      <c r="G1568" s="538" t="s">
        <v>45</v>
      </c>
      <c r="H1568" s="108" t="s">
        <v>46</v>
      </c>
      <c r="I1568" s="108"/>
      <c r="J1568" s="108"/>
    </row>
    <row r="1569" spans="1:11" ht="15" x14ac:dyDescent="0.25">
      <c r="A1569" s="530"/>
      <c r="B1569" s="532"/>
      <c r="C1569" s="535"/>
      <c r="D1569" s="536"/>
      <c r="E1569" s="537"/>
      <c r="F1569" s="537"/>
      <c r="G1569" s="539"/>
      <c r="H1569" s="108" t="s">
        <v>47</v>
      </c>
      <c r="I1569" s="108" t="s">
        <v>48</v>
      </c>
      <c r="J1569" s="108" t="s">
        <v>49</v>
      </c>
    </row>
    <row r="1570" spans="1:11" ht="15" x14ac:dyDescent="0.25">
      <c r="A1570" s="109" t="s">
        <v>4398</v>
      </c>
      <c r="B1570" s="116">
        <v>10111</v>
      </c>
      <c r="C1570" s="540" t="str">
        <f>IF(A1570&amp;B1570="","",VLOOKUP(A1570&amp;B1570,INSUMOS!C:G,2,0))</f>
        <v>Carpinteiro</v>
      </c>
      <c r="D1570" s="541"/>
      <c r="E1570" s="111" t="str">
        <f>IF(A1570&amp;B1570="","",VLOOKUP(A1570&amp;B1570,INSUMOS!C:G,3,0))</f>
        <v>h</v>
      </c>
      <c r="F1570" s="112">
        <v>1</v>
      </c>
      <c r="G1570" s="113">
        <f>IF(A1570&amp;B1570="","",VLOOKUP(A1570&amp;B1570,INSUMOS!C:G,4,0))</f>
        <v>13.380699</v>
      </c>
      <c r="H1570" s="114">
        <f>IF(K1570="MO",TRUNC(F1570*G1570,2),"")</f>
        <v>13.38</v>
      </c>
      <c r="I1570" s="114" t="str">
        <f>IF(K1570="MT",TRUNC(F1570*G1570,2),"")</f>
        <v/>
      </c>
      <c r="J1570" s="115" t="str">
        <f>IF(K1570="EQ",TRUNC(F1570*G1570,2),"")</f>
        <v/>
      </c>
      <c r="K1570" s="102" t="str">
        <f>IF(A1570&amp;B1570="","",VLOOKUP(A1570&amp;B1570,INSUMOS!C:G,5,0))</f>
        <v>MO</v>
      </c>
    </row>
    <row r="1571" spans="1:11" ht="15" x14ac:dyDescent="0.25">
      <c r="A1571" s="109" t="s">
        <v>4398</v>
      </c>
      <c r="B1571" s="116">
        <v>10112</v>
      </c>
      <c r="C1571" s="518" t="str">
        <f>IF(A1571&amp;B1571="","",VLOOKUP(A1571&amp;B1571,INSUMOS!C:G,2,0))</f>
        <v>Ajudante de carpinteiro</v>
      </c>
      <c r="D1571" s="519"/>
      <c r="E1571" s="117" t="str">
        <f>IF(A1571&amp;B1571="","",VLOOKUP(A1571&amp;B1571,INSUMOS!C:G,3,0))</f>
        <v>h</v>
      </c>
      <c r="F1571" s="118">
        <v>1</v>
      </c>
      <c r="G1571" s="113">
        <f>IF(A1571&amp;B1571="","",VLOOKUP(A1571&amp;B1571,INSUMOS!C:G,4,0))</f>
        <v>10.985028</v>
      </c>
      <c r="H1571" s="119">
        <f t="shared" ref="H1571" si="261">IF(K1571="MO",TRUNC(F1571*G1571,2),"")</f>
        <v>10.98</v>
      </c>
      <c r="I1571" s="119" t="str">
        <f t="shared" ref="I1571" si="262">IF(K1571="MT",TRUNC(F1571*G1571,2),"")</f>
        <v/>
      </c>
      <c r="J1571" s="115" t="str">
        <f t="shared" ref="J1571" si="263">IF(K1571="EQ",TRUNC(F1571*G1571,2),"")</f>
        <v/>
      </c>
      <c r="K1571" s="102" t="str">
        <f>IF(A1571&amp;B1571="","",VLOOKUP(A1571&amp;B1571,INSUMOS!C:G,5,0))</f>
        <v>MO</v>
      </c>
    </row>
    <row r="1572" spans="1:11" ht="15" x14ac:dyDescent="0.25">
      <c r="A1572" s="109" t="s">
        <v>4398</v>
      </c>
      <c r="B1572" s="116">
        <v>10139</v>
      </c>
      <c r="C1572" s="518" t="str">
        <f>IF(A1572&amp;B1572="","",VLOOKUP(A1572&amp;B1572,INSUMOS!C:G,2,0))</f>
        <v xml:space="preserve">Pedreiro </v>
      </c>
      <c r="D1572" s="519"/>
      <c r="E1572" s="117" t="str">
        <f>IF(A1572&amp;B1572="","",VLOOKUP(A1572&amp;B1572,INSUMOS!C:G,3,0))</f>
        <v>h</v>
      </c>
      <c r="F1572" s="118">
        <v>0.3</v>
      </c>
      <c r="G1572" s="113">
        <f>IF(A1572&amp;B1572="","",VLOOKUP(A1572&amp;B1572,INSUMOS!C:G,4,0))</f>
        <v>13.731285</v>
      </c>
      <c r="H1572" s="119">
        <f>IF(K1572="MO",TRUNC(F1572*G1572,2),"")</f>
        <v>4.1100000000000003</v>
      </c>
      <c r="I1572" s="119" t="str">
        <f>IF(K1572="MT",TRUNC(F1572*G1572,2),"")</f>
        <v/>
      </c>
      <c r="J1572" s="115" t="str">
        <f>IF(K1572="EQ",TRUNC(F1572*G1572,2),"")</f>
        <v/>
      </c>
      <c r="K1572" s="102" t="str">
        <f>IF(A1572&amp;B1572="","",VLOOKUP(A1572&amp;B1572,INSUMOS!C:G,5,0))</f>
        <v>MO</v>
      </c>
    </row>
    <row r="1573" spans="1:11" ht="15" x14ac:dyDescent="0.25">
      <c r="A1573" s="109" t="s">
        <v>4398</v>
      </c>
      <c r="B1573" s="116">
        <v>10146</v>
      </c>
      <c r="C1573" s="518" t="str">
        <f>IF(A1573&amp;B1573="","",VLOOKUP(A1573&amp;B1573,INSUMOS!C:G,2,0))</f>
        <v>Servente</v>
      </c>
      <c r="D1573" s="519"/>
      <c r="E1573" s="117" t="str">
        <f>IF(A1573&amp;B1573="","",VLOOKUP(A1573&amp;B1573,INSUMOS!C:G,3,0))</f>
        <v>h</v>
      </c>
      <c r="F1573" s="118">
        <v>0.8</v>
      </c>
      <c r="G1573" s="113">
        <f>IF(A1573&amp;B1573="","",VLOOKUP(A1573&amp;B1573,INSUMOS!C:G,4,0))</f>
        <v>11.335614</v>
      </c>
      <c r="H1573" s="119">
        <f>IF(K1573="MO",TRUNC(F1573*G1573,2),"")</f>
        <v>9.06</v>
      </c>
      <c r="I1573" s="119" t="str">
        <f>IF(K1573="MT",TRUNC(F1573*G1573,2),"")</f>
        <v/>
      </c>
      <c r="J1573" s="115" t="str">
        <f>IF(K1573="EQ",TRUNC(F1573*G1573,2),"")</f>
        <v/>
      </c>
      <c r="K1573" s="102" t="str">
        <f>IF(A1573&amp;B1573="","",VLOOKUP(A1573&amp;B1573,INSUMOS!C:G,5,0))</f>
        <v>MO</v>
      </c>
    </row>
    <row r="1574" spans="1:11" ht="15" x14ac:dyDescent="0.25">
      <c r="A1574" s="109" t="s">
        <v>4398</v>
      </c>
      <c r="B1574" s="116">
        <v>39040</v>
      </c>
      <c r="C1574" s="518" t="str">
        <f>IF(A1574&amp;B1574="","",VLOOKUP(A1574&amp;B1574,INSUMOS!C:G,2,0))</f>
        <v>Argamassa de cimento e areia - média 1:5</v>
      </c>
      <c r="D1574" s="519"/>
      <c r="E1574" s="117" t="str">
        <f>IF(A1574&amp;B1574="","",VLOOKUP(A1574&amp;B1574,INSUMOS!C:G,3,0))</f>
        <v>m³</v>
      </c>
      <c r="F1574" s="118">
        <v>2.5000000000000001E-2</v>
      </c>
      <c r="G1574" s="113">
        <f>IF(A1574&amp;B1574="","",VLOOKUP(A1574&amp;B1574,INSUMOS!C:G,4,0))</f>
        <v>339.93</v>
      </c>
      <c r="H1574" s="119" t="str">
        <f t="shared" ref="H1574:H1581" si="264">IF(K1574="MO",TRUNC(F1574*G1574,2),"")</f>
        <v/>
      </c>
      <c r="I1574" s="119">
        <f t="shared" ref="I1574:I1581" si="265">IF(K1574="MT",TRUNC(F1574*G1574,2),"")</f>
        <v>8.49</v>
      </c>
      <c r="J1574" s="115" t="str">
        <f t="shared" ref="J1574:J1581" si="266">IF(K1574="EQ",TRUNC(F1574*G1574,2),"")</f>
        <v/>
      </c>
      <c r="K1574" s="102" t="str">
        <f>IF(A1574&amp;B1574="","",VLOOKUP(A1574&amp;B1574,INSUMOS!C:G,5,0))</f>
        <v>MT</v>
      </c>
    </row>
    <row r="1575" spans="1:11" ht="30" customHeight="1" x14ac:dyDescent="0.25">
      <c r="A1575" s="109" t="s">
        <v>4398</v>
      </c>
      <c r="B1575" s="116">
        <v>24028</v>
      </c>
      <c r="C1575" s="518" t="str">
        <f>IF(A1575&amp;B1575="","",VLOOKUP(A1575&amp;B1575,INSUMOS!C:G,2,0))</f>
        <v>Hidrorrepelente a base de silano-siloxano oligomérico disperso em solvente, ref. Denver HR da Denver, Nitoprimer 40 da Fosroc</v>
      </c>
      <c r="D1575" s="519"/>
      <c r="E1575" s="117" t="str">
        <f>IF(A1575&amp;B1575="","",VLOOKUP(A1575&amp;B1575,INSUMOS!C:G,3,0))</f>
        <v>L</v>
      </c>
      <c r="F1575" s="118">
        <v>0.3</v>
      </c>
      <c r="G1575" s="113">
        <f>IF(A1575&amp;B1575="","",VLOOKUP(A1575&amp;B1575,INSUMOS!C:G,4,0))</f>
        <v>19.13</v>
      </c>
      <c r="H1575" s="119" t="str">
        <f t="shared" si="264"/>
        <v/>
      </c>
      <c r="I1575" s="119">
        <f t="shared" si="265"/>
        <v>5.73</v>
      </c>
      <c r="J1575" s="115" t="str">
        <f t="shared" si="266"/>
        <v/>
      </c>
      <c r="K1575" s="102" t="str">
        <f>IF(A1575&amp;B1575="","",VLOOKUP(A1575&amp;B1575,INSUMOS!C:G,5,0))</f>
        <v>MT</v>
      </c>
    </row>
    <row r="1576" spans="1:11" ht="15" x14ac:dyDescent="0.25">
      <c r="A1576" s="109" t="s">
        <v>4398</v>
      </c>
      <c r="B1576" s="116">
        <v>26760</v>
      </c>
      <c r="C1576" s="518" t="str">
        <f>IF(A1576&amp;B1576="","",VLOOKUP(A1576&amp;B1576,INSUMOS!C:G,2,0))</f>
        <v>Prego diversas bitolas (referência 18 x 27)</v>
      </c>
      <c r="D1576" s="519"/>
      <c r="E1576" s="117" t="str">
        <f>IF(A1576&amp;B1576="","",VLOOKUP(A1576&amp;B1576,INSUMOS!C:G,3,0))</f>
        <v>kg</v>
      </c>
      <c r="F1576" s="118">
        <v>0.26</v>
      </c>
      <c r="G1576" s="113">
        <f>IF(A1576&amp;B1576="","",VLOOKUP(A1576&amp;B1576,INSUMOS!C:G,4,0))</f>
        <v>5.0999999999999996</v>
      </c>
      <c r="H1576" s="119" t="str">
        <f t="shared" si="264"/>
        <v/>
      </c>
      <c r="I1576" s="119">
        <f t="shared" si="265"/>
        <v>1.32</v>
      </c>
      <c r="J1576" s="115" t="str">
        <f t="shared" si="266"/>
        <v/>
      </c>
      <c r="K1576" s="102" t="str">
        <f>IF(A1576&amp;B1576="","",VLOOKUP(A1576&amp;B1576,INSUMOS!C:G,5,0))</f>
        <v>MT</v>
      </c>
    </row>
    <row r="1577" spans="1:11" ht="15" x14ac:dyDescent="0.25">
      <c r="A1577" s="109" t="s">
        <v>5339</v>
      </c>
      <c r="B1577" s="116">
        <v>35072</v>
      </c>
      <c r="C1577" s="518" t="str">
        <f>IF(A1577&amp;B1577="","",VLOOKUP(A1577&amp;B1577,INSUMOS!C:G,2,0))</f>
        <v>Assoalho em cumaru com encaixe macho e fêmea</v>
      </c>
      <c r="D1577" s="519"/>
      <c r="E1577" s="117" t="str">
        <f>IF(A1577&amp;B1577="","",VLOOKUP(A1577&amp;B1577,INSUMOS!C:G,3,0))</f>
        <v>m²</v>
      </c>
      <c r="F1577" s="118">
        <v>1.1000000000000001</v>
      </c>
      <c r="G1577" s="113">
        <f>IF(A1577&amp;B1577="","",VLOOKUP(A1577&amp;B1577,INSUMOS!C:G,4,0))</f>
        <v>150.53</v>
      </c>
      <c r="H1577" s="119" t="str">
        <f t="shared" si="264"/>
        <v/>
      </c>
      <c r="I1577" s="119">
        <f t="shared" si="265"/>
        <v>165.58</v>
      </c>
      <c r="J1577" s="115" t="str">
        <f t="shared" si="266"/>
        <v/>
      </c>
      <c r="K1577" s="102" t="str">
        <f>IF(A1577&amp;B1577="","",VLOOKUP(A1577&amp;B1577,INSUMOS!C:G,5,0))</f>
        <v>MT</v>
      </c>
    </row>
    <row r="1578" spans="1:11" ht="15" x14ac:dyDescent="0.25">
      <c r="A1578" s="109" t="s">
        <v>5339</v>
      </c>
      <c r="B1578" s="116">
        <v>39005</v>
      </c>
      <c r="C1578" s="518" t="str">
        <f>IF(A1578&amp;B1578="","",VLOOKUP(A1578&amp;B1578,INSUMOS!C:G,2,0))</f>
        <v>Barrote de madeira para assoalho</v>
      </c>
      <c r="D1578" s="519"/>
      <c r="E1578" s="117" t="str">
        <f>IF(A1578&amp;B1578="","",VLOOKUP(A1578&amp;B1578,INSUMOS!C:G,3,0))</f>
        <v>m</v>
      </c>
      <c r="F1578" s="118">
        <v>3</v>
      </c>
      <c r="G1578" s="113">
        <f>IF(A1578&amp;B1578="","",VLOOKUP(A1578&amp;B1578,INSUMOS!C:G,4,0))</f>
        <v>10.130000000000001</v>
      </c>
      <c r="H1578" s="119" t="str">
        <f t="shared" si="264"/>
        <v/>
      </c>
      <c r="I1578" s="119">
        <f t="shared" si="265"/>
        <v>30.39</v>
      </c>
      <c r="J1578" s="115" t="str">
        <f t="shared" si="266"/>
        <v/>
      </c>
      <c r="K1578" s="102" t="str">
        <f>IF(A1578&amp;B1578="","",VLOOKUP(A1578&amp;B1578,INSUMOS!C:G,5,0))</f>
        <v>MT</v>
      </c>
    </row>
    <row r="1579" spans="1:11" ht="15" x14ac:dyDescent="0.25">
      <c r="A1579" s="109"/>
      <c r="B1579" s="121"/>
      <c r="C1579" s="518" t="str">
        <f>IF(A1579&amp;B1579="","",VLOOKUP(A1579&amp;B1579,INSUMOS!C:G,2,0))</f>
        <v/>
      </c>
      <c r="D1579" s="519"/>
      <c r="E1579" s="117" t="str">
        <f>IF(A1579&amp;B1579="","",VLOOKUP(A1579&amp;B1579,INSUMOS!C:G,3,0))</f>
        <v/>
      </c>
      <c r="F1579" s="118"/>
      <c r="G1579" s="122" t="str">
        <f>IF(A1579&amp;B1579="","",VLOOKUP(A1579&amp;B1579,INSUMOS!C:G,4,0))</f>
        <v/>
      </c>
      <c r="H1579" s="119" t="str">
        <f t="shared" si="264"/>
        <v/>
      </c>
      <c r="I1579" s="119" t="str">
        <f t="shared" si="265"/>
        <v/>
      </c>
      <c r="J1579" s="115" t="str">
        <f t="shared" si="266"/>
        <v/>
      </c>
      <c r="K1579" s="102" t="str">
        <f>IF(A1579&amp;B1579="","",VLOOKUP(A1579&amp;B1579,INSUMOS!C:G,5,0))</f>
        <v/>
      </c>
    </row>
    <row r="1580" spans="1:11" ht="15" x14ac:dyDescent="0.25">
      <c r="A1580" s="120"/>
      <c r="B1580" s="121"/>
      <c r="C1580" s="518" t="str">
        <f>IF(A1580&amp;B1580="","",VLOOKUP(A1580&amp;B1580,INSUMOS!C:G,2,0))</f>
        <v/>
      </c>
      <c r="D1580" s="519"/>
      <c r="E1580" s="117" t="str">
        <f>IF(A1580&amp;B1580="","",VLOOKUP(A1580&amp;B1580,INSUMOS!C:G,3,0))</f>
        <v/>
      </c>
      <c r="F1580" s="118"/>
      <c r="G1580" s="122" t="str">
        <f>IF(A1580&amp;B1580="","",VLOOKUP(A1580&amp;B1580,INSUMOS!C:G,4,0))</f>
        <v/>
      </c>
      <c r="H1580" s="119" t="str">
        <f t="shared" si="264"/>
        <v/>
      </c>
      <c r="I1580" s="119" t="str">
        <f t="shared" si="265"/>
        <v/>
      </c>
      <c r="J1580" s="115" t="str">
        <f t="shared" si="266"/>
        <v/>
      </c>
      <c r="K1580" s="102" t="str">
        <f>IF(A1580&amp;B1580="","",VLOOKUP(A1580&amp;B1580,INSUMOS!C:G,5,0))</f>
        <v/>
      </c>
    </row>
    <row r="1581" spans="1:11" ht="15" x14ac:dyDescent="0.25">
      <c r="A1581" s="120"/>
      <c r="B1581" s="121"/>
      <c r="C1581" s="518" t="str">
        <f>IF(A1581&amp;B1581="","",VLOOKUP(A1581&amp;B1581,INSUMOS!C:G,2,0))</f>
        <v/>
      </c>
      <c r="D1581" s="519"/>
      <c r="E1581" s="117" t="str">
        <f>IF(A1581&amp;B1581="","",VLOOKUP(A1581&amp;B1581,INSUMOS!C:G,3,0))</f>
        <v/>
      </c>
      <c r="F1581" s="118"/>
      <c r="G1581" s="122" t="str">
        <f>IF(A1581&amp;B1581="","",VLOOKUP(A1581&amp;B1581,INSUMOS!C:G,4,0))</f>
        <v/>
      </c>
      <c r="H1581" s="119" t="str">
        <f t="shared" si="264"/>
        <v/>
      </c>
      <c r="I1581" s="119" t="str">
        <f t="shared" si="265"/>
        <v/>
      </c>
      <c r="J1581" s="115" t="str">
        <f t="shared" si="266"/>
        <v/>
      </c>
      <c r="K1581" s="102" t="str">
        <f>IF(A1581&amp;B1581="","",VLOOKUP(A1581&amp;B1581,INSUMOS!C:G,5,0))</f>
        <v/>
      </c>
    </row>
    <row r="1582" spans="1:11" ht="15" x14ac:dyDescent="0.25">
      <c r="A1582" s="123" t="s">
        <v>4399</v>
      </c>
      <c r="B1582" s="520"/>
      <c r="C1582" s="520"/>
      <c r="D1582" s="520"/>
      <c r="E1582" s="520"/>
      <c r="F1582" s="521"/>
      <c r="G1582" s="124" t="s">
        <v>50</v>
      </c>
      <c r="H1582" s="125">
        <f>SUM(H1570:H1581)</f>
        <v>37.53</v>
      </c>
      <c r="I1582" s="125">
        <f>SUM(I1570:I1581)</f>
        <v>211.51</v>
      </c>
      <c r="J1582" s="126">
        <f>SUM(J1570:J1581)</f>
        <v>0</v>
      </c>
    </row>
    <row r="1583" spans="1:11" ht="15" x14ac:dyDescent="0.25">
      <c r="A1583" s="127" t="s">
        <v>4400</v>
      </c>
      <c r="B1583" s="128"/>
      <c r="C1583" s="128"/>
      <c r="D1583" s="127" t="s">
        <v>51</v>
      </c>
      <c r="E1583" s="128"/>
      <c r="F1583" s="129"/>
      <c r="G1583" s="130" t="s">
        <v>55</v>
      </c>
      <c r="H1583" s="131" t="s">
        <v>52</v>
      </c>
      <c r="I1583" s="132"/>
      <c r="J1583" s="125">
        <f>SUM(H1582:J1582)</f>
        <v>249.04</v>
      </c>
    </row>
    <row r="1584" spans="1:11" ht="15" x14ac:dyDescent="0.25">
      <c r="A1584" s="313" t="str">
        <f>$I$3</f>
        <v>Carlos Wieck</v>
      </c>
      <c r="B1584" s="133"/>
      <c r="C1584" s="133"/>
      <c r="D1584" s="134"/>
      <c r="E1584" s="133"/>
      <c r="F1584" s="135"/>
      <c r="G1584" s="522">
        <f>$J$5</f>
        <v>43040</v>
      </c>
      <c r="H1584" s="136" t="s">
        <v>53</v>
      </c>
      <c r="I1584" s="137"/>
      <c r="J1584" s="125">
        <f>TRUNC(I1584*J1583,2)</f>
        <v>0</v>
      </c>
    </row>
    <row r="1585" spans="1:17" ht="15" x14ac:dyDescent="0.25">
      <c r="A1585" s="138"/>
      <c r="B1585" s="139"/>
      <c r="C1585" s="139"/>
      <c r="D1585" s="138"/>
      <c r="E1585" s="139"/>
      <c r="F1585" s="140"/>
      <c r="G1585" s="523"/>
      <c r="H1585" s="141" t="s">
        <v>54</v>
      </c>
      <c r="I1585" s="142"/>
      <c r="J1585" s="143">
        <f>J1584+J1583</f>
        <v>249.04</v>
      </c>
      <c r="L1585" s="102" t="str">
        <f>A1567</f>
        <v>COMPOSIÇÃO</v>
      </c>
      <c r="M1585" s="144" t="str">
        <f>B1567</f>
        <v>FF-063</v>
      </c>
      <c r="N1585" s="102" t="str">
        <f>L1585&amp;M1585</f>
        <v>COMPOSIÇÃOFF-063</v>
      </c>
      <c r="O1585" s="103" t="str">
        <f>D1566</f>
        <v>Assoalho de madeira com pranchas de Pinus tratado em autoclave unidas com encaixe tipo macho-fêmea, L = 100 mm E = 20 mm
Instalado sobre painéis com miolo de madeira contraplacado por lâminas de madeira e externamente por chapas em CRFS - espessura de 40 mm</v>
      </c>
      <c r="P1585" s="145" t="str">
        <f>J1567</f>
        <v>m²</v>
      </c>
      <c r="Q1585" s="145">
        <f>J1585</f>
        <v>249.04</v>
      </c>
    </row>
    <row r="1586" spans="1:17" ht="20.100000000000001" customHeight="1" x14ac:dyDescent="0.25">
      <c r="A1586" s="524" t="s">
        <v>40</v>
      </c>
      <c r="B1586" s="525"/>
      <c r="C1586" s="104" t="s">
        <v>41</v>
      </c>
      <c r="D1586" s="526" t="str">
        <f>IF(B1587="","",VLOOKUP(B1587,SERVIÇOS!B:E,3,0))</f>
        <v xml:space="preserve">Deck de madeira com pranchas de Pinus tratado em autoclave impermeabilizado, L = 100 mm e E = 20 mm
Instalado sobre camada de impermeabilização e painéis com miolo de madeira contraplacado por lâminas de madeira e externamente por chapas em CRFS - espessura de 40 mm </v>
      </c>
      <c r="E1586" s="526"/>
      <c r="F1586" s="526"/>
      <c r="G1586" s="526"/>
      <c r="H1586" s="526"/>
      <c r="I1586" s="527"/>
      <c r="J1586" s="105" t="s">
        <v>42</v>
      </c>
    </row>
    <row r="1587" spans="1:17" ht="20.100000000000001" customHeight="1" x14ac:dyDescent="0.25">
      <c r="A1587" s="230" t="s">
        <v>4715</v>
      </c>
      <c r="B1587" s="230" t="s">
        <v>5081</v>
      </c>
      <c r="C1587" s="106"/>
      <c r="D1587" s="528"/>
      <c r="E1587" s="528"/>
      <c r="F1587" s="528"/>
      <c r="G1587" s="528"/>
      <c r="H1587" s="528"/>
      <c r="I1587" s="529"/>
      <c r="J1587" s="107" t="str">
        <f>IF(B1587="","",VLOOKUP(B1587,SERVIÇOS!B:E,4,0))</f>
        <v>m²</v>
      </c>
    </row>
    <row r="1588" spans="1:17" ht="15" x14ac:dyDescent="0.25">
      <c r="A1588" s="530" t="s">
        <v>4397</v>
      </c>
      <c r="B1588" s="531" t="s">
        <v>11</v>
      </c>
      <c r="C1588" s="533" t="s">
        <v>43</v>
      </c>
      <c r="D1588" s="534"/>
      <c r="E1588" s="530" t="s">
        <v>13</v>
      </c>
      <c r="F1588" s="530" t="s">
        <v>44</v>
      </c>
      <c r="G1588" s="538" t="s">
        <v>45</v>
      </c>
      <c r="H1588" s="108" t="s">
        <v>46</v>
      </c>
      <c r="I1588" s="108"/>
      <c r="J1588" s="108"/>
    </row>
    <row r="1589" spans="1:17" ht="15" x14ac:dyDescent="0.25">
      <c r="A1589" s="530"/>
      <c r="B1589" s="532"/>
      <c r="C1589" s="535"/>
      <c r="D1589" s="536"/>
      <c r="E1589" s="537"/>
      <c r="F1589" s="537"/>
      <c r="G1589" s="539"/>
      <c r="H1589" s="108" t="s">
        <v>47</v>
      </c>
      <c r="I1589" s="108" t="s">
        <v>48</v>
      </c>
      <c r="J1589" s="108" t="s">
        <v>49</v>
      </c>
    </row>
    <row r="1590" spans="1:17" ht="15" x14ac:dyDescent="0.25">
      <c r="A1590" s="109" t="s">
        <v>4398</v>
      </c>
      <c r="B1590" s="116">
        <v>10111</v>
      </c>
      <c r="C1590" s="540" t="str">
        <f>IF(A1590&amp;B1590="","",VLOOKUP(A1590&amp;B1590,INSUMOS!C:G,2,0))</f>
        <v>Carpinteiro</v>
      </c>
      <c r="D1590" s="541"/>
      <c r="E1590" s="111" t="str">
        <f>IF(A1590&amp;B1590="","",VLOOKUP(A1590&amp;B1590,INSUMOS!C:G,3,0))</f>
        <v>h</v>
      </c>
      <c r="F1590" s="112">
        <v>1</v>
      </c>
      <c r="G1590" s="113">
        <f>IF(A1590&amp;B1590="","",VLOOKUP(A1590&amp;B1590,INSUMOS!C:G,4,0))</f>
        <v>13.380699</v>
      </c>
      <c r="H1590" s="114">
        <f>IF(K1590="MO",TRUNC(F1590*G1590,2),"")</f>
        <v>13.38</v>
      </c>
      <c r="I1590" s="114" t="str">
        <f>IF(K1590="MT",TRUNC(F1590*G1590,2),"")</f>
        <v/>
      </c>
      <c r="J1590" s="115" t="str">
        <f>IF(K1590="EQ",TRUNC(F1590*G1590,2),"")</f>
        <v/>
      </c>
      <c r="K1590" s="102" t="str">
        <f>IF(A1590&amp;B1590="","",VLOOKUP(A1590&amp;B1590,INSUMOS!C:G,5,0))</f>
        <v>MO</v>
      </c>
    </row>
    <row r="1591" spans="1:17" ht="15" x14ac:dyDescent="0.25">
      <c r="A1591" s="109" t="s">
        <v>4398</v>
      </c>
      <c r="B1591" s="116">
        <v>10112</v>
      </c>
      <c r="C1591" s="518" t="str">
        <f>IF(A1591&amp;B1591="","",VLOOKUP(A1591&amp;B1591,INSUMOS!C:G,2,0))</f>
        <v>Ajudante de carpinteiro</v>
      </c>
      <c r="D1591" s="519"/>
      <c r="E1591" s="117" t="str">
        <f>IF(A1591&amp;B1591="","",VLOOKUP(A1591&amp;B1591,INSUMOS!C:G,3,0))</f>
        <v>h</v>
      </c>
      <c r="F1591" s="118">
        <v>1</v>
      </c>
      <c r="G1591" s="113">
        <f>IF(A1591&amp;B1591="","",VLOOKUP(A1591&amp;B1591,INSUMOS!C:G,4,0))</f>
        <v>10.985028</v>
      </c>
      <c r="H1591" s="119">
        <f t="shared" ref="H1591" si="267">IF(K1591="MO",TRUNC(F1591*G1591,2),"")</f>
        <v>10.98</v>
      </c>
      <c r="I1591" s="119" t="str">
        <f t="shared" ref="I1591" si="268">IF(K1591="MT",TRUNC(F1591*G1591,2),"")</f>
        <v/>
      </c>
      <c r="J1591" s="115" t="str">
        <f t="shared" ref="J1591" si="269">IF(K1591="EQ",TRUNC(F1591*G1591,2),"")</f>
        <v/>
      </c>
      <c r="K1591" s="102" t="str">
        <f>IF(A1591&amp;B1591="","",VLOOKUP(A1591&amp;B1591,INSUMOS!C:G,5,0))</f>
        <v>MO</v>
      </c>
    </row>
    <row r="1592" spans="1:17" ht="15" x14ac:dyDescent="0.25">
      <c r="A1592" s="109" t="s">
        <v>4398</v>
      </c>
      <c r="B1592" s="116">
        <v>10139</v>
      </c>
      <c r="C1592" s="518" t="str">
        <f>IF(A1592&amp;B1592="","",VLOOKUP(A1592&amp;B1592,INSUMOS!C:G,2,0))</f>
        <v xml:space="preserve">Pedreiro </v>
      </c>
      <c r="D1592" s="519"/>
      <c r="E1592" s="117" t="str">
        <f>IF(A1592&amp;B1592="","",VLOOKUP(A1592&amp;B1592,INSUMOS!C:G,3,0))</f>
        <v>h</v>
      </c>
      <c r="F1592" s="118">
        <v>0.3</v>
      </c>
      <c r="G1592" s="113">
        <f>IF(A1592&amp;B1592="","",VLOOKUP(A1592&amp;B1592,INSUMOS!C:G,4,0))</f>
        <v>13.731285</v>
      </c>
      <c r="H1592" s="119">
        <f>IF(K1592="MO",TRUNC(F1592*G1592,2),"")</f>
        <v>4.1100000000000003</v>
      </c>
      <c r="I1592" s="119" t="str">
        <f>IF(K1592="MT",TRUNC(F1592*G1592,2),"")</f>
        <v/>
      </c>
      <c r="J1592" s="115" t="str">
        <f>IF(K1592="EQ",TRUNC(F1592*G1592,2),"")</f>
        <v/>
      </c>
      <c r="K1592" s="102" t="str">
        <f>IF(A1592&amp;B1592="","",VLOOKUP(A1592&amp;B1592,INSUMOS!C:G,5,0))</f>
        <v>MO</v>
      </c>
    </row>
    <row r="1593" spans="1:17" ht="15" x14ac:dyDescent="0.25">
      <c r="A1593" s="109" t="s">
        <v>4398</v>
      </c>
      <c r="B1593" s="116">
        <v>10146</v>
      </c>
      <c r="C1593" s="518" t="str">
        <f>IF(A1593&amp;B1593="","",VLOOKUP(A1593&amp;B1593,INSUMOS!C:G,2,0))</f>
        <v>Servente</v>
      </c>
      <c r="D1593" s="519"/>
      <c r="E1593" s="117" t="str">
        <f>IF(A1593&amp;B1593="","",VLOOKUP(A1593&amp;B1593,INSUMOS!C:G,3,0))</f>
        <v>h</v>
      </c>
      <c r="F1593" s="118">
        <v>0.8</v>
      </c>
      <c r="G1593" s="113">
        <f>IF(A1593&amp;B1593="","",VLOOKUP(A1593&amp;B1593,INSUMOS!C:G,4,0))</f>
        <v>11.335614</v>
      </c>
      <c r="H1593" s="119">
        <f>IF(K1593="MO",TRUNC(F1593*G1593,2),"")</f>
        <v>9.06</v>
      </c>
      <c r="I1593" s="119" t="str">
        <f>IF(K1593="MT",TRUNC(F1593*G1593,2),"")</f>
        <v/>
      </c>
      <c r="J1593" s="115" t="str">
        <f>IF(K1593="EQ",TRUNC(F1593*G1593,2),"")</f>
        <v/>
      </c>
      <c r="K1593" s="102" t="str">
        <f>IF(A1593&amp;B1593="","",VLOOKUP(A1593&amp;B1593,INSUMOS!C:G,5,0))</f>
        <v>MO</v>
      </c>
    </row>
    <row r="1594" spans="1:17" ht="15" x14ac:dyDescent="0.25">
      <c r="A1594" s="109" t="s">
        <v>4398</v>
      </c>
      <c r="B1594" s="116">
        <v>39040</v>
      </c>
      <c r="C1594" s="518" t="str">
        <f>IF(A1594&amp;B1594="","",VLOOKUP(A1594&amp;B1594,INSUMOS!C:G,2,0))</f>
        <v>Argamassa de cimento e areia - média 1:5</v>
      </c>
      <c r="D1594" s="519"/>
      <c r="E1594" s="117" t="str">
        <f>IF(A1594&amp;B1594="","",VLOOKUP(A1594&amp;B1594,INSUMOS!C:G,3,0))</f>
        <v>m³</v>
      </c>
      <c r="F1594" s="118">
        <v>2.5000000000000001E-2</v>
      </c>
      <c r="G1594" s="113">
        <f>IF(A1594&amp;B1594="","",VLOOKUP(A1594&amp;B1594,INSUMOS!C:G,4,0))</f>
        <v>339.93</v>
      </c>
      <c r="H1594" s="119" t="str">
        <f t="shared" ref="H1594:H1601" si="270">IF(K1594="MO",TRUNC(F1594*G1594,2),"")</f>
        <v/>
      </c>
      <c r="I1594" s="119">
        <f t="shared" ref="I1594:I1601" si="271">IF(K1594="MT",TRUNC(F1594*G1594,2),"")</f>
        <v>8.49</v>
      </c>
      <c r="J1594" s="115" t="str">
        <f t="shared" ref="J1594:J1601" si="272">IF(K1594="EQ",TRUNC(F1594*G1594,2),"")</f>
        <v/>
      </c>
      <c r="K1594" s="102" t="str">
        <f>IF(A1594&amp;B1594="","",VLOOKUP(A1594&amp;B1594,INSUMOS!C:G,5,0))</f>
        <v>MT</v>
      </c>
    </row>
    <row r="1595" spans="1:17" ht="30" customHeight="1" x14ac:dyDescent="0.25">
      <c r="A1595" s="109" t="s">
        <v>4398</v>
      </c>
      <c r="B1595" s="116">
        <v>24028</v>
      </c>
      <c r="C1595" s="518" t="str">
        <f>IF(A1595&amp;B1595="","",VLOOKUP(A1595&amp;B1595,INSUMOS!C:G,2,0))</f>
        <v>Hidrorrepelente a base de silano-siloxano oligomérico disperso em solvente, ref. Denver HR da Denver, Nitoprimer 40 da Fosroc</v>
      </c>
      <c r="D1595" s="519"/>
      <c r="E1595" s="117" t="str">
        <f>IF(A1595&amp;B1595="","",VLOOKUP(A1595&amp;B1595,INSUMOS!C:G,3,0))</f>
        <v>L</v>
      </c>
      <c r="F1595" s="118">
        <v>0.3</v>
      </c>
      <c r="G1595" s="113">
        <f>IF(A1595&amp;B1595="","",VLOOKUP(A1595&amp;B1595,INSUMOS!C:G,4,0))</f>
        <v>19.13</v>
      </c>
      <c r="H1595" s="119" t="str">
        <f t="shared" si="270"/>
        <v/>
      </c>
      <c r="I1595" s="119">
        <f t="shared" si="271"/>
        <v>5.73</v>
      </c>
      <c r="J1595" s="115" t="str">
        <f t="shared" si="272"/>
        <v/>
      </c>
      <c r="K1595" s="102" t="str">
        <f>IF(A1595&amp;B1595="","",VLOOKUP(A1595&amp;B1595,INSUMOS!C:G,5,0))</f>
        <v>MT</v>
      </c>
    </row>
    <row r="1596" spans="1:17" ht="15" x14ac:dyDescent="0.25">
      <c r="A1596" s="109" t="s">
        <v>4398</v>
      </c>
      <c r="B1596" s="116">
        <v>26760</v>
      </c>
      <c r="C1596" s="518" t="str">
        <f>IF(A1596&amp;B1596="","",VLOOKUP(A1596&amp;B1596,INSUMOS!C:G,2,0))</f>
        <v>Prego diversas bitolas (referência 18 x 27)</v>
      </c>
      <c r="D1596" s="519"/>
      <c r="E1596" s="117" t="str">
        <f>IF(A1596&amp;B1596="","",VLOOKUP(A1596&amp;B1596,INSUMOS!C:G,3,0))</f>
        <v>kg</v>
      </c>
      <c r="F1596" s="118">
        <v>0.26</v>
      </c>
      <c r="G1596" s="113">
        <f>IF(A1596&amp;B1596="","",VLOOKUP(A1596&amp;B1596,INSUMOS!C:G,4,0))</f>
        <v>5.0999999999999996</v>
      </c>
      <c r="H1596" s="119" t="str">
        <f t="shared" si="270"/>
        <v/>
      </c>
      <c r="I1596" s="119">
        <f t="shared" si="271"/>
        <v>1.32</v>
      </c>
      <c r="J1596" s="115" t="str">
        <f t="shared" si="272"/>
        <v/>
      </c>
      <c r="K1596" s="102" t="str">
        <f>IF(A1596&amp;B1596="","",VLOOKUP(A1596&amp;B1596,INSUMOS!C:G,5,0))</f>
        <v>MT</v>
      </c>
    </row>
    <row r="1597" spans="1:17" ht="15" x14ac:dyDescent="0.25">
      <c r="A1597" s="109" t="s">
        <v>5339</v>
      </c>
      <c r="B1597" s="116">
        <v>35072</v>
      </c>
      <c r="C1597" s="518" t="str">
        <f>IF(A1597&amp;B1597="","",VLOOKUP(A1597&amp;B1597,INSUMOS!C:G,2,0))</f>
        <v>Assoalho em cumaru com encaixe macho e fêmea</v>
      </c>
      <c r="D1597" s="519"/>
      <c r="E1597" s="117" t="str">
        <f>IF(A1597&amp;B1597="","",VLOOKUP(A1597&amp;B1597,INSUMOS!C:G,3,0))</f>
        <v>m²</v>
      </c>
      <c r="F1597" s="118">
        <v>1.1000000000000001</v>
      </c>
      <c r="G1597" s="113">
        <f>IF(A1597&amp;B1597="","",VLOOKUP(A1597&amp;B1597,INSUMOS!C:G,4,0))</f>
        <v>150.53</v>
      </c>
      <c r="H1597" s="119" t="str">
        <f t="shared" si="270"/>
        <v/>
      </c>
      <c r="I1597" s="119">
        <f t="shared" si="271"/>
        <v>165.58</v>
      </c>
      <c r="J1597" s="115" t="str">
        <f t="shared" si="272"/>
        <v/>
      </c>
      <c r="K1597" s="102" t="str">
        <f>IF(A1597&amp;B1597="","",VLOOKUP(A1597&amp;B1597,INSUMOS!C:G,5,0))</f>
        <v>MT</v>
      </c>
    </row>
    <row r="1598" spans="1:17" ht="15" x14ac:dyDescent="0.25">
      <c r="A1598" s="109" t="s">
        <v>5339</v>
      </c>
      <c r="B1598" s="116">
        <v>39005</v>
      </c>
      <c r="C1598" s="518" t="str">
        <f>IF(A1598&amp;B1598="","",VLOOKUP(A1598&amp;B1598,INSUMOS!C:G,2,0))</f>
        <v>Barrote de madeira para assoalho</v>
      </c>
      <c r="D1598" s="519"/>
      <c r="E1598" s="117" t="str">
        <f>IF(A1598&amp;B1598="","",VLOOKUP(A1598&amp;B1598,INSUMOS!C:G,3,0))</f>
        <v>m</v>
      </c>
      <c r="F1598" s="118">
        <v>3</v>
      </c>
      <c r="G1598" s="113">
        <f>IF(A1598&amp;B1598="","",VLOOKUP(A1598&amp;B1598,INSUMOS!C:G,4,0))</f>
        <v>10.130000000000001</v>
      </c>
      <c r="H1598" s="119" t="str">
        <f t="shared" si="270"/>
        <v/>
      </c>
      <c r="I1598" s="119">
        <f t="shared" si="271"/>
        <v>30.39</v>
      </c>
      <c r="J1598" s="115" t="str">
        <f t="shared" si="272"/>
        <v/>
      </c>
      <c r="K1598" s="102" t="str">
        <f>IF(A1598&amp;B1598="","",VLOOKUP(A1598&amp;B1598,INSUMOS!C:G,5,0))</f>
        <v>MT</v>
      </c>
    </row>
    <row r="1599" spans="1:17" ht="15" x14ac:dyDescent="0.25">
      <c r="A1599" s="120" t="s">
        <v>4398</v>
      </c>
      <c r="B1599" s="121">
        <v>330533</v>
      </c>
      <c r="C1599" s="518" t="str">
        <f>IF(A1599&amp;B1599="","",VLOOKUP(A1599&amp;B1599,INSUMOS!C:G,2,0))</f>
        <v>Verniz em superfície de madeira</v>
      </c>
      <c r="D1599" s="519"/>
      <c r="E1599" s="117" t="str">
        <f>IF(A1599&amp;B1599="","",VLOOKUP(A1599&amp;B1599,INSUMOS!C:G,3,0))</f>
        <v>m²</v>
      </c>
      <c r="F1599" s="118">
        <v>1.05</v>
      </c>
      <c r="G1599" s="122">
        <f>IF(A1599&amp;B1599="","",VLOOKUP(A1599&amp;B1599,INSUMOS!C:G,4,0))</f>
        <v>13.23</v>
      </c>
      <c r="H1599" s="119" t="str">
        <f t="shared" si="270"/>
        <v/>
      </c>
      <c r="I1599" s="119">
        <f t="shared" si="271"/>
        <v>13.89</v>
      </c>
      <c r="J1599" s="115" t="str">
        <f t="shared" si="272"/>
        <v/>
      </c>
      <c r="K1599" s="102" t="str">
        <f>IF(A1599&amp;B1599="","",VLOOKUP(A1599&amp;B1599,INSUMOS!C:G,5,0))</f>
        <v>MT</v>
      </c>
    </row>
    <row r="1600" spans="1:17" ht="15" x14ac:dyDescent="0.25">
      <c r="A1600" s="120"/>
      <c r="B1600" s="121"/>
      <c r="C1600" s="518" t="str">
        <f>IF(A1600&amp;B1600="","",VLOOKUP(A1600&amp;B1600,INSUMOS!C:G,2,0))</f>
        <v/>
      </c>
      <c r="D1600" s="519"/>
      <c r="E1600" s="117" t="str">
        <f>IF(A1600&amp;B1600="","",VLOOKUP(A1600&amp;B1600,INSUMOS!C:G,3,0))</f>
        <v/>
      </c>
      <c r="F1600" s="118"/>
      <c r="G1600" s="122" t="str">
        <f>IF(A1600&amp;B1600="","",VLOOKUP(A1600&amp;B1600,INSUMOS!C:G,4,0))</f>
        <v/>
      </c>
      <c r="H1600" s="119" t="str">
        <f t="shared" si="270"/>
        <v/>
      </c>
      <c r="I1600" s="119" t="str">
        <f t="shared" si="271"/>
        <v/>
      </c>
      <c r="J1600" s="115" t="str">
        <f t="shared" si="272"/>
        <v/>
      </c>
      <c r="K1600" s="102" t="str">
        <f>IF(A1600&amp;B1600="","",VLOOKUP(A1600&amp;B1600,INSUMOS!C:G,5,0))</f>
        <v/>
      </c>
    </row>
    <row r="1601" spans="1:17" ht="15" x14ac:dyDescent="0.25">
      <c r="A1601" s="120"/>
      <c r="B1601" s="121"/>
      <c r="C1601" s="518" t="str">
        <f>IF(A1601&amp;B1601="","",VLOOKUP(A1601&amp;B1601,INSUMOS!C:G,2,0))</f>
        <v/>
      </c>
      <c r="D1601" s="519"/>
      <c r="E1601" s="117" t="str">
        <f>IF(A1601&amp;B1601="","",VLOOKUP(A1601&amp;B1601,INSUMOS!C:G,3,0))</f>
        <v/>
      </c>
      <c r="F1601" s="118"/>
      <c r="G1601" s="122" t="str">
        <f>IF(A1601&amp;B1601="","",VLOOKUP(A1601&amp;B1601,INSUMOS!C:G,4,0))</f>
        <v/>
      </c>
      <c r="H1601" s="119" t="str">
        <f t="shared" si="270"/>
        <v/>
      </c>
      <c r="I1601" s="119" t="str">
        <f t="shared" si="271"/>
        <v/>
      </c>
      <c r="J1601" s="115" t="str">
        <f t="shared" si="272"/>
        <v/>
      </c>
      <c r="K1601" s="102" t="str">
        <f>IF(A1601&amp;B1601="","",VLOOKUP(A1601&amp;B1601,INSUMOS!C:G,5,0))</f>
        <v/>
      </c>
    </row>
    <row r="1602" spans="1:17" ht="15" x14ac:dyDescent="0.25">
      <c r="A1602" s="123" t="s">
        <v>4399</v>
      </c>
      <c r="B1602" s="520"/>
      <c r="C1602" s="520"/>
      <c r="D1602" s="520"/>
      <c r="E1602" s="520"/>
      <c r="F1602" s="521"/>
      <c r="G1602" s="124" t="s">
        <v>50</v>
      </c>
      <c r="H1602" s="125">
        <f>SUM(H1590:H1601)</f>
        <v>37.53</v>
      </c>
      <c r="I1602" s="125">
        <f>SUM(I1590:I1601)</f>
        <v>225.39999999999998</v>
      </c>
      <c r="J1602" s="126">
        <f>SUM(J1590:J1601)</f>
        <v>0</v>
      </c>
    </row>
    <row r="1603" spans="1:17" ht="15" x14ac:dyDescent="0.25">
      <c r="A1603" s="127" t="s">
        <v>4400</v>
      </c>
      <c r="B1603" s="128"/>
      <c r="C1603" s="128"/>
      <c r="D1603" s="127" t="s">
        <v>51</v>
      </c>
      <c r="E1603" s="128"/>
      <c r="F1603" s="129"/>
      <c r="G1603" s="130" t="s">
        <v>55</v>
      </c>
      <c r="H1603" s="131" t="s">
        <v>52</v>
      </c>
      <c r="I1603" s="132"/>
      <c r="J1603" s="125">
        <f>SUM(H1602:J1602)</f>
        <v>262.92999999999995</v>
      </c>
    </row>
    <row r="1604" spans="1:17" ht="15" x14ac:dyDescent="0.25">
      <c r="A1604" s="313" t="str">
        <f>$I$3</f>
        <v>Carlos Wieck</v>
      </c>
      <c r="B1604" s="133"/>
      <c r="C1604" s="133"/>
      <c r="D1604" s="134"/>
      <c r="E1604" s="133"/>
      <c r="F1604" s="135"/>
      <c r="G1604" s="522">
        <f>$J$5</f>
        <v>43040</v>
      </c>
      <c r="H1604" s="136" t="s">
        <v>53</v>
      </c>
      <c r="I1604" s="137"/>
      <c r="J1604" s="125">
        <f>TRUNC(I1604*J1603,2)</f>
        <v>0</v>
      </c>
    </row>
    <row r="1605" spans="1:17" ht="15" x14ac:dyDescent="0.25">
      <c r="A1605" s="138"/>
      <c r="B1605" s="139"/>
      <c r="C1605" s="139"/>
      <c r="D1605" s="138"/>
      <c r="E1605" s="139"/>
      <c r="F1605" s="140"/>
      <c r="G1605" s="523"/>
      <c r="H1605" s="141" t="s">
        <v>54</v>
      </c>
      <c r="I1605" s="142"/>
      <c r="J1605" s="143">
        <f>J1604+J1603</f>
        <v>262.92999999999995</v>
      </c>
      <c r="L1605" s="102" t="str">
        <f>A1587</f>
        <v>COMPOSIÇÃO</v>
      </c>
      <c r="M1605" s="144" t="str">
        <f>B1587</f>
        <v>FF-064</v>
      </c>
      <c r="N1605" s="102" t="str">
        <f>L1605&amp;M1605</f>
        <v>COMPOSIÇÃOFF-064</v>
      </c>
      <c r="O1605" s="103" t="str">
        <f>D1586</f>
        <v xml:space="preserve">Deck de madeira com pranchas de Pinus tratado em autoclave impermeabilizado, L = 100 mm e E = 20 mm
Instalado sobre camada de impermeabilização e painéis com miolo de madeira contraplacado por lâminas de madeira e externamente por chapas em CRFS - espessura de 40 mm </v>
      </c>
      <c r="P1605" s="145" t="str">
        <f>J1587</f>
        <v>m²</v>
      </c>
      <c r="Q1605" s="145">
        <f>J1605</f>
        <v>262.92999999999995</v>
      </c>
    </row>
    <row r="1606" spans="1:17" ht="15" x14ac:dyDescent="0.25">
      <c r="A1606" s="524" t="s">
        <v>40</v>
      </c>
      <c r="B1606" s="525"/>
      <c r="C1606" s="104" t="s">
        <v>41</v>
      </c>
      <c r="D1606" s="526" t="str">
        <f>IF(B1607="","",VLOOKUP(B1607,SERVIÇOS!B:E,3,0))</f>
        <v>Placas de MDF resistente à úmidade revestidas com laminado melamínico de alta pressão, texturizado, cor branca. Ref. Formica L 120 Branco TX</v>
      </c>
      <c r="E1606" s="526"/>
      <c r="F1606" s="526"/>
      <c r="G1606" s="526"/>
      <c r="H1606" s="526"/>
      <c r="I1606" s="527"/>
      <c r="J1606" s="105" t="s">
        <v>42</v>
      </c>
    </row>
    <row r="1607" spans="1:17" ht="15" x14ac:dyDescent="0.25">
      <c r="A1607" s="230" t="s">
        <v>4715</v>
      </c>
      <c r="B1607" s="230" t="s">
        <v>5085</v>
      </c>
      <c r="C1607" s="106"/>
      <c r="D1607" s="528"/>
      <c r="E1607" s="528"/>
      <c r="F1607" s="528"/>
      <c r="G1607" s="528"/>
      <c r="H1607" s="528"/>
      <c r="I1607" s="529"/>
      <c r="J1607" s="107" t="str">
        <f>IF(B1607="","",VLOOKUP(B1607,SERVIÇOS!B:E,4,0))</f>
        <v>m²</v>
      </c>
    </row>
    <row r="1608" spans="1:17" ht="15" x14ac:dyDescent="0.25">
      <c r="A1608" s="530" t="s">
        <v>4397</v>
      </c>
      <c r="B1608" s="531" t="s">
        <v>11</v>
      </c>
      <c r="C1608" s="533" t="s">
        <v>43</v>
      </c>
      <c r="D1608" s="534"/>
      <c r="E1608" s="530" t="s">
        <v>13</v>
      </c>
      <c r="F1608" s="530" t="s">
        <v>44</v>
      </c>
      <c r="G1608" s="538" t="s">
        <v>45</v>
      </c>
      <c r="H1608" s="108" t="s">
        <v>46</v>
      </c>
      <c r="I1608" s="108"/>
      <c r="J1608" s="108"/>
    </row>
    <row r="1609" spans="1:17" ht="15" x14ac:dyDescent="0.25">
      <c r="A1609" s="530"/>
      <c r="B1609" s="532"/>
      <c r="C1609" s="535"/>
      <c r="D1609" s="536"/>
      <c r="E1609" s="537"/>
      <c r="F1609" s="537"/>
      <c r="G1609" s="539"/>
      <c r="H1609" s="108" t="s">
        <v>47</v>
      </c>
      <c r="I1609" s="108" t="s">
        <v>48</v>
      </c>
      <c r="J1609" s="108" t="s">
        <v>49</v>
      </c>
    </row>
    <row r="1610" spans="1:17" ht="15" x14ac:dyDescent="0.25">
      <c r="A1610" s="109" t="s">
        <v>4810</v>
      </c>
      <c r="B1610" s="116">
        <v>34675</v>
      </c>
      <c r="C1610" s="540" t="str">
        <f>IF(A1610&amp;B1610="","",VLOOKUP(A1610&amp;B1610,INSUMOS!C:G,2,0))</f>
        <v>Chapa de MDF cru, E = 25 mm, de *2,75 x 1,85* m</v>
      </c>
      <c r="D1610" s="541"/>
      <c r="E1610" s="111" t="str">
        <f>IF(A1610&amp;B1610="","",VLOOKUP(A1610&amp;B1610,INSUMOS!C:G,3,0))</f>
        <v>m²</v>
      </c>
      <c r="F1610" s="112">
        <v>1.1000000000000001</v>
      </c>
      <c r="G1610" s="113">
        <f>IF(A1610&amp;B1610="","",VLOOKUP(A1610&amp;B1610,INSUMOS!C:G,4,0))</f>
        <v>29.01</v>
      </c>
      <c r="H1610" s="114" t="str">
        <f>IF(K1610="MO",TRUNC(F1610*G1610,2),"")</f>
        <v/>
      </c>
      <c r="I1610" s="114">
        <f>IF(K1610="MT",TRUNC(F1610*G1610,2),"")</f>
        <v>31.91</v>
      </c>
      <c r="J1610" s="115" t="str">
        <f>IF(K1610="EQ",TRUNC(F1610*G1610,2),"")</f>
        <v/>
      </c>
      <c r="K1610" s="102" t="str">
        <f>IF(A1610&amp;B1610="","",VLOOKUP(A1610&amp;B1610,INSUMOS!C:G,5,0))</f>
        <v>MT</v>
      </c>
    </row>
    <row r="1611" spans="1:17" ht="15" x14ac:dyDescent="0.25">
      <c r="A1611" s="109" t="s">
        <v>4810</v>
      </c>
      <c r="B1611" s="116">
        <v>1339</v>
      </c>
      <c r="C1611" s="518" t="str">
        <f>IF(A1611&amp;B1611="","",VLOOKUP(A1611&amp;B1611,INSUMOS!C:G,2,0))</f>
        <v>Cola a base de resina sintética para chapa de laminado melamínico</v>
      </c>
      <c r="D1611" s="519"/>
      <c r="E1611" s="117" t="str">
        <f>IF(A1611&amp;B1611="","",VLOOKUP(A1611&amp;B1611,INSUMOS!C:G,3,0))</f>
        <v>kg</v>
      </c>
      <c r="F1611" s="118">
        <v>0.9</v>
      </c>
      <c r="G1611" s="113">
        <f>IF(A1611&amp;B1611="","",VLOOKUP(A1611&amp;B1611,INSUMOS!C:G,4,0))</f>
        <v>24.34</v>
      </c>
      <c r="H1611" s="119" t="str">
        <f t="shared" ref="H1611" si="273">IF(K1611="MO",TRUNC(F1611*G1611,2),"")</f>
        <v/>
      </c>
      <c r="I1611" s="119">
        <f t="shared" ref="I1611" si="274">IF(K1611="MT",TRUNC(F1611*G1611,2),"")</f>
        <v>21.9</v>
      </c>
      <c r="J1611" s="115" t="str">
        <f t="shared" ref="J1611" si="275">IF(K1611="EQ",TRUNC(F1611*G1611,2),"")</f>
        <v/>
      </c>
      <c r="K1611" s="102" t="str">
        <f>IF(A1611&amp;B1611="","",VLOOKUP(A1611&amp;B1611,INSUMOS!C:G,5,0))</f>
        <v>MT</v>
      </c>
    </row>
    <row r="1612" spans="1:17" ht="15" x14ac:dyDescent="0.25">
      <c r="A1612" s="109" t="s">
        <v>4810</v>
      </c>
      <c r="B1612" s="116">
        <v>1338</v>
      </c>
      <c r="C1612" s="518" t="str">
        <f>IF(A1612&amp;B1612="","",VLOOKUP(A1612&amp;B1612,INSUMOS!C:G,2,0))</f>
        <v>Chapa de laminado melamínico, liso fosco, de 1,25x3,08m, e=0,8mm</v>
      </c>
      <c r="D1612" s="519"/>
      <c r="E1612" s="117" t="str">
        <f>IF(A1612&amp;B1612="","",VLOOKUP(A1612&amp;B1612,INSUMOS!C:G,3,0))</f>
        <v>m²</v>
      </c>
      <c r="F1612" s="118">
        <v>1.1000000000000001</v>
      </c>
      <c r="G1612" s="113">
        <f>IF(A1612&amp;B1612="","",VLOOKUP(A1612&amp;B1612,INSUMOS!C:G,4,0))</f>
        <v>28.07</v>
      </c>
      <c r="H1612" s="119" t="str">
        <f>IF(K1612="MO",TRUNC(F1612*G1612,2),"")</f>
        <v/>
      </c>
      <c r="I1612" s="119">
        <f>IF(K1612="MT",TRUNC(F1612*G1612,2),"")</f>
        <v>30.87</v>
      </c>
      <c r="J1612" s="115" t="str">
        <f>IF(K1612="EQ",TRUNC(F1612*G1612,2),"")</f>
        <v/>
      </c>
      <c r="K1612" s="102" t="str">
        <f>IF(A1612&amp;B1612="","",VLOOKUP(A1612&amp;B1612,INSUMOS!C:G,5,0))</f>
        <v>MT</v>
      </c>
    </row>
    <row r="1613" spans="1:17" ht="15" x14ac:dyDescent="0.25">
      <c r="A1613" s="109" t="s">
        <v>4398</v>
      </c>
      <c r="B1613" s="116">
        <v>10111</v>
      </c>
      <c r="C1613" s="518" t="str">
        <f>IF(A1613&amp;B1613="","",VLOOKUP(A1613&amp;B1613,INSUMOS!C:G,2,0))</f>
        <v>Carpinteiro</v>
      </c>
      <c r="D1613" s="519"/>
      <c r="E1613" s="117" t="str">
        <f>IF(A1613&amp;B1613="","",VLOOKUP(A1613&amp;B1613,INSUMOS!C:G,3,0))</f>
        <v>h</v>
      </c>
      <c r="F1613" s="118">
        <v>0.5</v>
      </c>
      <c r="G1613" s="113">
        <f>IF(A1613&amp;B1613="","",VLOOKUP(A1613&amp;B1613,INSUMOS!C:G,4,0))</f>
        <v>13.380699</v>
      </c>
      <c r="H1613" s="119">
        <f>IF(K1613="MO",TRUNC(F1613*G1613,2),"")</f>
        <v>6.69</v>
      </c>
      <c r="I1613" s="119" t="str">
        <f>IF(K1613="MT",TRUNC(F1613*G1613,2),"")</f>
        <v/>
      </c>
      <c r="J1613" s="115" t="str">
        <f>IF(K1613="EQ",TRUNC(F1613*G1613,2),"")</f>
        <v/>
      </c>
      <c r="K1613" s="102" t="str">
        <f>IF(A1613&amp;B1613="","",VLOOKUP(A1613&amp;B1613,INSUMOS!C:G,5,0))</f>
        <v>MO</v>
      </c>
    </row>
    <row r="1614" spans="1:17" ht="15" x14ac:dyDescent="0.25">
      <c r="A1614" s="109" t="s">
        <v>4398</v>
      </c>
      <c r="B1614" s="116">
        <v>10112</v>
      </c>
      <c r="C1614" s="518" t="str">
        <f>IF(A1614&amp;B1614="","",VLOOKUP(A1614&amp;B1614,INSUMOS!C:G,2,0))</f>
        <v>Ajudante de carpinteiro</v>
      </c>
      <c r="D1614" s="519"/>
      <c r="E1614" s="117" t="str">
        <f>IF(A1614&amp;B1614="","",VLOOKUP(A1614&amp;B1614,INSUMOS!C:G,3,0))</f>
        <v>h</v>
      </c>
      <c r="F1614" s="118">
        <v>0.5</v>
      </c>
      <c r="G1614" s="113">
        <f>IF(A1614&amp;B1614="","",VLOOKUP(A1614&amp;B1614,INSUMOS!C:G,4,0))</f>
        <v>10.985028</v>
      </c>
      <c r="H1614" s="119">
        <f t="shared" ref="H1614:H1621" si="276">IF(K1614="MO",TRUNC(F1614*G1614,2),"")</f>
        <v>5.49</v>
      </c>
      <c r="I1614" s="119" t="str">
        <f t="shared" ref="I1614:I1621" si="277">IF(K1614="MT",TRUNC(F1614*G1614,2),"")</f>
        <v/>
      </c>
      <c r="J1614" s="115" t="str">
        <f t="shared" ref="J1614:J1621" si="278">IF(K1614="EQ",TRUNC(F1614*G1614,2),"")</f>
        <v/>
      </c>
      <c r="K1614" s="102" t="str">
        <f>IF(A1614&amp;B1614="","",VLOOKUP(A1614&amp;B1614,INSUMOS!C:G,5,0))</f>
        <v>MO</v>
      </c>
    </row>
    <row r="1615" spans="1:17" ht="15" x14ac:dyDescent="0.25">
      <c r="A1615" s="109"/>
      <c r="B1615" s="116"/>
      <c r="C1615" s="518" t="str">
        <f>IF(A1615&amp;B1615="","",VLOOKUP(A1615&amp;B1615,INSUMOS!C:G,2,0))</f>
        <v/>
      </c>
      <c r="D1615" s="519"/>
      <c r="E1615" s="117" t="str">
        <f>IF(A1615&amp;B1615="","",VLOOKUP(A1615&amp;B1615,INSUMOS!C:G,3,0))</f>
        <v/>
      </c>
      <c r="F1615" s="118"/>
      <c r="G1615" s="113" t="str">
        <f>IF(A1615&amp;B1615="","",VLOOKUP(A1615&amp;B1615,INSUMOS!C:G,4,0))</f>
        <v/>
      </c>
      <c r="H1615" s="119" t="str">
        <f t="shared" si="276"/>
        <v/>
      </c>
      <c r="I1615" s="119" t="str">
        <f t="shared" si="277"/>
        <v/>
      </c>
      <c r="J1615" s="115" t="str">
        <f t="shared" si="278"/>
        <v/>
      </c>
      <c r="K1615" s="102" t="str">
        <f>IF(A1615&amp;B1615="","",VLOOKUP(A1615&amp;B1615,INSUMOS!C:G,5,0))</f>
        <v/>
      </c>
    </row>
    <row r="1616" spans="1:17" ht="15" x14ac:dyDescent="0.25">
      <c r="A1616" s="109"/>
      <c r="B1616" s="116"/>
      <c r="C1616" s="518" t="str">
        <f>IF(A1616&amp;B1616="","",VLOOKUP(A1616&amp;B1616,INSUMOS!C:G,2,0))</f>
        <v/>
      </c>
      <c r="D1616" s="519"/>
      <c r="E1616" s="117" t="str">
        <f>IF(A1616&amp;B1616="","",VLOOKUP(A1616&amp;B1616,INSUMOS!C:G,3,0))</f>
        <v/>
      </c>
      <c r="F1616" s="118"/>
      <c r="G1616" s="113" t="str">
        <f>IF(A1616&amp;B1616="","",VLOOKUP(A1616&amp;B1616,INSUMOS!C:G,4,0))</f>
        <v/>
      </c>
      <c r="H1616" s="119" t="str">
        <f t="shared" si="276"/>
        <v/>
      </c>
      <c r="I1616" s="119" t="str">
        <f t="shared" si="277"/>
        <v/>
      </c>
      <c r="J1616" s="115" t="str">
        <f t="shared" si="278"/>
        <v/>
      </c>
      <c r="K1616" s="102" t="str">
        <f>IF(A1616&amp;B1616="","",VLOOKUP(A1616&amp;B1616,INSUMOS!C:G,5,0))</f>
        <v/>
      </c>
    </row>
    <row r="1617" spans="1:17" ht="15" x14ac:dyDescent="0.25">
      <c r="A1617" s="109"/>
      <c r="B1617" s="116"/>
      <c r="C1617" s="518" t="str">
        <f>IF(A1617&amp;B1617="","",VLOOKUP(A1617&amp;B1617,INSUMOS!C:G,2,0))</f>
        <v/>
      </c>
      <c r="D1617" s="519"/>
      <c r="E1617" s="117" t="str">
        <f>IF(A1617&amp;B1617="","",VLOOKUP(A1617&amp;B1617,INSUMOS!C:G,3,0))</f>
        <v/>
      </c>
      <c r="F1617" s="118"/>
      <c r="G1617" s="113" t="str">
        <f>IF(A1617&amp;B1617="","",VLOOKUP(A1617&amp;B1617,INSUMOS!C:G,4,0))</f>
        <v/>
      </c>
      <c r="H1617" s="119" t="str">
        <f t="shared" si="276"/>
        <v/>
      </c>
      <c r="I1617" s="119" t="str">
        <f t="shared" si="277"/>
        <v/>
      </c>
      <c r="J1617" s="115" t="str">
        <f t="shared" si="278"/>
        <v/>
      </c>
      <c r="K1617" s="102" t="str">
        <f>IF(A1617&amp;B1617="","",VLOOKUP(A1617&amp;B1617,INSUMOS!C:G,5,0))</f>
        <v/>
      </c>
    </row>
    <row r="1618" spans="1:17" ht="15" x14ac:dyDescent="0.25">
      <c r="A1618" s="109"/>
      <c r="B1618" s="116"/>
      <c r="C1618" s="518" t="str">
        <f>IF(A1618&amp;B1618="","",VLOOKUP(A1618&amp;B1618,INSUMOS!C:G,2,0))</f>
        <v/>
      </c>
      <c r="D1618" s="519"/>
      <c r="E1618" s="117" t="str">
        <f>IF(A1618&amp;B1618="","",VLOOKUP(A1618&amp;B1618,INSUMOS!C:G,3,0))</f>
        <v/>
      </c>
      <c r="F1618" s="118"/>
      <c r="G1618" s="113" t="str">
        <f>IF(A1618&amp;B1618="","",VLOOKUP(A1618&amp;B1618,INSUMOS!C:G,4,0))</f>
        <v/>
      </c>
      <c r="H1618" s="119" t="str">
        <f t="shared" si="276"/>
        <v/>
      </c>
      <c r="I1618" s="119" t="str">
        <f t="shared" si="277"/>
        <v/>
      </c>
      <c r="J1618" s="115" t="str">
        <f t="shared" si="278"/>
        <v/>
      </c>
      <c r="K1618" s="102" t="str">
        <f>IF(A1618&amp;B1618="","",VLOOKUP(A1618&amp;B1618,INSUMOS!C:G,5,0))</f>
        <v/>
      </c>
    </row>
    <row r="1619" spans="1:17" ht="15" x14ac:dyDescent="0.25">
      <c r="A1619" s="120"/>
      <c r="B1619" s="121"/>
      <c r="C1619" s="518" t="str">
        <f>IF(A1619&amp;B1619="","",VLOOKUP(A1619&amp;B1619,INSUMOS!C:G,2,0))</f>
        <v/>
      </c>
      <c r="D1619" s="519"/>
      <c r="E1619" s="117" t="str">
        <f>IF(A1619&amp;B1619="","",VLOOKUP(A1619&amp;B1619,INSUMOS!C:G,3,0))</f>
        <v/>
      </c>
      <c r="F1619" s="118"/>
      <c r="G1619" s="122" t="str">
        <f>IF(A1619&amp;B1619="","",VLOOKUP(A1619&amp;B1619,INSUMOS!C:G,4,0))</f>
        <v/>
      </c>
      <c r="H1619" s="119" t="str">
        <f t="shared" si="276"/>
        <v/>
      </c>
      <c r="I1619" s="119" t="str">
        <f t="shared" si="277"/>
        <v/>
      </c>
      <c r="J1619" s="115" t="str">
        <f t="shared" si="278"/>
        <v/>
      </c>
      <c r="K1619" s="102" t="str">
        <f>IF(A1619&amp;B1619="","",VLOOKUP(A1619&amp;B1619,INSUMOS!C:G,5,0))</f>
        <v/>
      </c>
    </row>
    <row r="1620" spans="1:17" ht="15" x14ac:dyDescent="0.25">
      <c r="A1620" s="120"/>
      <c r="B1620" s="121"/>
      <c r="C1620" s="518" t="str">
        <f>IF(A1620&amp;B1620="","",VLOOKUP(A1620&amp;B1620,INSUMOS!C:G,2,0))</f>
        <v/>
      </c>
      <c r="D1620" s="519"/>
      <c r="E1620" s="117" t="str">
        <f>IF(A1620&amp;B1620="","",VLOOKUP(A1620&amp;B1620,INSUMOS!C:G,3,0))</f>
        <v/>
      </c>
      <c r="F1620" s="118"/>
      <c r="G1620" s="122" t="str">
        <f>IF(A1620&amp;B1620="","",VLOOKUP(A1620&amp;B1620,INSUMOS!C:G,4,0))</f>
        <v/>
      </c>
      <c r="H1620" s="119" t="str">
        <f t="shared" si="276"/>
        <v/>
      </c>
      <c r="I1620" s="119" t="str">
        <f t="shared" si="277"/>
        <v/>
      </c>
      <c r="J1620" s="115" t="str">
        <f t="shared" si="278"/>
        <v/>
      </c>
      <c r="K1620" s="102" t="str">
        <f>IF(A1620&amp;B1620="","",VLOOKUP(A1620&amp;B1620,INSUMOS!C:G,5,0))</f>
        <v/>
      </c>
    </row>
    <row r="1621" spans="1:17" ht="15" x14ac:dyDescent="0.25">
      <c r="A1621" s="120"/>
      <c r="B1621" s="121"/>
      <c r="C1621" s="518" t="str">
        <f>IF(A1621&amp;B1621="","",VLOOKUP(A1621&amp;B1621,INSUMOS!C:G,2,0))</f>
        <v/>
      </c>
      <c r="D1621" s="519"/>
      <c r="E1621" s="117" t="str">
        <f>IF(A1621&amp;B1621="","",VLOOKUP(A1621&amp;B1621,INSUMOS!C:G,3,0))</f>
        <v/>
      </c>
      <c r="F1621" s="118"/>
      <c r="G1621" s="122" t="str">
        <f>IF(A1621&amp;B1621="","",VLOOKUP(A1621&amp;B1621,INSUMOS!C:G,4,0))</f>
        <v/>
      </c>
      <c r="H1621" s="119" t="str">
        <f t="shared" si="276"/>
        <v/>
      </c>
      <c r="I1621" s="119" t="str">
        <f t="shared" si="277"/>
        <v/>
      </c>
      <c r="J1621" s="115" t="str">
        <f t="shared" si="278"/>
        <v/>
      </c>
      <c r="K1621" s="102" t="str">
        <f>IF(A1621&amp;B1621="","",VLOOKUP(A1621&amp;B1621,INSUMOS!C:G,5,0))</f>
        <v/>
      </c>
    </row>
    <row r="1622" spans="1:17" ht="15" x14ac:dyDescent="0.25">
      <c r="A1622" s="123" t="s">
        <v>4399</v>
      </c>
      <c r="B1622" s="520"/>
      <c r="C1622" s="520"/>
      <c r="D1622" s="520"/>
      <c r="E1622" s="520"/>
      <c r="F1622" s="521"/>
      <c r="G1622" s="124" t="s">
        <v>50</v>
      </c>
      <c r="H1622" s="125">
        <f>SUM(H1610:H1621)</f>
        <v>12.18</v>
      </c>
      <c r="I1622" s="125">
        <f>SUM(I1610:I1621)</f>
        <v>84.68</v>
      </c>
      <c r="J1622" s="126">
        <f>SUM(J1610:J1621)</f>
        <v>0</v>
      </c>
    </row>
    <row r="1623" spans="1:17" ht="15" x14ac:dyDescent="0.25">
      <c r="A1623" s="127" t="s">
        <v>4400</v>
      </c>
      <c r="B1623" s="128"/>
      <c r="C1623" s="128"/>
      <c r="D1623" s="127" t="s">
        <v>51</v>
      </c>
      <c r="E1623" s="128"/>
      <c r="F1623" s="129"/>
      <c r="G1623" s="130" t="s">
        <v>55</v>
      </c>
      <c r="H1623" s="131" t="s">
        <v>52</v>
      </c>
      <c r="I1623" s="132"/>
      <c r="J1623" s="125">
        <f>SUM(H1622:J1622)</f>
        <v>96.860000000000014</v>
      </c>
    </row>
    <row r="1624" spans="1:17" ht="15" x14ac:dyDescent="0.25">
      <c r="A1624" s="313" t="str">
        <f>$I$3</f>
        <v>Carlos Wieck</v>
      </c>
      <c r="B1624" s="133"/>
      <c r="C1624" s="133"/>
      <c r="D1624" s="134"/>
      <c r="E1624" s="133"/>
      <c r="F1624" s="135"/>
      <c r="G1624" s="522">
        <f>$J$5</f>
        <v>43040</v>
      </c>
      <c r="H1624" s="136" t="s">
        <v>53</v>
      </c>
      <c r="I1624" s="137"/>
      <c r="J1624" s="125">
        <f>TRUNC(I1624*J1623,2)</f>
        <v>0</v>
      </c>
    </row>
    <row r="1625" spans="1:17" ht="15" x14ac:dyDescent="0.25">
      <c r="A1625" s="138"/>
      <c r="B1625" s="139"/>
      <c r="C1625" s="139"/>
      <c r="D1625" s="138"/>
      <c r="E1625" s="139"/>
      <c r="F1625" s="140"/>
      <c r="G1625" s="523"/>
      <c r="H1625" s="141" t="s">
        <v>54</v>
      </c>
      <c r="I1625" s="142"/>
      <c r="J1625" s="143">
        <f>J1624+J1623</f>
        <v>96.860000000000014</v>
      </c>
      <c r="L1625" s="102" t="str">
        <f>A1607</f>
        <v>COMPOSIÇÃO</v>
      </c>
      <c r="M1625" s="144" t="str">
        <f>B1607</f>
        <v>FF-065</v>
      </c>
      <c r="N1625" s="102" t="str">
        <f>L1625&amp;M1625</f>
        <v>COMPOSIÇÃOFF-065</v>
      </c>
      <c r="O1625" s="103" t="str">
        <f>D1606</f>
        <v>Placas de MDF resistente à úmidade revestidas com laminado melamínico de alta pressão, texturizado, cor branca. Ref. Formica L 120 Branco TX</v>
      </c>
      <c r="P1625" s="145" t="str">
        <f>J1607</f>
        <v>m²</v>
      </c>
      <c r="Q1625" s="145">
        <f>J1625</f>
        <v>96.860000000000014</v>
      </c>
    </row>
    <row r="1626" spans="1:17" ht="15" x14ac:dyDescent="0.25">
      <c r="A1626" s="524" t="s">
        <v>40</v>
      </c>
      <c r="B1626" s="525"/>
      <c r="C1626" s="104" t="s">
        <v>41</v>
      </c>
      <c r="D1626" s="526" t="str">
        <f>IF(B1627="","",VLOOKUP(B1627,SERVIÇOS!B:E,3,0))</f>
        <v>Pintura com tinta epóxi cor branca aplicada sobre massa acrílica e placas cimentícias com tratamento de impermeabilização</v>
      </c>
      <c r="E1626" s="526"/>
      <c r="F1626" s="526"/>
      <c r="G1626" s="526"/>
      <c r="H1626" s="526"/>
      <c r="I1626" s="527"/>
      <c r="J1626" s="105" t="s">
        <v>42</v>
      </c>
    </row>
    <row r="1627" spans="1:17" ht="15" x14ac:dyDescent="0.25">
      <c r="A1627" s="230" t="s">
        <v>4715</v>
      </c>
      <c r="B1627" s="230" t="s">
        <v>5086</v>
      </c>
      <c r="C1627" s="106"/>
      <c r="D1627" s="528"/>
      <c r="E1627" s="528"/>
      <c r="F1627" s="528"/>
      <c r="G1627" s="528"/>
      <c r="H1627" s="528"/>
      <c r="I1627" s="529"/>
      <c r="J1627" s="107" t="str">
        <f>IF(B1627="","",VLOOKUP(B1627,SERVIÇOS!B:E,4,0))</f>
        <v>m²</v>
      </c>
    </row>
    <row r="1628" spans="1:17" ht="15" x14ac:dyDescent="0.25">
      <c r="A1628" s="530" t="s">
        <v>4397</v>
      </c>
      <c r="B1628" s="531" t="s">
        <v>11</v>
      </c>
      <c r="C1628" s="533" t="s">
        <v>43</v>
      </c>
      <c r="D1628" s="534"/>
      <c r="E1628" s="530" t="s">
        <v>13</v>
      </c>
      <c r="F1628" s="530" t="s">
        <v>44</v>
      </c>
      <c r="G1628" s="538" t="s">
        <v>45</v>
      </c>
      <c r="H1628" s="108" t="s">
        <v>46</v>
      </c>
      <c r="I1628" s="108"/>
      <c r="J1628" s="108"/>
    </row>
    <row r="1629" spans="1:17" ht="15" x14ac:dyDescent="0.25">
      <c r="A1629" s="530"/>
      <c r="B1629" s="532"/>
      <c r="C1629" s="535"/>
      <c r="D1629" s="536"/>
      <c r="E1629" s="537"/>
      <c r="F1629" s="537"/>
      <c r="G1629" s="539"/>
      <c r="H1629" s="108" t="s">
        <v>47</v>
      </c>
      <c r="I1629" s="108" t="s">
        <v>48</v>
      </c>
      <c r="J1629" s="108" t="s">
        <v>49</v>
      </c>
    </row>
    <row r="1630" spans="1:17" ht="15" x14ac:dyDescent="0.25">
      <c r="A1630" s="109" t="s">
        <v>4398</v>
      </c>
      <c r="B1630" s="116">
        <v>28057</v>
      </c>
      <c r="C1630" s="540" t="str">
        <f>IF(A1630&amp;B1630="","",VLOOKUP(A1630&amp;B1630,INSUMOS!C:G,2,0))</f>
        <v>Selador para tinta epóxi</v>
      </c>
      <c r="D1630" s="541"/>
      <c r="E1630" s="111" t="str">
        <f>IF(A1630&amp;B1630="","",VLOOKUP(A1630&amp;B1630,INSUMOS!C:G,3,0))</f>
        <v>l</v>
      </c>
      <c r="F1630" s="112">
        <v>0.24</v>
      </c>
      <c r="G1630" s="113">
        <f>IF(A1630&amp;B1630="","",VLOOKUP(A1630&amp;B1630,INSUMOS!C:G,4,0))</f>
        <v>35.58</v>
      </c>
      <c r="H1630" s="114" t="str">
        <f>IF(K1630="MO",TRUNC(F1630*G1630,2),"")</f>
        <v/>
      </c>
      <c r="I1630" s="114">
        <f>IF(K1630="MT",TRUNC(F1630*G1630,2),"")</f>
        <v>8.5299999999999994</v>
      </c>
      <c r="J1630" s="115" t="str">
        <f>IF(K1630="EQ",TRUNC(F1630*G1630,2),"")</f>
        <v/>
      </c>
      <c r="K1630" s="102" t="str">
        <f>IF(A1630&amp;B1630="","",VLOOKUP(A1630&amp;B1630,INSUMOS!C:G,5,0))</f>
        <v>MT</v>
      </c>
    </row>
    <row r="1631" spans="1:17" ht="15" x14ac:dyDescent="0.25">
      <c r="A1631" s="109" t="s">
        <v>4398</v>
      </c>
      <c r="B1631" s="116">
        <v>37545</v>
      </c>
      <c r="C1631" s="518" t="str">
        <f>IF(A1631&amp;B1631="","",VLOOKUP(A1631&amp;B1631,INSUMOS!C:G,2,0))</f>
        <v>Tinta-base epoxi</v>
      </c>
      <c r="D1631" s="519"/>
      <c r="E1631" s="117" t="str">
        <f>IF(A1631&amp;B1631="","",VLOOKUP(A1631&amp;B1631,INSUMOS!C:G,3,0))</f>
        <v>l</v>
      </c>
      <c r="F1631" s="118">
        <v>0.2</v>
      </c>
      <c r="G1631" s="113">
        <f>IF(A1631&amp;B1631="","",VLOOKUP(A1631&amp;B1631,INSUMOS!C:G,4,0))</f>
        <v>44.74</v>
      </c>
      <c r="H1631" s="119" t="str">
        <f t="shared" ref="H1631" si="279">IF(K1631="MO",TRUNC(F1631*G1631,2),"")</f>
        <v/>
      </c>
      <c r="I1631" s="119">
        <f t="shared" ref="I1631" si="280">IF(K1631="MT",TRUNC(F1631*G1631,2),"")</f>
        <v>8.94</v>
      </c>
      <c r="J1631" s="115" t="str">
        <f t="shared" ref="J1631" si="281">IF(K1631="EQ",TRUNC(F1631*G1631,2),"")</f>
        <v/>
      </c>
      <c r="K1631" s="102" t="str">
        <f>IF(A1631&amp;B1631="","",VLOOKUP(A1631&amp;B1631,INSUMOS!C:G,5,0))</f>
        <v>MT</v>
      </c>
    </row>
    <row r="1632" spans="1:17" ht="15" x14ac:dyDescent="0.25">
      <c r="A1632" s="109" t="s">
        <v>4398</v>
      </c>
      <c r="B1632" s="116">
        <v>38014</v>
      </c>
      <c r="C1632" s="518" t="str">
        <f>IF(A1632&amp;B1632="","",VLOOKUP(A1632&amp;B1632,INSUMOS!C:G,2,0))</f>
        <v>Lixa massa/madeira uso geral Norton, Alcar ou equivalente (médias)</v>
      </c>
      <c r="D1632" s="519"/>
      <c r="E1632" s="117" t="str">
        <f>IF(A1632&amp;B1632="","",VLOOKUP(A1632&amp;B1632,INSUMOS!C:G,3,0))</f>
        <v>un</v>
      </c>
      <c r="F1632" s="118">
        <v>0.3</v>
      </c>
      <c r="G1632" s="113">
        <f>IF(A1632&amp;B1632="","",VLOOKUP(A1632&amp;B1632,INSUMOS!C:G,4,0))</f>
        <v>0.5</v>
      </c>
      <c r="H1632" s="119" t="str">
        <f>IF(K1632="MO",TRUNC(F1632*G1632,2),"")</f>
        <v/>
      </c>
      <c r="I1632" s="119">
        <f>IF(K1632="MT",TRUNC(F1632*G1632,2),"")</f>
        <v>0.15</v>
      </c>
      <c r="J1632" s="115" t="str">
        <f>IF(K1632="EQ",TRUNC(F1632*G1632,2),"")</f>
        <v/>
      </c>
      <c r="K1632" s="102" t="str">
        <f>IF(A1632&amp;B1632="","",VLOOKUP(A1632&amp;B1632,INSUMOS!C:G,5,0))</f>
        <v>MT</v>
      </c>
    </row>
    <row r="1633" spans="1:17" ht="15" x14ac:dyDescent="0.25">
      <c r="A1633" s="109" t="s">
        <v>4398</v>
      </c>
      <c r="B1633" s="116">
        <v>10140</v>
      </c>
      <c r="C1633" s="518" t="str">
        <f>IF(A1633&amp;B1633="","",VLOOKUP(A1633&amp;B1633,INSUMOS!C:G,2,0))</f>
        <v>Pintor</v>
      </c>
      <c r="D1633" s="519"/>
      <c r="E1633" s="117" t="str">
        <f>IF(A1633&amp;B1633="","",VLOOKUP(A1633&amp;B1633,INSUMOS!C:G,3,0))</f>
        <v>h</v>
      </c>
      <c r="F1633" s="118">
        <v>0.45</v>
      </c>
      <c r="G1633" s="113">
        <f>IF(A1633&amp;B1633="","",VLOOKUP(A1633&amp;B1633,INSUMOS!C:G,4,0))</f>
        <v>14.198733000000001</v>
      </c>
      <c r="H1633" s="119">
        <f>IF(K1633="MO",TRUNC(F1633*G1633,2),"")</f>
        <v>6.38</v>
      </c>
      <c r="I1633" s="119" t="str">
        <f>IF(K1633="MT",TRUNC(F1633*G1633,2),"")</f>
        <v/>
      </c>
      <c r="J1633" s="115" t="str">
        <f>IF(K1633="EQ",TRUNC(F1633*G1633,2),"")</f>
        <v/>
      </c>
      <c r="K1633" s="102" t="str">
        <f>IF(A1633&amp;B1633="","",VLOOKUP(A1633&amp;B1633,INSUMOS!C:G,5,0))</f>
        <v>MO</v>
      </c>
    </row>
    <row r="1634" spans="1:17" ht="15" x14ac:dyDescent="0.25">
      <c r="A1634" s="109" t="s">
        <v>4398</v>
      </c>
      <c r="B1634" s="116">
        <v>10141</v>
      </c>
      <c r="C1634" s="518" t="str">
        <f>IF(A1634&amp;B1634="","",VLOOKUP(A1634&amp;B1634,INSUMOS!C:G,2,0))</f>
        <v xml:space="preserve">Ajudante de pintor </v>
      </c>
      <c r="D1634" s="519"/>
      <c r="E1634" s="117" t="str">
        <f>IF(A1634&amp;B1634="","",VLOOKUP(A1634&amp;B1634,INSUMOS!C:G,3,0))</f>
        <v>h</v>
      </c>
      <c r="F1634" s="118">
        <v>0.45</v>
      </c>
      <c r="G1634" s="113">
        <f>IF(A1634&amp;B1634="","",VLOOKUP(A1634&amp;B1634,INSUMOS!C:G,4,0))</f>
        <v>10.985028</v>
      </c>
      <c r="H1634" s="119">
        <f t="shared" ref="H1634:H1641" si="282">IF(K1634="MO",TRUNC(F1634*G1634,2),"")</f>
        <v>4.9400000000000004</v>
      </c>
      <c r="I1634" s="119" t="str">
        <f t="shared" ref="I1634:I1641" si="283">IF(K1634="MT",TRUNC(F1634*G1634,2),"")</f>
        <v/>
      </c>
      <c r="J1634" s="115" t="str">
        <f t="shared" ref="J1634:J1641" si="284">IF(K1634="EQ",TRUNC(F1634*G1634,2),"")</f>
        <v/>
      </c>
      <c r="K1634" s="102" t="str">
        <f>IF(A1634&amp;B1634="","",VLOOKUP(A1634&amp;B1634,INSUMOS!C:G,5,0))</f>
        <v>MO</v>
      </c>
    </row>
    <row r="1635" spans="1:17" ht="15" x14ac:dyDescent="0.25">
      <c r="A1635" s="109"/>
      <c r="B1635" s="116"/>
      <c r="C1635" s="518" t="str">
        <f>IF(A1635&amp;B1635="","",VLOOKUP(A1635&amp;B1635,INSUMOS!C:G,2,0))</f>
        <v/>
      </c>
      <c r="D1635" s="519"/>
      <c r="E1635" s="117" t="str">
        <f>IF(A1635&amp;B1635="","",VLOOKUP(A1635&amp;B1635,INSUMOS!C:G,3,0))</f>
        <v/>
      </c>
      <c r="F1635" s="118"/>
      <c r="G1635" s="113" t="str">
        <f>IF(A1635&amp;B1635="","",VLOOKUP(A1635&amp;B1635,INSUMOS!C:G,4,0))</f>
        <v/>
      </c>
      <c r="H1635" s="119" t="str">
        <f t="shared" si="282"/>
        <v/>
      </c>
      <c r="I1635" s="119" t="str">
        <f t="shared" si="283"/>
        <v/>
      </c>
      <c r="J1635" s="115" t="str">
        <f t="shared" si="284"/>
        <v/>
      </c>
      <c r="K1635" s="102" t="str">
        <f>IF(A1635&amp;B1635="","",VLOOKUP(A1635&amp;B1635,INSUMOS!C:G,5,0))</f>
        <v/>
      </c>
    </row>
    <row r="1636" spans="1:17" ht="15" x14ac:dyDescent="0.25">
      <c r="A1636" s="109"/>
      <c r="B1636" s="116"/>
      <c r="C1636" s="518" t="str">
        <f>IF(A1636&amp;B1636="","",VLOOKUP(A1636&amp;B1636,INSUMOS!C:G,2,0))</f>
        <v/>
      </c>
      <c r="D1636" s="519"/>
      <c r="E1636" s="117" t="str">
        <f>IF(A1636&amp;B1636="","",VLOOKUP(A1636&amp;B1636,INSUMOS!C:G,3,0))</f>
        <v/>
      </c>
      <c r="F1636" s="118"/>
      <c r="G1636" s="113" t="str">
        <f>IF(A1636&amp;B1636="","",VLOOKUP(A1636&amp;B1636,INSUMOS!C:G,4,0))</f>
        <v/>
      </c>
      <c r="H1636" s="119" t="str">
        <f t="shared" si="282"/>
        <v/>
      </c>
      <c r="I1636" s="119" t="str">
        <f t="shared" si="283"/>
        <v/>
      </c>
      <c r="J1636" s="115" t="str">
        <f t="shared" si="284"/>
        <v/>
      </c>
      <c r="K1636" s="102" t="str">
        <f>IF(A1636&amp;B1636="","",VLOOKUP(A1636&amp;B1636,INSUMOS!C:G,5,0))</f>
        <v/>
      </c>
    </row>
    <row r="1637" spans="1:17" ht="15" x14ac:dyDescent="0.25">
      <c r="A1637" s="109"/>
      <c r="B1637" s="116"/>
      <c r="C1637" s="518" t="str">
        <f>IF(A1637&amp;B1637="","",VLOOKUP(A1637&amp;B1637,INSUMOS!C:G,2,0))</f>
        <v/>
      </c>
      <c r="D1637" s="519"/>
      <c r="E1637" s="117" t="str">
        <f>IF(A1637&amp;B1637="","",VLOOKUP(A1637&amp;B1637,INSUMOS!C:G,3,0))</f>
        <v/>
      </c>
      <c r="F1637" s="118"/>
      <c r="G1637" s="113" t="str">
        <f>IF(A1637&amp;B1637="","",VLOOKUP(A1637&amp;B1637,INSUMOS!C:G,4,0))</f>
        <v/>
      </c>
      <c r="H1637" s="119" t="str">
        <f t="shared" si="282"/>
        <v/>
      </c>
      <c r="I1637" s="119" t="str">
        <f t="shared" si="283"/>
        <v/>
      </c>
      <c r="J1637" s="115" t="str">
        <f t="shared" si="284"/>
        <v/>
      </c>
      <c r="K1637" s="102" t="str">
        <f>IF(A1637&amp;B1637="","",VLOOKUP(A1637&amp;B1637,INSUMOS!C:G,5,0))</f>
        <v/>
      </c>
    </row>
    <row r="1638" spans="1:17" ht="15" x14ac:dyDescent="0.25">
      <c r="A1638" s="109"/>
      <c r="B1638" s="116"/>
      <c r="C1638" s="518" t="str">
        <f>IF(A1638&amp;B1638="","",VLOOKUP(A1638&amp;B1638,INSUMOS!C:G,2,0))</f>
        <v/>
      </c>
      <c r="D1638" s="519"/>
      <c r="E1638" s="117" t="str">
        <f>IF(A1638&amp;B1638="","",VLOOKUP(A1638&amp;B1638,INSUMOS!C:G,3,0))</f>
        <v/>
      </c>
      <c r="F1638" s="118"/>
      <c r="G1638" s="113" t="str">
        <f>IF(A1638&amp;B1638="","",VLOOKUP(A1638&amp;B1638,INSUMOS!C:G,4,0))</f>
        <v/>
      </c>
      <c r="H1638" s="119" t="str">
        <f t="shared" si="282"/>
        <v/>
      </c>
      <c r="I1638" s="119" t="str">
        <f t="shared" si="283"/>
        <v/>
      </c>
      <c r="J1638" s="115" t="str">
        <f t="shared" si="284"/>
        <v/>
      </c>
      <c r="K1638" s="102" t="str">
        <f>IF(A1638&amp;B1638="","",VLOOKUP(A1638&amp;B1638,INSUMOS!C:G,5,0))</f>
        <v/>
      </c>
    </row>
    <row r="1639" spans="1:17" ht="15" x14ac:dyDescent="0.25">
      <c r="A1639" s="120"/>
      <c r="B1639" s="121"/>
      <c r="C1639" s="518" t="str">
        <f>IF(A1639&amp;B1639="","",VLOOKUP(A1639&amp;B1639,INSUMOS!C:G,2,0))</f>
        <v/>
      </c>
      <c r="D1639" s="519"/>
      <c r="E1639" s="117" t="str">
        <f>IF(A1639&amp;B1639="","",VLOOKUP(A1639&amp;B1639,INSUMOS!C:G,3,0))</f>
        <v/>
      </c>
      <c r="F1639" s="118"/>
      <c r="G1639" s="122" t="str">
        <f>IF(A1639&amp;B1639="","",VLOOKUP(A1639&amp;B1639,INSUMOS!C:G,4,0))</f>
        <v/>
      </c>
      <c r="H1639" s="119" t="str">
        <f t="shared" si="282"/>
        <v/>
      </c>
      <c r="I1639" s="119" t="str">
        <f t="shared" si="283"/>
        <v/>
      </c>
      <c r="J1639" s="115" t="str">
        <f t="shared" si="284"/>
        <v/>
      </c>
      <c r="K1639" s="102" t="str">
        <f>IF(A1639&amp;B1639="","",VLOOKUP(A1639&amp;B1639,INSUMOS!C:G,5,0))</f>
        <v/>
      </c>
    </row>
    <row r="1640" spans="1:17" ht="15" x14ac:dyDescent="0.25">
      <c r="A1640" s="120"/>
      <c r="B1640" s="121"/>
      <c r="C1640" s="518" t="str">
        <f>IF(A1640&amp;B1640="","",VLOOKUP(A1640&amp;B1640,INSUMOS!C:G,2,0))</f>
        <v/>
      </c>
      <c r="D1640" s="519"/>
      <c r="E1640" s="117" t="str">
        <f>IF(A1640&amp;B1640="","",VLOOKUP(A1640&amp;B1640,INSUMOS!C:G,3,0))</f>
        <v/>
      </c>
      <c r="F1640" s="118"/>
      <c r="G1640" s="122" t="str">
        <f>IF(A1640&amp;B1640="","",VLOOKUP(A1640&amp;B1640,INSUMOS!C:G,4,0))</f>
        <v/>
      </c>
      <c r="H1640" s="119" t="str">
        <f t="shared" si="282"/>
        <v/>
      </c>
      <c r="I1640" s="119" t="str">
        <f t="shared" si="283"/>
        <v/>
      </c>
      <c r="J1640" s="115" t="str">
        <f t="shared" si="284"/>
        <v/>
      </c>
      <c r="K1640" s="102" t="str">
        <f>IF(A1640&amp;B1640="","",VLOOKUP(A1640&amp;B1640,INSUMOS!C:G,5,0))</f>
        <v/>
      </c>
    </row>
    <row r="1641" spans="1:17" ht="15" x14ac:dyDescent="0.25">
      <c r="A1641" s="120"/>
      <c r="B1641" s="121"/>
      <c r="C1641" s="518" t="str">
        <f>IF(A1641&amp;B1641="","",VLOOKUP(A1641&amp;B1641,INSUMOS!C:G,2,0))</f>
        <v/>
      </c>
      <c r="D1641" s="519"/>
      <c r="E1641" s="117" t="str">
        <f>IF(A1641&amp;B1641="","",VLOOKUP(A1641&amp;B1641,INSUMOS!C:G,3,0))</f>
        <v/>
      </c>
      <c r="F1641" s="118"/>
      <c r="G1641" s="122" t="str">
        <f>IF(A1641&amp;B1641="","",VLOOKUP(A1641&amp;B1641,INSUMOS!C:G,4,0))</f>
        <v/>
      </c>
      <c r="H1641" s="119" t="str">
        <f t="shared" si="282"/>
        <v/>
      </c>
      <c r="I1641" s="119" t="str">
        <f t="shared" si="283"/>
        <v/>
      </c>
      <c r="J1641" s="115" t="str">
        <f t="shared" si="284"/>
        <v/>
      </c>
      <c r="K1641" s="102" t="str">
        <f>IF(A1641&amp;B1641="","",VLOOKUP(A1641&amp;B1641,INSUMOS!C:G,5,0))</f>
        <v/>
      </c>
    </row>
    <row r="1642" spans="1:17" ht="15" x14ac:dyDescent="0.25">
      <c r="A1642" s="123" t="s">
        <v>4399</v>
      </c>
      <c r="B1642" s="520"/>
      <c r="C1642" s="520"/>
      <c r="D1642" s="520"/>
      <c r="E1642" s="520"/>
      <c r="F1642" s="521"/>
      <c r="G1642" s="124" t="s">
        <v>50</v>
      </c>
      <c r="H1642" s="125">
        <f>SUM(H1630:H1641)</f>
        <v>11.32</v>
      </c>
      <c r="I1642" s="125">
        <f>SUM(I1630:I1641)</f>
        <v>17.619999999999997</v>
      </c>
      <c r="J1642" s="126">
        <f>SUM(J1630:J1641)</f>
        <v>0</v>
      </c>
    </row>
    <row r="1643" spans="1:17" ht="15" x14ac:dyDescent="0.25">
      <c r="A1643" s="127" t="s">
        <v>4400</v>
      </c>
      <c r="B1643" s="128"/>
      <c r="C1643" s="128"/>
      <c r="D1643" s="127" t="s">
        <v>51</v>
      </c>
      <c r="E1643" s="128"/>
      <c r="F1643" s="129"/>
      <c r="G1643" s="130" t="s">
        <v>55</v>
      </c>
      <c r="H1643" s="131" t="s">
        <v>52</v>
      </c>
      <c r="I1643" s="132"/>
      <c r="J1643" s="125">
        <f>SUM(H1642:J1642)</f>
        <v>28.939999999999998</v>
      </c>
    </row>
    <row r="1644" spans="1:17" ht="15" x14ac:dyDescent="0.25">
      <c r="A1644" s="313" t="str">
        <f>$I$3</f>
        <v>Carlos Wieck</v>
      </c>
      <c r="B1644" s="133"/>
      <c r="C1644" s="133"/>
      <c r="D1644" s="134"/>
      <c r="E1644" s="133"/>
      <c r="F1644" s="135"/>
      <c r="G1644" s="522">
        <f>$J$5</f>
        <v>43040</v>
      </c>
      <c r="H1644" s="136" t="s">
        <v>53</v>
      </c>
      <c r="I1644" s="137"/>
      <c r="J1644" s="125">
        <f>TRUNC(I1644*J1643,2)</f>
        <v>0</v>
      </c>
    </row>
    <row r="1645" spans="1:17" ht="15" x14ac:dyDescent="0.25">
      <c r="A1645" s="138"/>
      <c r="B1645" s="139"/>
      <c r="C1645" s="139"/>
      <c r="D1645" s="138"/>
      <c r="E1645" s="139"/>
      <c r="F1645" s="140"/>
      <c r="G1645" s="523"/>
      <c r="H1645" s="141" t="s">
        <v>54</v>
      </c>
      <c r="I1645" s="142"/>
      <c r="J1645" s="143">
        <f>J1644+J1643</f>
        <v>28.939999999999998</v>
      </c>
      <c r="L1645" s="102" t="str">
        <f>A1627</f>
        <v>COMPOSIÇÃO</v>
      </c>
      <c r="M1645" s="144" t="str">
        <f>B1627</f>
        <v>FF-066</v>
      </c>
      <c r="N1645" s="102" t="str">
        <f>L1645&amp;M1645</f>
        <v>COMPOSIÇÃOFF-066</v>
      </c>
      <c r="O1645" s="103" t="str">
        <f>D1626</f>
        <v>Pintura com tinta epóxi cor branca aplicada sobre massa acrílica e placas cimentícias com tratamento de impermeabilização</v>
      </c>
      <c r="P1645" s="145" t="str">
        <f>J1627</f>
        <v>m²</v>
      </c>
      <c r="Q1645" s="145">
        <f>J1645</f>
        <v>28.939999999999998</v>
      </c>
    </row>
    <row r="1646" spans="1:17" ht="15" x14ac:dyDescent="0.25">
      <c r="A1646" s="524" t="s">
        <v>40</v>
      </c>
      <c r="B1646" s="525"/>
      <c r="C1646" s="104" t="s">
        <v>41</v>
      </c>
      <c r="D1646" s="526" t="str">
        <f>IF(B1647="","",VLOOKUP(B1647,SERVIÇOS!B:E,3,0))</f>
        <v>Pintura com tinta epóxi cor branca aplicada sobre massa acrílica aplicada em placas de MDF resistente à úmidade</v>
      </c>
      <c r="E1646" s="526"/>
      <c r="F1646" s="526"/>
      <c r="G1646" s="526"/>
      <c r="H1646" s="526"/>
      <c r="I1646" s="527"/>
      <c r="J1646" s="105" t="s">
        <v>42</v>
      </c>
    </row>
    <row r="1647" spans="1:17" ht="15" x14ac:dyDescent="0.25">
      <c r="A1647" s="230" t="s">
        <v>4715</v>
      </c>
      <c r="B1647" s="230" t="s">
        <v>5087</v>
      </c>
      <c r="C1647" s="106"/>
      <c r="D1647" s="528"/>
      <c r="E1647" s="528"/>
      <c r="F1647" s="528"/>
      <c r="G1647" s="528"/>
      <c r="H1647" s="528"/>
      <c r="I1647" s="529"/>
      <c r="J1647" s="107" t="str">
        <f>IF(B1647="","",VLOOKUP(B1647,SERVIÇOS!B:E,4,0))</f>
        <v>m²</v>
      </c>
    </row>
    <row r="1648" spans="1:17" ht="15" x14ac:dyDescent="0.25">
      <c r="A1648" s="530" t="s">
        <v>4397</v>
      </c>
      <c r="B1648" s="531" t="s">
        <v>11</v>
      </c>
      <c r="C1648" s="533" t="s">
        <v>43</v>
      </c>
      <c r="D1648" s="534"/>
      <c r="E1648" s="530" t="s">
        <v>13</v>
      </c>
      <c r="F1648" s="530" t="s">
        <v>44</v>
      </c>
      <c r="G1648" s="538" t="s">
        <v>45</v>
      </c>
      <c r="H1648" s="108" t="s">
        <v>46</v>
      </c>
      <c r="I1648" s="108"/>
      <c r="J1648" s="108"/>
    </row>
    <row r="1649" spans="1:11" ht="15" x14ac:dyDescent="0.25">
      <c r="A1649" s="530"/>
      <c r="B1649" s="532"/>
      <c r="C1649" s="535"/>
      <c r="D1649" s="536"/>
      <c r="E1649" s="537"/>
      <c r="F1649" s="537"/>
      <c r="G1649" s="539"/>
      <c r="H1649" s="108" t="s">
        <v>47</v>
      </c>
      <c r="I1649" s="108" t="s">
        <v>48</v>
      </c>
      <c r="J1649" s="108" t="s">
        <v>49</v>
      </c>
    </row>
    <row r="1650" spans="1:11" ht="15" x14ac:dyDescent="0.25">
      <c r="A1650" s="109" t="s">
        <v>4398</v>
      </c>
      <c r="B1650" s="116">
        <v>28057</v>
      </c>
      <c r="C1650" s="540" t="str">
        <f>IF(A1650&amp;B1650="","",VLOOKUP(A1650&amp;B1650,INSUMOS!C:G,2,0))</f>
        <v>Selador para tinta epóxi</v>
      </c>
      <c r="D1650" s="541"/>
      <c r="E1650" s="111" t="str">
        <f>IF(A1650&amp;B1650="","",VLOOKUP(A1650&amp;B1650,INSUMOS!C:G,3,0))</f>
        <v>l</v>
      </c>
      <c r="F1650" s="112">
        <v>0.24</v>
      </c>
      <c r="G1650" s="113">
        <f>IF(A1650&amp;B1650="","",VLOOKUP(A1650&amp;B1650,INSUMOS!C:G,4,0))</f>
        <v>35.58</v>
      </c>
      <c r="H1650" s="114" t="str">
        <f>IF(K1650="MO",TRUNC(F1650*G1650,2),"")</f>
        <v/>
      </c>
      <c r="I1650" s="114">
        <f>IF(K1650="MT",TRUNC(F1650*G1650,2),"")</f>
        <v>8.5299999999999994</v>
      </c>
      <c r="J1650" s="115" t="str">
        <f>IF(K1650="EQ",TRUNC(F1650*G1650,2),"")</f>
        <v/>
      </c>
      <c r="K1650" s="102" t="str">
        <f>IF(A1650&amp;B1650="","",VLOOKUP(A1650&amp;B1650,INSUMOS!C:G,5,0))</f>
        <v>MT</v>
      </c>
    </row>
    <row r="1651" spans="1:11" ht="15" x14ac:dyDescent="0.25">
      <c r="A1651" s="109" t="s">
        <v>4398</v>
      </c>
      <c r="B1651" s="116">
        <v>37545</v>
      </c>
      <c r="C1651" s="518" t="str">
        <f>IF(A1651&amp;B1651="","",VLOOKUP(A1651&amp;B1651,INSUMOS!C:G,2,0))</f>
        <v>Tinta-base epoxi</v>
      </c>
      <c r="D1651" s="519"/>
      <c r="E1651" s="117" t="str">
        <f>IF(A1651&amp;B1651="","",VLOOKUP(A1651&amp;B1651,INSUMOS!C:G,3,0))</f>
        <v>l</v>
      </c>
      <c r="F1651" s="118">
        <v>0.2</v>
      </c>
      <c r="G1651" s="113">
        <f>IF(A1651&amp;B1651="","",VLOOKUP(A1651&amp;B1651,INSUMOS!C:G,4,0))</f>
        <v>44.74</v>
      </c>
      <c r="H1651" s="119" t="str">
        <f t="shared" ref="H1651" si="285">IF(K1651="MO",TRUNC(F1651*G1651,2),"")</f>
        <v/>
      </c>
      <c r="I1651" s="119">
        <f t="shared" ref="I1651" si="286">IF(K1651="MT",TRUNC(F1651*G1651,2),"")</f>
        <v>8.94</v>
      </c>
      <c r="J1651" s="115" t="str">
        <f t="shared" ref="J1651" si="287">IF(K1651="EQ",TRUNC(F1651*G1651,2),"")</f>
        <v/>
      </c>
      <c r="K1651" s="102" t="str">
        <f>IF(A1651&amp;B1651="","",VLOOKUP(A1651&amp;B1651,INSUMOS!C:G,5,0))</f>
        <v>MT</v>
      </c>
    </row>
    <row r="1652" spans="1:11" ht="15" x14ac:dyDescent="0.25">
      <c r="A1652" s="109" t="s">
        <v>4398</v>
      </c>
      <c r="B1652" s="116">
        <v>38014</v>
      </c>
      <c r="C1652" s="518" t="str">
        <f>IF(A1652&amp;B1652="","",VLOOKUP(A1652&amp;B1652,INSUMOS!C:G,2,0))</f>
        <v>Lixa massa/madeira uso geral Norton, Alcar ou equivalente (médias)</v>
      </c>
      <c r="D1652" s="519"/>
      <c r="E1652" s="117" t="str">
        <f>IF(A1652&amp;B1652="","",VLOOKUP(A1652&amp;B1652,INSUMOS!C:G,3,0))</f>
        <v>un</v>
      </c>
      <c r="F1652" s="118">
        <v>0.3</v>
      </c>
      <c r="G1652" s="113">
        <f>IF(A1652&amp;B1652="","",VLOOKUP(A1652&amp;B1652,INSUMOS!C:G,4,0))</f>
        <v>0.5</v>
      </c>
      <c r="H1652" s="119" t="str">
        <f>IF(K1652="MO",TRUNC(F1652*G1652,2),"")</f>
        <v/>
      </c>
      <c r="I1652" s="119">
        <f>IF(K1652="MT",TRUNC(F1652*G1652,2),"")</f>
        <v>0.15</v>
      </c>
      <c r="J1652" s="115" t="str">
        <f>IF(K1652="EQ",TRUNC(F1652*G1652,2),"")</f>
        <v/>
      </c>
      <c r="K1652" s="102" t="str">
        <f>IF(A1652&amp;B1652="","",VLOOKUP(A1652&amp;B1652,INSUMOS!C:G,5,0))</f>
        <v>MT</v>
      </c>
    </row>
    <row r="1653" spans="1:11" ht="15" x14ac:dyDescent="0.25">
      <c r="A1653" s="109" t="s">
        <v>4398</v>
      </c>
      <c r="B1653" s="116">
        <v>10140</v>
      </c>
      <c r="C1653" s="518" t="str">
        <f>IF(A1653&amp;B1653="","",VLOOKUP(A1653&amp;B1653,INSUMOS!C:G,2,0))</f>
        <v>Pintor</v>
      </c>
      <c r="D1653" s="519"/>
      <c r="E1653" s="117" t="str">
        <f>IF(A1653&amp;B1653="","",VLOOKUP(A1653&amp;B1653,INSUMOS!C:G,3,0))</f>
        <v>h</v>
      </c>
      <c r="F1653" s="118">
        <v>0.45</v>
      </c>
      <c r="G1653" s="113">
        <f>IF(A1653&amp;B1653="","",VLOOKUP(A1653&amp;B1653,INSUMOS!C:G,4,0))</f>
        <v>14.198733000000001</v>
      </c>
      <c r="H1653" s="119">
        <f>IF(K1653="MO",TRUNC(F1653*G1653,2),"")</f>
        <v>6.38</v>
      </c>
      <c r="I1653" s="119" t="str">
        <f>IF(K1653="MT",TRUNC(F1653*G1653,2),"")</f>
        <v/>
      </c>
      <c r="J1653" s="115" t="str">
        <f>IF(K1653="EQ",TRUNC(F1653*G1653,2),"")</f>
        <v/>
      </c>
      <c r="K1653" s="102" t="str">
        <f>IF(A1653&amp;B1653="","",VLOOKUP(A1653&amp;B1653,INSUMOS!C:G,5,0))</f>
        <v>MO</v>
      </c>
    </row>
    <row r="1654" spans="1:11" ht="15" x14ac:dyDescent="0.25">
      <c r="A1654" s="109" t="s">
        <v>4398</v>
      </c>
      <c r="B1654" s="116">
        <v>10141</v>
      </c>
      <c r="C1654" s="518" t="str">
        <f>IF(A1654&amp;B1654="","",VLOOKUP(A1654&amp;B1654,INSUMOS!C:G,2,0))</f>
        <v xml:space="preserve">Ajudante de pintor </v>
      </c>
      <c r="D1654" s="519"/>
      <c r="E1654" s="117" t="str">
        <f>IF(A1654&amp;B1654="","",VLOOKUP(A1654&amp;B1654,INSUMOS!C:G,3,0))</f>
        <v>h</v>
      </c>
      <c r="F1654" s="118">
        <v>0.45</v>
      </c>
      <c r="G1654" s="113">
        <f>IF(A1654&amp;B1654="","",VLOOKUP(A1654&amp;B1654,INSUMOS!C:G,4,0))</f>
        <v>10.985028</v>
      </c>
      <c r="H1654" s="119">
        <f t="shared" ref="H1654:H1661" si="288">IF(K1654="MO",TRUNC(F1654*G1654,2),"")</f>
        <v>4.9400000000000004</v>
      </c>
      <c r="I1654" s="119" t="str">
        <f t="shared" ref="I1654:I1661" si="289">IF(K1654="MT",TRUNC(F1654*G1654,2),"")</f>
        <v/>
      </c>
      <c r="J1654" s="115" t="str">
        <f t="shared" ref="J1654:J1661" si="290">IF(K1654="EQ",TRUNC(F1654*G1654,2),"")</f>
        <v/>
      </c>
      <c r="K1654" s="102" t="str">
        <f>IF(A1654&amp;B1654="","",VLOOKUP(A1654&amp;B1654,INSUMOS!C:G,5,0))</f>
        <v>MO</v>
      </c>
    </row>
    <row r="1655" spans="1:11" ht="15" x14ac:dyDescent="0.25">
      <c r="A1655" s="109"/>
      <c r="B1655" s="116"/>
      <c r="C1655" s="518" t="str">
        <f>IF(A1655&amp;B1655="","",VLOOKUP(A1655&amp;B1655,INSUMOS!C:G,2,0))</f>
        <v/>
      </c>
      <c r="D1655" s="519"/>
      <c r="E1655" s="117" t="str">
        <f>IF(A1655&amp;B1655="","",VLOOKUP(A1655&amp;B1655,INSUMOS!C:G,3,0))</f>
        <v/>
      </c>
      <c r="F1655" s="118"/>
      <c r="G1655" s="113" t="str">
        <f>IF(A1655&amp;B1655="","",VLOOKUP(A1655&amp;B1655,INSUMOS!C:G,4,0))</f>
        <v/>
      </c>
      <c r="H1655" s="119" t="str">
        <f t="shared" si="288"/>
        <v/>
      </c>
      <c r="I1655" s="119" t="str">
        <f t="shared" si="289"/>
        <v/>
      </c>
      <c r="J1655" s="115" t="str">
        <f t="shared" si="290"/>
        <v/>
      </c>
      <c r="K1655" s="102" t="str">
        <f>IF(A1655&amp;B1655="","",VLOOKUP(A1655&amp;B1655,INSUMOS!C:G,5,0))</f>
        <v/>
      </c>
    </row>
    <row r="1656" spans="1:11" ht="15" x14ac:dyDescent="0.25">
      <c r="A1656" s="109"/>
      <c r="B1656" s="116"/>
      <c r="C1656" s="518" t="str">
        <f>IF(A1656&amp;B1656="","",VLOOKUP(A1656&amp;B1656,INSUMOS!C:G,2,0))</f>
        <v/>
      </c>
      <c r="D1656" s="519"/>
      <c r="E1656" s="117" t="str">
        <f>IF(A1656&amp;B1656="","",VLOOKUP(A1656&amp;B1656,INSUMOS!C:G,3,0))</f>
        <v/>
      </c>
      <c r="F1656" s="118"/>
      <c r="G1656" s="113" t="str">
        <f>IF(A1656&amp;B1656="","",VLOOKUP(A1656&amp;B1656,INSUMOS!C:G,4,0))</f>
        <v/>
      </c>
      <c r="H1656" s="119" t="str">
        <f t="shared" si="288"/>
        <v/>
      </c>
      <c r="I1656" s="119" t="str">
        <f t="shared" si="289"/>
        <v/>
      </c>
      <c r="J1656" s="115" t="str">
        <f t="shared" si="290"/>
        <v/>
      </c>
      <c r="K1656" s="102" t="str">
        <f>IF(A1656&amp;B1656="","",VLOOKUP(A1656&amp;B1656,INSUMOS!C:G,5,0))</f>
        <v/>
      </c>
    </row>
    <row r="1657" spans="1:11" ht="15" x14ac:dyDescent="0.25">
      <c r="A1657" s="109"/>
      <c r="B1657" s="116"/>
      <c r="C1657" s="518" t="str">
        <f>IF(A1657&amp;B1657="","",VLOOKUP(A1657&amp;B1657,INSUMOS!C:G,2,0))</f>
        <v/>
      </c>
      <c r="D1657" s="519"/>
      <c r="E1657" s="117" t="str">
        <f>IF(A1657&amp;B1657="","",VLOOKUP(A1657&amp;B1657,INSUMOS!C:G,3,0))</f>
        <v/>
      </c>
      <c r="F1657" s="118"/>
      <c r="G1657" s="113" t="str">
        <f>IF(A1657&amp;B1657="","",VLOOKUP(A1657&amp;B1657,INSUMOS!C:G,4,0))</f>
        <v/>
      </c>
      <c r="H1657" s="119" t="str">
        <f t="shared" si="288"/>
        <v/>
      </c>
      <c r="I1657" s="119" t="str">
        <f t="shared" si="289"/>
        <v/>
      </c>
      <c r="J1657" s="115" t="str">
        <f t="shared" si="290"/>
        <v/>
      </c>
      <c r="K1657" s="102" t="str">
        <f>IF(A1657&amp;B1657="","",VLOOKUP(A1657&amp;B1657,INSUMOS!C:G,5,0))</f>
        <v/>
      </c>
    </row>
    <row r="1658" spans="1:11" ht="15" x14ac:dyDescent="0.25">
      <c r="A1658" s="109"/>
      <c r="B1658" s="116"/>
      <c r="C1658" s="518" t="str">
        <f>IF(A1658&amp;B1658="","",VLOOKUP(A1658&amp;B1658,INSUMOS!C:G,2,0))</f>
        <v/>
      </c>
      <c r="D1658" s="519"/>
      <c r="E1658" s="117" t="str">
        <f>IF(A1658&amp;B1658="","",VLOOKUP(A1658&amp;B1658,INSUMOS!C:G,3,0))</f>
        <v/>
      </c>
      <c r="F1658" s="118"/>
      <c r="G1658" s="113" t="str">
        <f>IF(A1658&amp;B1658="","",VLOOKUP(A1658&amp;B1658,INSUMOS!C:G,4,0))</f>
        <v/>
      </c>
      <c r="H1658" s="119" t="str">
        <f t="shared" si="288"/>
        <v/>
      </c>
      <c r="I1658" s="119" t="str">
        <f t="shared" si="289"/>
        <v/>
      </c>
      <c r="J1658" s="115" t="str">
        <f t="shared" si="290"/>
        <v/>
      </c>
      <c r="K1658" s="102" t="str">
        <f>IF(A1658&amp;B1658="","",VLOOKUP(A1658&amp;B1658,INSUMOS!C:G,5,0))</f>
        <v/>
      </c>
    </row>
    <row r="1659" spans="1:11" ht="15" x14ac:dyDescent="0.25">
      <c r="A1659" s="120"/>
      <c r="B1659" s="121"/>
      <c r="C1659" s="518" t="str">
        <f>IF(A1659&amp;B1659="","",VLOOKUP(A1659&amp;B1659,INSUMOS!C:G,2,0))</f>
        <v/>
      </c>
      <c r="D1659" s="519"/>
      <c r="E1659" s="117" t="str">
        <f>IF(A1659&amp;B1659="","",VLOOKUP(A1659&amp;B1659,INSUMOS!C:G,3,0))</f>
        <v/>
      </c>
      <c r="F1659" s="118"/>
      <c r="G1659" s="122" t="str">
        <f>IF(A1659&amp;B1659="","",VLOOKUP(A1659&amp;B1659,INSUMOS!C:G,4,0))</f>
        <v/>
      </c>
      <c r="H1659" s="119" t="str">
        <f t="shared" si="288"/>
        <v/>
      </c>
      <c r="I1659" s="119" t="str">
        <f t="shared" si="289"/>
        <v/>
      </c>
      <c r="J1659" s="115" t="str">
        <f t="shared" si="290"/>
        <v/>
      </c>
      <c r="K1659" s="102" t="str">
        <f>IF(A1659&amp;B1659="","",VLOOKUP(A1659&amp;B1659,INSUMOS!C:G,5,0))</f>
        <v/>
      </c>
    </row>
    <row r="1660" spans="1:11" ht="15" x14ac:dyDescent="0.25">
      <c r="A1660" s="120"/>
      <c r="B1660" s="121"/>
      <c r="C1660" s="518" t="str">
        <f>IF(A1660&amp;B1660="","",VLOOKUP(A1660&amp;B1660,INSUMOS!C:G,2,0))</f>
        <v/>
      </c>
      <c r="D1660" s="519"/>
      <c r="E1660" s="117" t="str">
        <f>IF(A1660&amp;B1660="","",VLOOKUP(A1660&amp;B1660,INSUMOS!C:G,3,0))</f>
        <v/>
      </c>
      <c r="F1660" s="118"/>
      <c r="G1660" s="122" t="str">
        <f>IF(A1660&amp;B1660="","",VLOOKUP(A1660&amp;B1660,INSUMOS!C:G,4,0))</f>
        <v/>
      </c>
      <c r="H1660" s="119" t="str">
        <f t="shared" si="288"/>
        <v/>
      </c>
      <c r="I1660" s="119" t="str">
        <f t="shared" si="289"/>
        <v/>
      </c>
      <c r="J1660" s="115" t="str">
        <f t="shared" si="290"/>
        <v/>
      </c>
      <c r="K1660" s="102" t="str">
        <f>IF(A1660&amp;B1660="","",VLOOKUP(A1660&amp;B1660,INSUMOS!C:G,5,0))</f>
        <v/>
      </c>
    </row>
    <row r="1661" spans="1:11" ht="15" x14ac:dyDescent="0.25">
      <c r="A1661" s="120"/>
      <c r="B1661" s="121"/>
      <c r="C1661" s="518" t="str">
        <f>IF(A1661&amp;B1661="","",VLOOKUP(A1661&amp;B1661,INSUMOS!C:G,2,0))</f>
        <v/>
      </c>
      <c r="D1661" s="519"/>
      <c r="E1661" s="117" t="str">
        <f>IF(A1661&amp;B1661="","",VLOOKUP(A1661&amp;B1661,INSUMOS!C:G,3,0))</f>
        <v/>
      </c>
      <c r="F1661" s="118"/>
      <c r="G1661" s="122" t="str">
        <f>IF(A1661&amp;B1661="","",VLOOKUP(A1661&amp;B1661,INSUMOS!C:G,4,0))</f>
        <v/>
      </c>
      <c r="H1661" s="119" t="str">
        <f t="shared" si="288"/>
        <v/>
      </c>
      <c r="I1661" s="119" t="str">
        <f t="shared" si="289"/>
        <v/>
      </c>
      <c r="J1661" s="115" t="str">
        <f t="shared" si="290"/>
        <v/>
      </c>
      <c r="K1661" s="102" t="str">
        <f>IF(A1661&amp;B1661="","",VLOOKUP(A1661&amp;B1661,INSUMOS!C:G,5,0))</f>
        <v/>
      </c>
    </row>
    <row r="1662" spans="1:11" ht="15" x14ac:dyDescent="0.25">
      <c r="A1662" s="123" t="s">
        <v>4399</v>
      </c>
      <c r="B1662" s="520"/>
      <c r="C1662" s="520"/>
      <c r="D1662" s="520"/>
      <c r="E1662" s="520"/>
      <c r="F1662" s="521"/>
      <c r="G1662" s="124" t="s">
        <v>50</v>
      </c>
      <c r="H1662" s="125">
        <f>SUM(H1650:H1661)</f>
        <v>11.32</v>
      </c>
      <c r="I1662" s="125">
        <f>SUM(I1650:I1661)</f>
        <v>17.619999999999997</v>
      </c>
      <c r="J1662" s="126">
        <f>SUM(J1650:J1661)</f>
        <v>0</v>
      </c>
    </row>
    <row r="1663" spans="1:11" ht="15" x14ac:dyDescent="0.25">
      <c r="A1663" s="127" t="s">
        <v>4400</v>
      </c>
      <c r="B1663" s="128"/>
      <c r="C1663" s="128"/>
      <c r="D1663" s="127" t="s">
        <v>51</v>
      </c>
      <c r="E1663" s="128"/>
      <c r="F1663" s="129"/>
      <c r="G1663" s="130" t="s">
        <v>55</v>
      </c>
      <c r="H1663" s="131" t="s">
        <v>52</v>
      </c>
      <c r="I1663" s="132"/>
      <c r="J1663" s="125">
        <f>SUM(H1662:J1662)</f>
        <v>28.939999999999998</v>
      </c>
    </row>
    <row r="1664" spans="1:11" ht="15" x14ac:dyDescent="0.25">
      <c r="A1664" s="313" t="str">
        <f>$I$3</f>
        <v>Carlos Wieck</v>
      </c>
      <c r="B1664" s="133"/>
      <c r="C1664" s="133"/>
      <c r="D1664" s="134"/>
      <c r="E1664" s="133"/>
      <c r="F1664" s="135"/>
      <c r="G1664" s="522">
        <f>$J$5</f>
        <v>43040</v>
      </c>
      <c r="H1664" s="136" t="s">
        <v>53</v>
      </c>
      <c r="I1664" s="137"/>
      <c r="J1664" s="125">
        <f>TRUNC(I1664*J1663,2)</f>
        <v>0</v>
      </c>
    </row>
    <row r="1665" spans="1:17" ht="15" x14ac:dyDescent="0.25">
      <c r="A1665" s="138"/>
      <c r="B1665" s="139"/>
      <c r="C1665" s="139"/>
      <c r="D1665" s="138"/>
      <c r="E1665" s="139"/>
      <c r="F1665" s="140"/>
      <c r="G1665" s="523"/>
      <c r="H1665" s="141" t="s">
        <v>54</v>
      </c>
      <c r="I1665" s="142"/>
      <c r="J1665" s="143">
        <f>J1664+J1663</f>
        <v>28.939999999999998</v>
      </c>
      <c r="L1665" s="102" t="str">
        <f>A1647</f>
        <v>COMPOSIÇÃO</v>
      </c>
      <c r="M1665" s="144" t="str">
        <f>B1647</f>
        <v>FF-067</v>
      </c>
      <c r="N1665" s="102" t="str">
        <f>L1665&amp;M1665</f>
        <v>COMPOSIÇÃOFF-067</v>
      </c>
      <c r="O1665" s="103" t="str">
        <f>D1646</f>
        <v>Pintura com tinta epóxi cor branca aplicada sobre massa acrílica aplicada em placas de MDF resistente à úmidade</v>
      </c>
      <c r="P1665" s="145" t="str">
        <f>J1647</f>
        <v>m²</v>
      </c>
      <c r="Q1665" s="145">
        <f>J1665</f>
        <v>28.939999999999998</v>
      </c>
    </row>
    <row r="1666" spans="1:17" ht="15" x14ac:dyDescent="0.25">
      <c r="A1666" s="524" t="s">
        <v>40</v>
      </c>
      <c r="B1666" s="525"/>
      <c r="C1666" s="104" t="s">
        <v>41</v>
      </c>
      <c r="D1666" s="526" t="str">
        <f>IF(B1667="","",VLOOKUP(B1667,SERVIÇOS!B:E,3,0))</f>
        <v>Pintura acrílica branca sobre fundo de painéis com miolo de madeira contraplacado por lâminas de madeira e externamente por chapas em CRFS</v>
      </c>
      <c r="E1666" s="526"/>
      <c r="F1666" s="526"/>
      <c r="G1666" s="526"/>
      <c r="H1666" s="526"/>
      <c r="I1666" s="527"/>
      <c r="J1666" s="105" t="s">
        <v>42</v>
      </c>
    </row>
    <row r="1667" spans="1:17" ht="15" x14ac:dyDescent="0.25">
      <c r="A1667" s="230" t="s">
        <v>4715</v>
      </c>
      <c r="B1667" s="230" t="s">
        <v>5088</v>
      </c>
      <c r="C1667" s="106"/>
      <c r="D1667" s="528"/>
      <c r="E1667" s="528"/>
      <c r="F1667" s="528"/>
      <c r="G1667" s="528"/>
      <c r="H1667" s="528"/>
      <c r="I1667" s="529"/>
      <c r="J1667" s="107" t="str">
        <f>IF(B1667="","",VLOOKUP(B1667,SERVIÇOS!B:E,4,0))</f>
        <v>m²</v>
      </c>
    </row>
    <row r="1668" spans="1:17" ht="15" x14ac:dyDescent="0.25">
      <c r="A1668" s="530" t="s">
        <v>4397</v>
      </c>
      <c r="B1668" s="531" t="s">
        <v>11</v>
      </c>
      <c r="C1668" s="533" t="s">
        <v>43</v>
      </c>
      <c r="D1668" s="534"/>
      <c r="E1668" s="530" t="s">
        <v>13</v>
      </c>
      <c r="F1668" s="530" t="s">
        <v>44</v>
      </c>
      <c r="G1668" s="538" t="s">
        <v>45</v>
      </c>
      <c r="H1668" s="108" t="s">
        <v>46</v>
      </c>
      <c r="I1668" s="108"/>
      <c r="J1668" s="108"/>
    </row>
    <row r="1669" spans="1:17" ht="15" x14ac:dyDescent="0.25">
      <c r="A1669" s="530"/>
      <c r="B1669" s="532"/>
      <c r="C1669" s="535"/>
      <c r="D1669" s="536"/>
      <c r="E1669" s="537"/>
      <c r="F1669" s="537"/>
      <c r="G1669" s="539"/>
      <c r="H1669" s="108" t="s">
        <v>47</v>
      </c>
      <c r="I1669" s="108" t="s">
        <v>48</v>
      </c>
      <c r="J1669" s="108" t="s">
        <v>49</v>
      </c>
    </row>
    <row r="1670" spans="1:17" ht="15" x14ac:dyDescent="0.25">
      <c r="A1670" s="109" t="s">
        <v>4398</v>
      </c>
      <c r="B1670" s="116">
        <v>331003</v>
      </c>
      <c r="C1670" s="540" t="str">
        <f>IF(A1670&amp;B1670="","",VLOOKUP(A1670&amp;B1670,INSUMOS!C:G,2,0))</f>
        <v>Tinta acrílica antimofo em massa, inclusive preparo</v>
      </c>
      <c r="D1670" s="541"/>
      <c r="E1670" s="111" t="str">
        <f>IF(A1670&amp;B1670="","",VLOOKUP(A1670&amp;B1670,INSUMOS!C:G,3,0))</f>
        <v>m²</v>
      </c>
      <c r="F1670" s="112">
        <v>1</v>
      </c>
      <c r="G1670" s="113">
        <f>IF(A1670&amp;B1670="","",VLOOKUP(A1670&amp;B1670,INSUMOS!C:G,4,0))</f>
        <v>16.18</v>
      </c>
      <c r="H1670" s="114" t="str">
        <f>IF(K1670="MO",TRUNC(F1670*G1670,2),"")</f>
        <v/>
      </c>
      <c r="I1670" s="114">
        <f>IF(K1670="MT",TRUNC(F1670*G1670,2),"")</f>
        <v>16.18</v>
      </c>
      <c r="J1670" s="115" t="str">
        <f>IF(K1670="EQ",TRUNC(F1670*G1670,2),"")</f>
        <v/>
      </c>
      <c r="K1670" s="102" t="str">
        <f>IF(A1670&amp;B1670="","",VLOOKUP(A1670&amp;B1670,INSUMOS!C:G,5,0))</f>
        <v>MT</v>
      </c>
    </row>
    <row r="1671" spans="1:17" ht="15" x14ac:dyDescent="0.25">
      <c r="A1671" s="109"/>
      <c r="B1671" s="116"/>
      <c r="C1671" s="518" t="str">
        <f>IF(A1671&amp;B1671="","",VLOOKUP(A1671&amp;B1671,INSUMOS!C:G,2,0))</f>
        <v/>
      </c>
      <c r="D1671" s="519"/>
      <c r="E1671" s="117" t="str">
        <f>IF(A1671&amp;B1671="","",VLOOKUP(A1671&amp;B1671,INSUMOS!C:G,3,0))</f>
        <v/>
      </c>
      <c r="F1671" s="118"/>
      <c r="G1671" s="113" t="str">
        <f>IF(A1671&amp;B1671="","",VLOOKUP(A1671&amp;B1671,INSUMOS!C:G,4,0))</f>
        <v/>
      </c>
      <c r="H1671" s="119" t="str">
        <f t="shared" ref="H1671" si="291">IF(K1671="MO",TRUNC(F1671*G1671,2),"")</f>
        <v/>
      </c>
      <c r="I1671" s="119" t="str">
        <f t="shared" ref="I1671" si="292">IF(K1671="MT",TRUNC(F1671*G1671,2),"")</f>
        <v/>
      </c>
      <c r="J1671" s="115" t="str">
        <f t="shared" ref="J1671" si="293">IF(K1671="EQ",TRUNC(F1671*G1671,2),"")</f>
        <v/>
      </c>
      <c r="K1671" s="102" t="str">
        <f>IF(A1671&amp;B1671="","",VLOOKUP(A1671&amp;B1671,INSUMOS!C:G,5,0))</f>
        <v/>
      </c>
    </row>
    <row r="1672" spans="1:17" ht="15" x14ac:dyDescent="0.25">
      <c r="A1672" s="109"/>
      <c r="B1672" s="116"/>
      <c r="C1672" s="518" t="str">
        <f>IF(A1672&amp;B1672="","",VLOOKUP(A1672&amp;B1672,INSUMOS!C:G,2,0))</f>
        <v/>
      </c>
      <c r="D1672" s="519"/>
      <c r="E1672" s="117" t="str">
        <f>IF(A1672&amp;B1672="","",VLOOKUP(A1672&amp;B1672,INSUMOS!C:G,3,0))</f>
        <v/>
      </c>
      <c r="F1672" s="118"/>
      <c r="G1672" s="113" t="str">
        <f>IF(A1672&amp;B1672="","",VLOOKUP(A1672&amp;B1672,INSUMOS!C:G,4,0))</f>
        <v/>
      </c>
      <c r="H1672" s="119" t="str">
        <f>IF(K1672="MO",TRUNC(F1672*G1672,2),"")</f>
        <v/>
      </c>
      <c r="I1672" s="119" t="str">
        <f>IF(K1672="MT",TRUNC(F1672*G1672,2),"")</f>
        <v/>
      </c>
      <c r="J1672" s="115" t="str">
        <f>IF(K1672="EQ",TRUNC(F1672*G1672,2),"")</f>
        <v/>
      </c>
      <c r="K1672" s="102" t="str">
        <f>IF(A1672&amp;B1672="","",VLOOKUP(A1672&amp;B1672,INSUMOS!C:G,5,0))</f>
        <v/>
      </c>
    </row>
    <row r="1673" spans="1:17" ht="15" x14ac:dyDescent="0.25">
      <c r="A1673" s="109"/>
      <c r="B1673" s="116"/>
      <c r="C1673" s="518" t="str">
        <f>IF(A1673&amp;B1673="","",VLOOKUP(A1673&amp;B1673,INSUMOS!C:G,2,0))</f>
        <v/>
      </c>
      <c r="D1673" s="519"/>
      <c r="E1673" s="117" t="str">
        <f>IF(A1673&amp;B1673="","",VLOOKUP(A1673&amp;B1673,INSUMOS!C:G,3,0))</f>
        <v/>
      </c>
      <c r="F1673" s="118"/>
      <c r="G1673" s="113" t="str">
        <f>IF(A1673&amp;B1673="","",VLOOKUP(A1673&amp;B1673,INSUMOS!C:G,4,0))</f>
        <v/>
      </c>
      <c r="H1673" s="119" t="str">
        <f>IF(K1673="MO",TRUNC(F1673*G1673,2),"")</f>
        <v/>
      </c>
      <c r="I1673" s="119" t="str">
        <f>IF(K1673="MT",TRUNC(F1673*G1673,2),"")</f>
        <v/>
      </c>
      <c r="J1673" s="115" t="str">
        <f>IF(K1673="EQ",TRUNC(F1673*G1673,2),"")</f>
        <v/>
      </c>
      <c r="K1673" s="102" t="str">
        <f>IF(A1673&amp;B1673="","",VLOOKUP(A1673&amp;B1673,INSUMOS!C:G,5,0))</f>
        <v/>
      </c>
    </row>
    <row r="1674" spans="1:17" ht="30" customHeight="1" x14ac:dyDescent="0.25">
      <c r="A1674" s="109"/>
      <c r="B1674" s="116"/>
      <c r="C1674" s="518" t="str">
        <f>IF(A1674&amp;B1674="","",VLOOKUP(A1674&amp;B1674,INSUMOS!C:G,2,0))</f>
        <v/>
      </c>
      <c r="D1674" s="519"/>
      <c r="E1674" s="117" t="str">
        <f>IF(A1674&amp;B1674="","",VLOOKUP(A1674&amp;B1674,INSUMOS!C:G,3,0))</f>
        <v/>
      </c>
      <c r="F1674" s="118"/>
      <c r="G1674" s="113" t="str">
        <f>IF(A1674&amp;B1674="","",VLOOKUP(A1674&amp;B1674,INSUMOS!C:G,4,0))</f>
        <v/>
      </c>
      <c r="H1674" s="119" t="str">
        <f t="shared" ref="H1674:H1681" si="294">IF(K1674="MO",TRUNC(F1674*G1674,2),"")</f>
        <v/>
      </c>
      <c r="I1674" s="119" t="str">
        <f t="shared" ref="I1674:I1681" si="295">IF(K1674="MT",TRUNC(F1674*G1674,2),"")</f>
        <v/>
      </c>
      <c r="J1674" s="115" t="str">
        <f t="shared" ref="J1674:J1681" si="296">IF(K1674="EQ",TRUNC(F1674*G1674,2),"")</f>
        <v/>
      </c>
      <c r="K1674" s="102" t="str">
        <f>IF(A1674&amp;B1674="","",VLOOKUP(A1674&amp;B1674,INSUMOS!C:G,5,0))</f>
        <v/>
      </c>
    </row>
    <row r="1675" spans="1:17" ht="15" x14ac:dyDescent="0.25">
      <c r="A1675" s="109"/>
      <c r="B1675" s="116"/>
      <c r="C1675" s="518" t="str">
        <f>IF(A1675&amp;B1675="","",VLOOKUP(A1675&amp;B1675,INSUMOS!C:G,2,0))</f>
        <v/>
      </c>
      <c r="D1675" s="519"/>
      <c r="E1675" s="117" t="str">
        <f>IF(A1675&amp;B1675="","",VLOOKUP(A1675&amp;B1675,INSUMOS!C:G,3,0))</f>
        <v/>
      </c>
      <c r="F1675" s="118"/>
      <c r="G1675" s="113" t="str">
        <f>IF(A1675&amp;B1675="","",VLOOKUP(A1675&amp;B1675,INSUMOS!C:G,4,0))</f>
        <v/>
      </c>
      <c r="H1675" s="119" t="str">
        <f t="shared" si="294"/>
        <v/>
      </c>
      <c r="I1675" s="119" t="str">
        <f t="shared" si="295"/>
        <v/>
      </c>
      <c r="J1675" s="115" t="str">
        <f t="shared" si="296"/>
        <v/>
      </c>
      <c r="K1675" s="102" t="str">
        <f>IF(A1675&amp;B1675="","",VLOOKUP(A1675&amp;B1675,INSUMOS!C:G,5,0))</f>
        <v/>
      </c>
    </row>
    <row r="1676" spans="1:17" ht="15" x14ac:dyDescent="0.25">
      <c r="A1676" s="109"/>
      <c r="B1676" s="116"/>
      <c r="C1676" s="518" t="str">
        <f>IF(A1676&amp;B1676="","",VLOOKUP(A1676&amp;B1676,INSUMOS!C:G,2,0))</f>
        <v/>
      </c>
      <c r="D1676" s="519"/>
      <c r="E1676" s="117" t="str">
        <f>IF(A1676&amp;B1676="","",VLOOKUP(A1676&amp;B1676,INSUMOS!C:G,3,0))</f>
        <v/>
      </c>
      <c r="F1676" s="118"/>
      <c r="G1676" s="113" t="str">
        <f>IF(A1676&amp;B1676="","",VLOOKUP(A1676&amp;B1676,INSUMOS!C:G,4,0))</f>
        <v/>
      </c>
      <c r="H1676" s="119" t="str">
        <f t="shared" si="294"/>
        <v/>
      </c>
      <c r="I1676" s="119" t="str">
        <f t="shared" si="295"/>
        <v/>
      </c>
      <c r="J1676" s="115" t="str">
        <f t="shared" si="296"/>
        <v/>
      </c>
      <c r="K1676" s="102" t="str">
        <f>IF(A1676&amp;B1676="","",VLOOKUP(A1676&amp;B1676,INSUMOS!C:G,5,0))</f>
        <v/>
      </c>
    </row>
    <row r="1677" spans="1:17" ht="15" x14ac:dyDescent="0.25">
      <c r="A1677" s="109"/>
      <c r="B1677" s="116"/>
      <c r="C1677" s="518" t="str">
        <f>IF(A1677&amp;B1677="","",VLOOKUP(A1677&amp;B1677,INSUMOS!C:G,2,0))</f>
        <v/>
      </c>
      <c r="D1677" s="519"/>
      <c r="E1677" s="117" t="str">
        <f>IF(A1677&amp;B1677="","",VLOOKUP(A1677&amp;B1677,INSUMOS!C:G,3,0))</f>
        <v/>
      </c>
      <c r="F1677" s="118"/>
      <c r="G1677" s="113" t="str">
        <f>IF(A1677&amp;B1677="","",VLOOKUP(A1677&amp;B1677,INSUMOS!C:G,4,0))</f>
        <v/>
      </c>
      <c r="H1677" s="119" t="str">
        <f t="shared" si="294"/>
        <v/>
      </c>
      <c r="I1677" s="119" t="str">
        <f t="shared" si="295"/>
        <v/>
      </c>
      <c r="J1677" s="115" t="str">
        <f t="shared" si="296"/>
        <v/>
      </c>
      <c r="K1677" s="102" t="str">
        <f>IF(A1677&amp;B1677="","",VLOOKUP(A1677&amp;B1677,INSUMOS!C:G,5,0))</f>
        <v/>
      </c>
    </row>
    <row r="1678" spans="1:17" ht="15" x14ac:dyDescent="0.25">
      <c r="A1678" s="109"/>
      <c r="B1678" s="116"/>
      <c r="C1678" s="518" t="str">
        <f>IF(A1678&amp;B1678="","",VLOOKUP(A1678&amp;B1678,INSUMOS!C:G,2,0))</f>
        <v/>
      </c>
      <c r="D1678" s="519"/>
      <c r="E1678" s="117" t="str">
        <f>IF(A1678&amp;B1678="","",VLOOKUP(A1678&amp;B1678,INSUMOS!C:G,3,0))</f>
        <v/>
      </c>
      <c r="F1678" s="118"/>
      <c r="G1678" s="113" t="str">
        <f>IF(A1678&amp;B1678="","",VLOOKUP(A1678&amp;B1678,INSUMOS!C:G,4,0))</f>
        <v/>
      </c>
      <c r="H1678" s="119" t="str">
        <f t="shared" si="294"/>
        <v/>
      </c>
      <c r="I1678" s="119" t="str">
        <f t="shared" si="295"/>
        <v/>
      </c>
      <c r="J1678" s="115" t="str">
        <f t="shared" si="296"/>
        <v/>
      </c>
      <c r="K1678" s="102" t="str">
        <f>IF(A1678&amp;B1678="","",VLOOKUP(A1678&amp;B1678,INSUMOS!C:G,5,0))</f>
        <v/>
      </c>
    </row>
    <row r="1679" spans="1:17" ht="15" x14ac:dyDescent="0.25">
      <c r="A1679" s="120"/>
      <c r="B1679" s="121"/>
      <c r="C1679" s="518" t="str">
        <f>IF(A1679&amp;B1679="","",VLOOKUP(A1679&amp;B1679,INSUMOS!C:G,2,0))</f>
        <v/>
      </c>
      <c r="D1679" s="519"/>
      <c r="E1679" s="117" t="str">
        <f>IF(A1679&amp;B1679="","",VLOOKUP(A1679&amp;B1679,INSUMOS!C:G,3,0))</f>
        <v/>
      </c>
      <c r="F1679" s="118"/>
      <c r="G1679" s="122" t="str">
        <f>IF(A1679&amp;B1679="","",VLOOKUP(A1679&amp;B1679,INSUMOS!C:G,4,0))</f>
        <v/>
      </c>
      <c r="H1679" s="119" t="str">
        <f t="shared" si="294"/>
        <v/>
      </c>
      <c r="I1679" s="119" t="str">
        <f t="shared" si="295"/>
        <v/>
      </c>
      <c r="J1679" s="115" t="str">
        <f t="shared" si="296"/>
        <v/>
      </c>
      <c r="K1679" s="102" t="str">
        <f>IF(A1679&amp;B1679="","",VLOOKUP(A1679&amp;B1679,INSUMOS!C:G,5,0))</f>
        <v/>
      </c>
    </row>
    <row r="1680" spans="1:17" ht="15" x14ac:dyDescent="0.25">
      <c r="A1680" s="120"/>
      <c r="B1680" s="121"/>
      <c r="C1680" s="518" t="str">
        <f>IF(A1680&amp;B1680="","",VLOOKUP(A1680&amp;B1680,INSUMOS!C:G,2,0))</f>
        <v/>
      </c>
      <c r="D1680" s="519"/>
      <c r="E1680" s="117" t="str">
        <f>IF(A1680&amp;B1680="","",VLOOKUP(A1680&amp;B1680,INSUMOS!C:G,3,0))</f>
        <v/>
      </c>
      <c r="F1680" s="118"/>
      <c r="G1680" s="122" t="str">
        <f>IF(A1680&amp;B1680="","",VLOOKUP(A1680&amp;B1680,INSUMOS!C:G,4,0))</f>
        <v/>
      </c>
      <c r="H1680" s="119" t="str">
        <f t="shared" si="294"/>
        <v/>
      </c>
      <c r="I1680" s="119" t="str">
        <f t="shared" si="295"/>
        <v/>
      </c>
      <c r="J1680" s="115" t="str">
        <f t="shared" si="296"/>
        <v/>
      </c>
      <c r="K1680" s="102" t="str">
        <f>IF(A1680&amp;B1680="","",VLOOKUP(A1680&amp;B1680,INSUMOS!C:G,5,0))</f>
        <v/>
      </c>
    </row>
    <row r="1681" spans="1:17" ht="15" x14ac:dyDescent="0.25">
      <c r="A1681" s="120"/>
      <c r="B1681" s="121"/>
      <c r="C1681" s="518" t="str">
        <f>IF(A1681&amp;B1681="","",VLOOKUP(A1681&amp;B1681,INSUMOS!C:G,2,0))</f>
        <v/>
      </c>
      <c r="D1681" s="519"/>
      <c r="E1681" s="117" t="str">
        <f>IF(A1681&amp;B1681="","",VLOOKUP(A1681&amp;B1681,INSUMOS!C:G,3,0))</f>
        <v/>
      </c>
      <c r="F1681" s="118"/>
      <c r="G1681" s="122" t="str">
        <f>IF(A1681&amp;B1681="","",VLOOKUP(A1681&amp;B1681,INSUMOS!C:G,4,0))</f>
        <v/>
      </c>
      <c r="H1681" s="119" t="str">
        <f t="shared" si="294"/>
        <v/>
      </c>
      <c r="I1681" s="119" t="str">
        <f t="shared" si="295"/>
        <v/>
      </c>
      <c r="J1681" s="115" t="str">
        <f t="shared" si="296"/>
        <v/>
      </c>
      <c r="K1681" s="102" t="str">
        <f>IF(A1681&amp;B1681="","",VLOOKUP(A1681&amp;B1681,INSUMOS!C:G,5,0))</f>
        <v/>
      </c>
    </row>
    <row r="1682" spans="1:17" ht="15" x14ac:dyDescent="0.25">
      <c r="A1682" s="123" t="s">
        <v>4399</v>
      </c>
      <c r="B1682" s="520"/>
      <c r="C1682" s="520"/>
      <c r="D1682" s="520"/>
      <c r="E1682" s="520"/>
      <c r="F1682" s="521"/>
      <c r="G1682" s="124" t="s">
        <v>50</v>
      </c>
      <c r="H1682" s="125">
        <f>SUM(H1670:H1681)</f>
        <v>0</v>
      </c>
      <c r="I1682" s="125">
        <f>SUM(I1670:I1681)</f>
        <v>16.18</v>
      </c>
      <c r="J1682" s="126">
        <f>SUM(J1670:J1681)</f>
        <v>0</v>
      </c>
    </row>
    <row r="1683" spans="1:17" ht="15" x14ac:dyDescent="0.25">
      <c r="A1683" s="127" t="s">
        <v>4400</v>
      </c>
      <c r="B1683" s="128"/>
      <c r="C1683" s="128"/>
      <c r="D1683" s="127" t="s">
        <v>51</v>
      </c>
      <c r="E1683" s="128"/>
      <c r="F1683" s="129"/>
      <c r="G1683" s="130" t="s">
        <v>55</v>
      </c>
      <c r="H1683" s="131" t="s">
        <v>52</v>
      </c>
      <c r="I1683" s="132"/>
      <c r="J1683" s="125">
        <f>SUM(H1682:J1682)</f>
        <v>16.18</v>
      </c>
    </row>
    <row r="1684" spans="1:17" ht="15" x14ac:dyDescent="0.25">
      <c r="A1684" s="313" t="str">
        <f>$I$3</f>
        <v>Carlos Wieck</v>
      </c>
      <c r="B1684" s="133"/>
      <c r="C1684" s="133"/>
      <c r="D1684" s="134"/>
      <c r="E1684" s="133"/>
      <c r="F1684" s="135"/>
      <c r="G1684" s="522">
        <f>$J$5</f>
        <v>43040</v>
      </c>
      <c r="H1684" s="136" t="s">
        <v>53</v>
      </c>
      <c r="I1684" s="137"/>
      <c r="J1684" s="125">
        <f>TRUNC(I1684*J1683,2)</f>
        <v>0</v>
      </c>
    </row>
    <row r="1685" spans="1:17" ht="15" x14ac:dyDescent="0.25">
      <c r="A1685" s="138"/>
      <c r="B1685" s="139"/>
      <c r="C1685" s="139"/>
      <c r="D1685" s="138"/>
      <c r="E1685" s="139"/>
      <c r="F1685" s="140"/>
      <c r="G1685" s="523"/>
      <c r="H1685" s="141" t="s">
        <v>54</v>
      </c>
      <c r="I1685" s="142"/>
      <c r="J1685" s="143">
        <f>J1684+J1683</f>
        <v>16.18</v>
      </c>
      <c r="L1685" s="102" t="str">
        <f>A1667</f>
        <v>COMPOSIÇÃO</v>
      </c>
      <c r="M1685" s="144" t="str">
        <f>B1667</f>
        <v>FF-068</v>
      </c>
      <c r="N1685" s="102" t="str">
        <f>L1685&amp;M1685</f>
        <v>COMPOSIÇÃOFF-068</v>
      </c>
      <c r="O1685" s="103" t="str">
        <f>D1666</f>
        <v>Pintura acrílica branca sobre fundo de painéis com miolo de madeira contraplacado por lâminas de madeira e externamente por chapas em CRFS</v>
      </c>
      <c r="P1685" s="145" t="str">
        <f>J1667</f>
        <v>m²</v>
      </c>
      <c r="Q1685" s="145">
        <f>J1685</f>
        <v>16.18</v>
      </c>
    </row>
    <row r="1686" spans="1:17" ht="15" x14ac:dyDescent="0.25">
      <c r="A1686" s="524" t="s">
        <v>40</v>
      </c>
      <c r="B1686" s="525"/>
      <c r="C1686" s="104" t="s">
        <v>41</v>
      </c>
      <c r="D1686" s="526" t="str">
        <f>IF(B1687="","",VLOOKUP(B1687,SERVIÇOS!B:E,3,0))</f>
        <v>Pintura com tinta epóxi cor branca sobre massa acrílica aplicada em placas de MDF resistente à úmidade</v>
      </c>
      <c r="E1686" s="526"/>
      <c r="F1686" s="526"/>
      <c r="G1686" s="526"/>
      <c r="H1686" s="526"/>
      <c r="I1686" s="527"/>
      <c r="J1686" s="105" t="s">
        <v>42</v>
      </c>
    </row>
    <row r="1687" spans="1:17" ht="15" x14ac:dyDescent="0.25">
      <c r="A1687" s="230" t="s">
        <v>4715</v>
      </c>
      <c r="B1687" s="230" t="s">
        <v>5089</v>
      </c>
      <c r="C1687" s="106"/>
      <c r="D1687" s="528"/>
      <c r="E1687" s="528"/>
      <c r="F1687" s="528"/>
      <c r="G1687" s="528"/>
      <c r="H1687" s="528"/>
      <c r="I1687" s="529"/>
      <c r="J1687" s="107" t="str">
        <f>IF(B1687="","",VLOOKUP(B1687,SERVIÇOS!B:E,4,0))</f>
        <v>m²</v>
      </c>
    </row>
    <row r="1688" spans="1:17" ht="15" x14ac:dyDescent="0.25">
      <c r="A1688" s="530" t="s">
        <v>4397</v>
      </c>
      <c r="B1688" s="531" t="s">
        <v>11</v>
      </c>
      <c r="C1688" s="533" t="s">
        <v>43</v>
      </c>
      <c r="D1688" s="534"/>
      <c r="E1688" s="530" t="s">
        <v>13</v>
      </c>
      <c r="F1688" s="530" t="s">
        <v>44</v>
      </c>
      <c r="G1688" s="538" t="s">
        <v>45</v>
      </c>
      <c r="H1688" s="108" t="s">
        <v>46</v>
      </c>
      <c r="I1688" s="108"/>
      <c r="J1688" s="108"/>
    </row>
    <row r="1689" spans="1:17" ht="15" x14ac:dyDescent="0.25">
      <c r="A1689" s="530"/>
      <c r="B1689" s="532"/>
      <c r="C1689" s="535"/>
      <c r="D1689" s="536"/>
      <c r="E1689" s="537"/>
      <c r="F1689" s="537"/>
      <c r="G1689" s="539"/>
      <c r="H1689" s="108" t="s">
        <v>47</v>
      </c>
      <c r="I1689" s="108" t="s">
        <v>48</v>
      </c>
      <c r="J1689" s="108" t="s">
        <v>49</v>
      </c>
    </row>
    <row r="1690" spans="1:17" ht="15" x14ac:dyDescent="0.25">
      <c r="A1690" s="109" t="s">
        <v>4398</v>
      </c>
      <c r="B1690" s="116">
        <v>28057</v>
      </c>
      <c r="C1690" s="540" t="str">
        <f>IF(A1690&amp;B1690="","",VLOOKUP(A1690&amp;B1690,INSUMOS!C:G,2,0))</f>
        <v>Selador para tinta epóxi</v>
      </c>
      <c r="D1690" s="541"/>
      <c r="E1690" s="111" t="str">
        <f>IF(A1690&amp;B1690="","",VLOOKUP(A1690&amp;B1690,INSUMOS!C:G,3,0))</f>
        <v>l</v>
      </c>
      <c r="F1690" s="112">
        <v>0.24</v>
      </c>
      <c r="G1690" s="113">
        <f>IF(A1690&amp;B1690="","",VLOOKUP(A1690&amp;B1690,INSUMOS!C:G,4,0))</f>
        <v>35.58</v>
      </c>
      <c r="H1690" s="114" t="str">
        <f>IF(K1690="MO",TRUNC(F1690*G1690,2),"")</f>
        <v/>
      </c>
      <c r="I1690" s="114">
        <f>IF(K1690="MT",TRUNC(F1690*G1690,2),"")</f>
        <v>8.5299999999999994</v>
      </c>
      <c r="J1690" s="115" t="str">
        <f>IF(K1690="EQ",TRUNC(F1690*G1690,2),"")</f>
        <v/>
      </c>
      <c r="K1690" s="102" t="str">
        <f>IF(A1690&amp;B1690="","",VLOOKUP(A1690&amp;B1690,INSUMOS!C:G,5,0))</f>
        <v>MT</v>
      </c>
    </row>
    <row r="1691" spans="1:17" ht="15" x14ac:dyDescent="0.25">
      <c r="A1691" s="109" t="s">
        <v>4398</v>
      </c>
      <c r="B1691" s="116">
        <v>37545</v>
      </c>
      <c r="C1691" s="518" t="str">
        <f>IF(A1691&amp;B1691="","",VLOOKUP(A1691&amp;B1691,INSUMOS!C:G,2,0))</f>
        <v>Tinta-base epoxi</v>
      </c>
      <c r="D1691" s="519"/>
      <c r="E1691" s="117" t="str">
        <f>IF(A1691&amp;B1691="","",VLOOKUP(A1691&amp;B1691,INSUMOS!C:G,3,0))</f>
        <v>l</v>
      </c>
      <c r="F1691" s="118">
        <v>0.2</v>
      </c>
      <c r="G1691" s="113">
        <f>IF(A1691&amp;B1691="","",VLOOKUP(A1691&amp;B1691,INSUMOS!C:G,4,0))</f>
        <v>44.74</v>
      </c>
      <c r="H1691" s="119" t="str">
        <f t="shared" ref="H1691" si="297">IF(K1691="MO",TRUNC(F1691*G1691,2),"")</f>
        <v/>
      </c>
      <c r="I1691" s="119">
        <f t="shared" ref="I1691" si="298">IF(K1691="MT",TRUNC(F1691*G1691,2),"")</f>
        <v>8.94</v>
      </c>
      <c r="J1691" s="115" t="str">
        <f t="shared" ref="J1691" si="299">IF(K1691="EQ",TRUNC(F1691*G1691,2),"")</f>
        <v/>
      </c>
      <c r="K1691" s="102" t="str">
        <f>IF(A1691&amp;B1691="","",VLOOKUP(A1691&amp;B1691,INSUMOS!C:G,5,0))</f>
        <v>MT</v>
      </c>
    </row>
    <row r="1692" spans="1:17" ht="15" x14ac:dyDescent="0.25">
      <c r="A1692" s="109" t="s">
        <v>4398</v>
      </c>
      <c r="B1692" s="116">
        <v>38014</v>
      </c>
      <c r="C1692" s="518" t="str">
        <f>IF(A1692&amp;B1692="","",VLOOKUP(A1692&amp;B1692,INSUMOS!C:G,2,0))</f>
        <v>Lixa massa/madeira uso geral Norton, Alcar ou equivalente (médias)</v>
      </c>
      <c r="D1692" s="519"/>
      <c r="E1692" s="117" t="str">
        <f>IF(A1692&amp;B1692="","",VLOOKUP(A1692&amp;B1692,INSUMOS!C:G,3,0))</f>
        <v>un</v>
      </c>
      <c r="F1692" s="118">
        <v>0.3</v>
      </c>
      <c r="G1692" s="113">
        <f>IF(A1692&amp;B1692="","",VLOOKUP(A1692&amp;B1692,INSUMOS!C:G,4,0))</f>
        <v>0.5</v>
      </c>
      <c r="H1692" s="119" t="str">
        <f>IF(K1692="MO",TRUNC(F1692*G1692,2),"")</f>
        <v/>
      </c>
      <c r="I1692" s="119">
        <f>IF(K1692="MT",TRUNC(F1692*G1692,2),"")</f>
        <v>0.15</v>
      </c>
      <c r="J1692" s="115" t="str">
        <f>IF(K1692="EQ",TRUNC(F1692*G1692,2),"")</f>
        <v/>
      </c>
      <c r="K1692" s="102" t="str">
        <f>IF(A1692&amp;B1692="","",VLOOKUP(A1692&amp;B1692,INSUMOS!C:G,5,0))</f>
        <v>MT</v>
      </c>
    </row>
    <row r="1693" spans="1:17" ht="15" x14ac:dyDescent="0.25">
      <c r="A1693" s="109" t="s">
        <v>4398</v>
      </c>
      <c r="B1693" s="116">
        <v>10140</v>
      </c>
      <c r="C1693" s="518" t="str">
        <f>IF(A1693&amp;B1693="","",VLOOKUP(A1693&amp;B1693,INSUMOS!C:G,2,0))</f>
        <v>Pintor</v>
      </c>
      <c r="D1693" s="519"/>
      <c r="E1693" s="117" t="str">
        <f>IF(A1693&amp;B1693="","",VLOOKUP(A1693&amp;B1693,INSUMOS!C:G,3,0))</f>
        <v>h</v>
      </c>
      <c r="F1693" s="118">
        <v>0.45</v>
      </c>
      <c r="G1693" s="113">
        <f>IF(A1693&amp;B1693="","",VLOOKUP(A1693&amp;B1693,INSUMOS!C:G,4,0))</f>
        <v>14.198733000000001</v>
      </c>
      <c r="H1693" s="119">
        <f>IF(K1693="MO",TRUNC(F1693*G1693,2),"")</f>
        <v>6.38</v>
      </c>
      <c r="I1693" s="119" t="str">
        <f>IF(K1693="MT",TRUNC(F1693*G1693,2),"")</f>
        <v/>
      </c>
      <c r="J1693" s="115" t="str">
        <f>IF(K1693="EQ",TRUNC(F1693*G1693,2),"")</f>
        <v/>
      </c>
      <c r="K1693" s="102" t="str">
        <f>IF(A1693&amp;B1693="","",VLOOKUP(A1693&amp;B1693,INSUMOS!C:G,5,0))</f>
        <v>MO</v>
      </c>
    </row>
    <row r="1694" spans="1:17" ht="15" x14ac:dyDescent="0.25">
      <c r="A1694" s="109" t="s">
        <v>4398</v>
      </c>
      <c r="B1694" s="116">
        <v>10141</v>
      </c>
      <c r="C1694" s="518" t="str">
        <f>IF(A1694&amp;B1694="","",VLOOKUP(A1694&amp;B1694,INSUMOS!C:G,2,0))</f>
        <v xml:space="preserve">Ajudante de pintor </v>
      </c>
      <c r="D1694" s="519"/>
      <c r="E1694" s="117" t="str">
        <f>IF(A1694&amp;B1694="","",VLOOKUP(A1694&amp;B1694,INSUMOS!C:G,3,0))</f>
        <v>h</v>
      </c>
      <c r="F1694" s="118">
        <v>0.45</v>
      </c>
      <c r="G1694" s="113">
        <f>IF(A1694&amp;B1694="","",VLOOKUP(A1694&amp;B1694,INSUMOS!C:G,4,0))</f>
        <v>10.985028</v>
      </c>
      <c r="H1694" s="119">
        <f t="shared" ref="H1694:H1701" si="300">IF(K1694="MO",TRUNC(F1694*G1694,2),"")</f>
        <v>4.9400000000000004</v>
      </c>
      <c r="I1694" s="119" t="str">
        <f t="shared" ref="I1694:I1701" si="301">IF(K1694="MT",TRUNC(F1694*G1694,2),"")</f>
        <v/>
      </c>
      <c r="J1694" s="115" t="str">
        <f t="shared" ref="J1694:J1701" si="302">IF(K1694="EQ",TRUNC(F1694*G1694,2),"")</f>
        <v/>
      </c>
      <c r="K1694" s="102" t="str">
        <f>IF(A1694&amp;B1694="","",VLOOKUP(A1694&amp;B1694,INSUMOS!C:G,5,0))</f>
        <v>MO</v>
      </c>
    </row>
    <row r="1695" spans="1:17" ht="15" x14ac:dyDescent="0.25">
      <c r="A1695" s="109"/>
      <c r="B1695" s="116"/>
      <c r="C1695" s="518" t="str">
        <f>IF(A1695&amp;B1695="","",VLOOKUP(A1695&amp;B1695,INSUMOS!C:G,2,0))</f>
        <v/>
      </c>
      <c r="D1695" s="519"/>
      <c r="E1695" s="117" t="str">
        <f>IF(A1695&amp;B1695="","",VLOOKUP(A1695&amp;B1695,INSUMOS!C:G,3,0))</f>
        <v/>
      </c>
      <c r="F1695" s="118"/>
      <c r="G1695" s="113" t="str">
        <f>IF(A1695&amp;B1695="","",VLOOKUP(A1695&amp;B1695,INSUMOS!C:G,4,0))</f>
        <v/>
      </c>
      <c r="H1695" s="119" t="str">
        <f t="shared" si="300"/>
        <v/>
      </c>
      <c r="I1695" s="119" t="str">
        <f t="shared" si="301"/>
        <v/>
      </c>
      <c r="J1695" s="115" t="str">
        <f t="shared" si="302"/>
        <v/>
      </c>
      <c r="K1695" s="102" t="str">
        <f>IF(A1695&amp;B1695="","",VLOOKUP(A1695&amp;B1695,INSUMOS!C:G,5,0))</f>
        <v/>
      </c>
    </row>
    <row r="1696" spans="1:17" ht="15" x14ac:dyDescent="0.25">
      <c r="A1696" s="109"/>
      <c r="B1696" s="116"/>
      <c r="C1696" s="518" t="str">
        <f>IF(A1696&amp;B1696="","",VLOOKUP(A1696&amp;B1696,INSUMOS!C:G,2,0))</f>
        <v/>
      </c>
      <c r="D1696" s="519"/>
      <c r="E1696" s="117" t="str">
        <f>IF(A1696&amp;B1696="","",VLOOKUP(A1696&amp;B1696,INSUMOS!C:G,3,0))</f>
        <v/>
      </c>
      <c r="F1696" s="118"/>
      <c r="G1696" s="113" t="str">
        <f>IF(A1696&amp;B1696="","",VLOOKUP(A1696&amp;B1696,INSUMOS!C:G,4,0))</f>
        <v/>
      </c>
      <c r="H1696" s="119" t="str">
        <f t="shared" si="300"/>
        <v/>
      </c>
      <c r="I1696" s="119" t="str">
        <f t="shared" si="301"/>
        <v/>
      </c>
      <c r="J1696" s="115" t="str">
        <f t="shared" si="302"/>
        <v/>
      </c>
      <c r="K1696" s="102" t="str">
        <f>IF(A1696&amp;B1696="","",VLOOKUP(A1696&amp;B1696,INSUMOS!C:G,5,0))</f>
        <v/>
      </c>
    </row>
    <row r="1697" spans="1:17" ht="15" x14ac:dyDescent="0.25">
      <c r="A1697" s="109"/>
      <c r="B1697" s="116"/>
      <c r="C1697" s="518" t="str">
        <f>IF(A1697&amp;B1697="","",VLOOKUP(A1697&amp;B1697,INSUMOS!C:G,2,0))</f>
        <v/>
      </c>
      <c r="D1697" s="519"/>
      <c r="E1697" s="117" t="str">
        <f>IF(A1697&amp;B1697="","",VLOOKUP(A1697&amp;B1697,INSUMOS!C:G,3,0))</f>
        <v/>
      </c>
      <c r="F1697" s="118"/>
      <c r="G1697" s="113" t="str">
        <f>IF(A1697&amp;B1697="","",VLOOKUP(A1697&amp;B1697,INSUMOS!C:G,4,0))</f>
        <v/>
      </c>
      <c r="H1697" s="119" t="str">
        <f t="shared" si="300"/>
        <v/>
      </c>
      <c r="I1697" s="119" t="str">
        <f t="shared" si="301"/>
        <v/>
      </c>
      <c r="J1697" s="115" t="str">
        <f t="shared" si="302"/>
        <v/>
      </c>
      <c r="K1697" s="102" t="str">
        <f>IF(A1697&amp;B1697="","",VLOOKUP(A1697&amp;B1697,INSUMOS!C:G,5,0))</f>
        <v/>
      </c>
    </row>
    <row r="1698" spans="1:17" ht="15" x14ac:dyDescent="0.25">
      <c r="A1698" s="109"/>
      <c r="B1698" s="116"/>
      <c r="C1698" s="518" t="str">
        <f>IF(A1698&amp;B1698="","",VLOOKUP(A1698&amp;B1698,INSUMOS!C:G,2,0))</f>
        <v/>
      </c>
      <c r="D1698" s="519"/>
      <c r="E1698" s="117" t="str">
        <f>IF(A1698&amp;B1698="","",VLOOKUP(A1698&amp;B1698,INSUMOS!C:G,3,0))</f>
        <v/>
      </c>
      <c r="F1698" s="118"/>
      <c r="G1698" s="113" t="str">
        <f>IF(A1698&amp;B1698="","",VLOOKUP(A1698&amp;B1698,INSUMOS!C:G,4,0))</f>
        <v/>
      </c>
      <c r="H1698" s="119" t="str">
        <f t="shared" si="300"/>
        <v/>
      </c>
      <c r="I1698" s="119" t="str">
        <f t="shared" si="301"/>
        <v/>
      </c>
      <c r="J1698" s="115" t="str">
        <f t="shared" si="302"/>
        <v/>
      </c>
      <c r="K1698" s="102" t="str">
        <f>IF(A1698&amp;B1698="","",VLOOKUP(A1698&amp;B1698,INSUMOS!C:G,5,0))</f>
        <v/>
      </c>
    </row>
    <row r="1699" spans="1:17" ht="15" x14ac:dyDescent="0.25">
      <c r="A1699" s="120"/>
      <c r="B1699" s="121"/>
      <c r="C1699" s="518" t="str">
        <f>IF(A1699&amp;B1699="","",VLOOKUP(A1699&amp;B1699,INSUMOS!C:G,2,0))</f>
        <v/>
      </c>
      <c r="D1699" s="519"/>
      <c r="E1699" s="117" t="str">
        <f>IF(A1699&amp;B1699="","",VLOOKUP(A1699&amp;B1699,INSUMOS!C:G,3,0))</f>
        <v/>
      </c>
      <c r="F1699" s="118"/>
      <c r="G1699" s="122" t="str">
        <f>IF(A1699&amp;B1699="","",VLOOKUP(A1699&amp;B1699,INSUMOS!C:G,4,0))</f>
        <v/>
      </c>
      <c r="H1699" s="119" t="str">
        <f t="shared" si="300"/>
        <v/>
      </c>
      <c r="I1699" s="119" t="str">
        <f t="shared" si="301"/>
        <v/>
      </c>
      <c r="J1699" s="115" t="str">
        <f t="shared" si="302"/>
        <v/>
      </c>
      <c r="K1699" s="102" t="str">
        <f>IF(A1699&amp;B1699="","",VLOOKUP(A1699&amp;B1699,INSUMOS!C:G,5,0))</f>
        <v/>
      </c>
    </row>
    <row r="1700" spans="1:17" ht="15" x14ac:dyDescent="0.25">
      <c r="A1700" s="120"/>
      <c r="B1700" s="121"/>
      <c r="C1700" s="518" t="str">
        <f>IF(A1700&amp;B1700="","",VLOOKUP(A1700&amp;B1700,INSUMOS!C:G,2,0))</f>
        <v/>
      </c>
      <c r="D1700" s="519"/>
      <c r="E1700" s="117" t="str">
        <f>IF(A1700&amp;B1700="","",VLOOKUP(A1700&amp;B1700,INSUMOS!C:G,3,0))</f>
        <v/>
      </c>
      <c r="F1700" s="118"/>
      <c r="G1700" s="122" t="str">
        <f>IF(A1700&amp;B1700="","",VLOOKUP(A1700&amp;B1700,INSUMOS!C:G,4,0))</f>
        <v/>
      </c>
      <c r="H1700" s="119" t="str">
        <f t="shared" si="300"/>
        <v/>
      </c>
      <c r="I1700" s="119" t="str">
        <f t="shared" si="301"/>
        <v/>
      </c>
      <c r="J1700" s="115" t="str">
        <f t="shared" si="302"/>
        <v/>
      </c>
      <c r="K1700" s="102" t="str">
        <f>IF(A1700&amp;B1700="","",VLOOKUP(A1700&amp;B1700,INSUMOS!C:G,5,0))</f>
        <v/>
      </c>
    </row>
    <row r="1701" spans="1:17" ht="15" x14ac:dyDescent="0.25">
      <c r="A1701" s="120"/>
      <c r="B1701" s="121"/>
      <c r="C1701" s="518" t="str">
        <f>IF(A1701&amp;B1701="","",VLOOKUP(A1701&amp;B1701,INSUMOS!C:G,2,0))</f>
        <v/>
      </c>
      <c r="D1701" s="519"/>
      <c r="E1701" s="117" t="str">
        <f>IF(A1701&amp;B1701="","",VLOOKUP(A1701&amp;B1701,INSUMOS!C:G,3,0))</f>
        <v/>
      </c>
      <c r="F1701" s="118"/>
      <c r="G1701" s="122" t="str">
        <f>IF(A1701&amp;B1701="","",VLOOKUP(A1701&amp;B1701,INSUMOS!C:G,4,0))</f>
        <v/>
      </c>
      <c r="H1701" s="119" t="str">
        <f t="shared" si="300"/>
        <v/>
      </c>
      <c r="I1701" s="119" t="str">
        <f t="shared" si="301"/>
        <v/>
      </c>
      <c r="J1701" s="115" t="str">
        <f t="shared" si="302"/>
        <v/>
      </c>
      <c r="K1701" s="102" t="str">
        <f>IF(A1701&amp;B1701="","",VLOOKUP(A1701&amp;B1701,INSUMOS!C:G,5,0))</f>
        <v/>
      </c>
    </row>
    <row r="1702" spans="1:17" ht="15" x14ac:dyDescent="0.25">
      <c r="A1702" s="123" t="s">
        <v>4399</v>
      </c>
      <c r="B1702" s="520"/>
      <c r="C1702" s="520"/>
      <c r="D1702" s="520"/>
      <c r="E1702" s="520"/>
      <c r="F1702" s="521"/>
      <c r="G1702" s="124" t="s">
        <v>50</v>
      </c>
      <c r="H1702" s="125">
        <f>SUM(H1690:H1701)</f>
        <v>11.32</v>
      </c>
      <c r="I1702" s="125">
        <f>SUM(I1690:I1701)</f>
        <v>17.619999999999997</v>
      </c>
      <c r="J1702" s="126">
        <f>SUM(J1690:J1701)</f>
        <v>0</v>
      </c>
    </row>
    <row r="1703" spans="1:17" ht="15" x14ac:dyDescent="0.25">
      <c r="A1703" s="127" t="s">
        <v>4400</v>
      </c>
      <c r="B1703" s="128"/>
      <c r="C1703" s="128"/>
      <c r="D1703" s="127" t="s">
        <v>51</v>
      </c>
      <c r="E1703" s="128"/>
      <c r="F1703" s="129"/>
      <c r="G1703" s="130" t="s">
        <v>55</v>
      </c>
      <c r="H1703" s="131" t="s">
        <v>52</v>
      </c>
      <c r="I1703" s="132"/>
      <c r="J1703" s="125">
        <f>SUM(H1702:J1702)</f>
        <v>28.939999999999998</v>
      </c>
    </row>
    <row r="1704" spans="1:17" ht="15" x14ac:dyDescent="0.25">
      <c r="A1704" s="313" t="str">
        <f>$I$3</f>
        <v>Carlos Wieck</v>
      </c>
      <c r="B1704" s="133"/>
      <c r="C1704" s="133"/>
      <c r="D1704" s="134"/>
      <c r="E1704" s="133"/>
      <c r="F1704" s="135"/>
      <c r="G1704" s="522">
        <f>$J$5</f>
        <v>43040</v>
      </c>
      <c r="H1704" s="136" t="s">
        <v>53</v>
      </c>
      <c r="I1704" s="137"/>
      <c r="J1704" s="125">
        <f>TRUNC(I1704*J1703,2)</f>
        <v>0</v>
      </c>
    </row>
    <row r="1705" spans="1:17" ht="15" x14ac:dyDescent="0.25">
      <c r="A1705" s="138"/>
      <c r="B1705" s="139"/>
      <c r="C1705" s="139"/>
      <c r="D1705" s="138"/>
      <c r="E1705" s="139"/>
      <c r="F1705" s="140"/>
      <c r="G1705" s="523"/>
      <c r="H1705" s="141" t="s">
        <v>54</v>
      </c>
      <c r="I1705" s="142"/>
      <c r="J1705" s="143">
        <f>J1704+J1703</f>
        <v>28.939999999999998</v>
      </c>
      <c r="L1705" s="102" t="str">
        <f>A1687</f>
        <v>COMPOSIÇÃO</v>
      </c>
      <c r="M1705" s="144" t="str">
        <f>B1687</f>
        <v>FF-069</v>
      </c>
      <c r="N1705" s="102" t="str">
        <f>L1705&amp;M1705</f>
        <v>COMPOSIÇÃOFF-069</v>
      </c>
      <c r="O1705" s="103" t="str">
        <f>D1686</f>
        <v>Pintura com tinta epóxi cor branca sobre massa acrílica aplicada em placas de MDF resistente à úmidade</v>
      </c>
      <c r="P1705" s="145" t="str">
        <f>J1687</f>
        <v>m²</v>
      </c>
      <c r="Q1705" s="145">
        <f>J1705</f>
        <v>28.939999999999998</v>
      </c>
    </row>
    <row r="1706" spans="1:17" ht="15" x14ac:dyDescent="0.25">
      <c r="A1706" s="524" t="s">
        <v>40</v>
      </c>
      <c r="B1706" s="525"/>
      <c r="C1706" s="104" t="s">
        <v>41</v>
      </c>
      <c r="D1706" s="526" t="str">
        <f>IF(B1707="","",VLOOKUP(B1707,SERVIÇOS!B:E,3,0))</f>
        <v>Policarbonato alveolar branco leitoso espessura 10mm.  Ref. Arkos PCA</v>
      </c>
      <c r="E1706" s="526"/>
      <c r="F1706" s="526"/>
      <c r="G1706" s="526"/>
      <c r="H1706" s="526"/>
      <c r="I1706" s="527"/>
      <c r="J1706" s="105" t="s">
        <v>42</v>
      </c>
    </row>
    <row r="1707" spans="1:17" ht="15" x14ac:dyDescent="0.25">
      <c r="A1707" s="230" t="s">
        <v>4715</v>
      </c>
      <c r="B1707" s="230" t="s">
        <v>5090</v>
      </c>
      <c r="C1707" s="106"/>
      <c r="D1707" s="528"/>
      <c r="E1707" s="528"/>
      <c r="F1707" s="528"/>
      <c r="G1707" s="528"/>
      <c r="H1707" s="528"/>
      <c r="I1707" s="529"/>
      <c r="J1707" s="107" t="str">
        <f>IF(B1707="","",VLOOKUP(B1707,SERVIÇOS!B:E,4,0))</f>
        <v>m²</v>
      </c>
    </row>
    <row r="1708" spans="1:17" ht="15" x14ac:dyDescent="0.25">
      <c r="A1708" s="530" t="s">
        <v>4397</v>
      </c>
      <c r="B1708" s="531" t="s">
        <v>11</v>
      </c>
      <c r="C1708" s="533" t="s">
        <v>43</v>
      </c>
      <c r="D1708" s="534"/>
      <c r="E1708" s="530" t="s">
        <v>13</v>
      </c>
      <c r="F1708" s="530" t="s">
        <v>44</v>
      </c>
      <c r="G1708" s="538" t="s">
        <v>45</v>
      </c>
      <c r="H1708" s="108" t="s">
        <v>46</v>
      </c>
      <c r="I1708" s="108"/>
      <c r="J1708" s="108"/>
    </row>
    <row r="1709" spans="1:17" ht="15" x14ac:dyDescent="0.25">
      <c r="A1709" s="530"/>
      <c r="B1709" s="532"/>
      <c r="C1709" s="535"/>
      <c r="D1709" s="536"/>
      <c r="E1709" s="537"/>
      <c r="F1709" s="537"/>
      <c r="G1709" s="539"/>
      <c r="H1709" s="108" t="s">
        <v>47</v>
      </c>
      <c r="I1709" s="108" t="s">
        <v>48</v>
      </c>
      <c r="J1709" s="108" t="s">
        <v>49</v>
      </c>
    </row>
    <row r="1710" spans="1:17" ht="15" x14ac:dyDescent="0.25">
      <c r="A1710" s="109" t="s">
        <v>4717</v>
      </c>
      <c r="B1710" s="116" t="s">
        <v>4873</v>
      </c>
      <c r="C1710" s="540" t="str">
        <f>IF(A1710&amp;B1710="","",VLOOKUP(A1710&amp;B1710,INSUMOS!C:G,2,0))</f>
        <v>Policarbonato 10mm, sistema TOPGAL da Arkos ou equivalente técnico</v>
      </c>
      <c r="D1710" s="541"/>
      <c r="E1710" s="111" t="str">
        <f>IF(A1710&amp;B1710="","",VLOOKUP(A1710&amp;B1710,INSUMOS!C:G,3,0))</f>
        <v>m²</v>
      </c>
      <c r="F1710" s="112">
        <v>1.05</v>
      </c>
      <c r="G1710" s="113">
        <f>IF(A1710&amp;B1710="","",VLOOKUP(A1710&amp;B1710,INSUMOS!C:G,4,0))</f>
        <v>126</v>
      </c>
      <c r="H1710" s="114" t="str">
        <f>IF(K1710="MO",TRUNC(F1710*G1710,2),"")</f>
        <v/>
      </c>
      <c r="I1710" s="114">
        <f>IF(K1710="MT",TRUNC(F1710*G1710,2),"")</f>
        <v>132.30000000000001</v>
      </c>
      <c r="J1710" s="115" t="str">
        <f>IF(K1710="EQ",TRUNC(F1710*G1710,2),"")</f>
        <v/>
      </c>
      <c r="K1710" s="102" t="str">
        <f>IF(A1710&amp;B1710="","",VLOOKUP(A1710&amp;B1710,INSUMOS!C:G,5,0))</f>
        <v>MT</v>
      </c>
    </row>
    <row r="1711" spans="1:17" ht="15" x14ac:dyDescent="0.25">
      <c r="A1711" s="109" t="s">
        <v>4717</v>
      </c>
      <c r="B1711" s="116" t="s">
        <v>4979</v>
      </c>
      <c r="C1711" s="518" t="str">
        <f>IF(A1711&amp;B1711="","",VLOOKUP(A1711&amp;B1711,INSUMOS!C:G,2,0))</f>
        <v>Acessórios e instalações do sistema de policarbonato</v>
      </c>
      <c r="D1711" s="519"/>
      <c r="E1711" s="117" t="str">
        <f>IF(A1711&amp;B1711="","",VLOOKUP(A1711&amp;B1711,INSUMOS!C:G,3,0))</f>
        <v>m²</v>
      </c>
      <c r="F1711" s="118">
        <v>1.05</v>
      </c>
      <c r="G1711" s="113">
        <f>IF(A1711&amp;B1711="","",VLOOKUP(A1711&amp;B1711,INSUMOS!C:G,4,0))</f>
        <v>313.75124</v>
      </c>
      <c r="H1711" s="119" t="str">
        <f t="shared" ref="H1711" si="303">IF(K1711="MO",TRUNC(F1711*G1711,2),"")</f>
        <v/>
      </c>
      <c r="I1711" s="119">
        <f t="shared" ref="I1711" si="304">IF(K1711="MT",TRUNC(F1711*G1711,2),"")</f>
        <v>329.43</v>
      </c>
      <c r="J1711" s="115" t="str">
        <f t="shared" ref="J1711" si="305">IF(K1711="EQ",TRUNC(F1711*G1711,2),"")</f>
        <v/>
      </c>
      <c r="K1711" s="102" t="str">
        <f>IF(A1711&amp;B1711="","",VLOOKUP(A1711&amp;B1711,INSUMOS!C:G,5,0))</f>
        <v>MT</v>
      </c>
    </row>
    <row r="1712" spans="1:17" ht="15" x14ac:dyDescent="0.25">
      <c r="A1712" s="109"/>
      <c r="B1712" s="116"/>
      <c r="C1712" s="518" t="str">
        <f>IF(A1712&amp;B1712="","",VLOOKUP(A1712&amp;B1712,INSUMOS!C:G,2,0))</f>
        <v/>
      </c>
      <c r="D1712" s="519"/>
      <c r="E1712" s="117" t="str">
        <f>IF(A1712&amp;B1712="","",VLOOKUP(A1712&amp;B1712,INSUMOS!C:G,3,0))</f>
        <v/>
      </c>
      <c r="F1712" s="118"/>
      <c r="G1712" s="113" t="str">
        <f>IF(A1712&amp;B1712="","",VLOOKUP(A1712&amp;B1712,INSUMOS!C:G,4,0))</f>
        <v/>
      </c>
      <c r="H1712" s="119" t="str">
        <f>IF(K1712="MO",TRUNC(F1712*G1712,2),"")</f>
        <v/>
      </c>
      <c r="I1712" s="119" t="str">
        <f>IF(K1712="MT",TRUNC(F1712*G1712,2),"")</f>
        <v/>
      </c>
      <c r="J1712" s="115" t="str">
        <f>IF(K1712="EQ",TRUNC(F1712*G1712,2),"")</f>
        <v/>
      </c>
      <c r="K1712" s="102" t="str">
        <f>IF(A1712&amp;B1712="","",VLOOKUP(A1712&amp;B1712,INSUMOS!C:G,5,0))</f>
        <v/>
      </c>
    </row>
    <row r="1713" spans="1:17" ht="15" x14ac:dyDescent="0.25">
      <c r="A1713" s="109"/>
      <c r="B1713" s="116"/>
      <c r="C1713" s="518" t="str">
        <f>IF(A1713&amp;B1713="","",VLOOKUP(A1713&amp;B1713,INSUMOS!C:G,2,0))</f>
        <v/>
      </c>
      <c r="D1713" s="519"/>
      <c r="E1713" s="117" t="str">
        <f>IF(A1713&amp;B1713="","",VLOOKUP(A1713&amp;B1713,INSUMOS!C:G,3,0))</f>
        <v/>
      </c>
      <c r="F1713" s="118"/>
      <c r="G1713" s="113" t="str">
        <f>IF(A1713&amp;B1713="","",VLOOKUP(A1713&amp;B1713,INSUMOS!C:G,4,0))</f>
        <v/>
      </c>
      <c r="H1713" s="119" t="str">
        <f>IF(K1713="MO",TRUNC(F1713*G1713,2),"")</f>
        <v/>
      </c>
      <c r="I1713" s="119" t="str">
        <f>IF(K1713="MT",TRUNC(F1713*G1713,2),"")</f>
        <v/>
      </c>
      <c r="J1713" s="115" t="str">
        <f>IF(K1713="EQ",TRUNC(F1713*G1713,2),"")</f>
        <v/>
      </c>
      <c r="K1713" s="102" t="str">
        <f>IF(A1713&amp;B1713="","",VLOOKUP(A1713&amp;B1713,INSUMOS!C:G,5,0))</f>
        <v/>
      </c>
    </row>
    <row r="1714" spans="1:17" ht="30" customHeight="1" x14ac:dyDescent="0.25">
      <c r="A1714" s="109"/>
      <c r="B1714" s="116"/>
      <c r="C1714" s="518" t="str">
        <f>IF(A1714&amp;B1714="","",VLOOKUP(A1714&amp;B1714,INSUMOS!C:G,2,0))</f>
        <v/>
      </c>
      <c r="D1714" s="519"/>
      <c r="E1714" s="117" t="str">
        <f>IF(A1714&amp;B1714="","",VLOOKUP(A1714&amp;B1714,INSUMOS!C:G,3,0))</f>
        <v/>
      </c>
      <c r="F1714" s="118"/>
      <c r="G1714" s="113" t="str">
        <f>IF(A1714&amp;B1714="","",VLOOKUP(A1714&amp;B1714,INSUMOS!C:G,4,0))</f>
        <v/>
      </c>
      <c r="H1714" s="119" t="str">
        <f t="shared" ref="H1714:H1721" si="306">IF(K1714="MO",TRUNC(F1714*G1714,2),"")</f>
        <v/>
      </c>
      <c r="I1714" s="119" t="str">
        <f t="shared" ref="I1714:I1721" si="307">IF(K1714="MT",TRUNC(F1714*G1714,2),"")</f>
        <v/>
      </c>
      <c r="J1714" s="115" t="str">
        <f t="shared" ref="J1714:J1721" si="308">IF(K1714="EQ",TRUNC(F1714*G1714,2),"")</f>
        <v/>
      </c>
      <c r="K1714" s="102" t="str">
        <f>IF(A1714&amp;B1714="","",VLOOKUP(A1714&amp;B1714,INSUMOS!C:G,5,0))</f>
        <v/>
      </c>
    </row>
    <row r="1715" spans="1:17" ht="15" x14ac:dyDescent="0.25">
      <c r="A1715" s="109"/>
      <c r="B1715" s="116"/>
      <c r="C1715" s="518" t="str">
        <f>IF(A1715&amp;B1715="","",VLOOKUP(A1715&amp;B1715,INSUMOS!C:G,2,0))</f>
        <v/>
      </c>
      <c r="D1715" s="519"/>
      <c r="E1715" s="117" t="str">
        <f>IF(A1715&amp;B1715="","",VLOOKUP(A1715&amp;B1715,INSUMOS!C:G,3,0))</f>
        <v/>
      </c>
      <c r="F1715" s="118"/>
      <c r="G1715" s="113" t="str">
        <f>IF(A1715&amp;B1715="","",VLOOKUP(A1715&amp;B1715,INSUMOS!C:G,4,0))</f>
        <v/>
      </c>
      <c r="H1715" s="119" t="str">
        <f t="shared" si="306"/>
        <v/>
      </c>
      <c r="I1715" s="119" t="str">
        <f t="shared" si="307"/>
        <v/>
      </c>
      <c r="J1715" s="115" t="str">
        <f t="shared" si="308"/>
        <v/>
      </c>
      <c r="K1715" s="102" t="str">
        <f>IF(A1715&amp;B1715="","",VLOOKUP(A1715&amp;B1715,INSUMOS!C:G,5,0))</f>
        <v/>
      </c>
    </row>
    <row r="1716" spans="1:17" ht="15" x14ac:dyDescent="0.25">
      <c r="A1716" s="109"/>
      <c r="B1716" s="116"/>
      <c r="C1716" s="518" t="str">
        <f>IF(A1716&amp;B1716="","",VLOOKUP(A1716&amp;B1716,INSUMOS!C:G,2,0))</f>
        <v/>
      </c>
      <c r="D1716" s="519"/>
      <c r="E1716" s="117" t="str">
        <f>IF(A1716&amp;B1716="","",VLOOKUP(A1716&amp;B1716,INSUMOS!C:G,3,0))</f>
        <v/>
      </c>
      <c r="F1716" s="118"/>
      <c r="G1716" s="113" t="str">
        <f>IF(A1716&amp;B1716="","",VLOOKUP(A1716&amp;B1716,INSUMOS!C:G,4,0))</f>
        <v/>
      </c>
      <c r="H1716" s="119" t="str">
        <f t="shared" si="306"/>
        <v/>
      </c>
      <c r="I1716" s="119" t="str">
        <f t="shared" si="307"/>
        <v/>
      </c>
      <c r="J1716" s="115" t="str">
        <f t="shared" si="308"/>
        <v/>
      </c>
      <c r="K1716" s="102" t="str">
        <f>IF(A1716&amp;B1716="","",VLOOKUP(A1716&amp;B1716,INSUMOS!C:G,5,0))</f>
        <v/>
      </c>
    </row>
    <row r="1717" spans="1:17" ht="15" x14ac:dyDescent="0.25">
      <c r="A1717" s="109"/>
      <c r="B1717" s="116"/>
      <c r="C1717" s="518" t="str">
        <f>IF(A1717&amp;B1717="","",VLOOKUP(A1717&amp;B1717,INSUMOS!C:G,2,0))</f>
        <v/>
      </c>
      <c r="D1717" s="519"/>
      <c r="E1717" s="117" t="str">
        <f>IF(A1717&amp;B1717="","",VLOOKUP(A1717&amp;B1717,INSUMOS!C:G,3,0))</f>
        <v/>
      </c>
      <c r="F1717" s="118"/>
      <c r="G1717" s="113" t="str">
        <f>IF(A1717&amp;B1717="","",VLOOKUP(A1717&amp;B1717,INSUMOS!C:G,4,0))</f>
        <v/>
      </c>
      <c r="H1717" s="119" t="str">
        <f t="shared" si="306"/>
        <v/>
      </c>
      <c r="I1717" s="119" t="str">
        <f t="shared" si="307"/>
        <v/>
      </c>
      <c r="J1717" s="115" t="str">
        <f t="shared" si="308"/>
        <v/>
      </c>
      <c r="K1717" s="102" t="str">
        <f>IF(A1717&amp;B1717="","",VLOOKUP(A1717&amp;B1717,INSUMOS!C:G,5,0))</f>
        <v/>
      </c>
    </row>
    <row r="1718" spans="1:17" ht="15" x14ac:dyDescent="0.25">
      <c r="A1718" s="109"/>
      <c r="B1718" s="116"/>
      <c r="C1718" s="518" t="str">
        <f>IF(A1718&amp;B1718="","",VLOOKUP(A1718&amp;B1718,INSUMOS!C:G,2,0))</f>
        <v/>
      </c>
      <c r="D1718" s="519"/>
      <c r="E1718" s="117" t="str">
        <f>IF(A1718&amp;B1718="","",VLOOKUP(A1718&amp;B1718,INSUMOS!C:G,3,0))</f>
        <v/>
      </c>
      <c r="F1718" s="118"/>
      <c r="G1718" s="113" t="str">
        <f>IF(A1718&amp;B1718="","",VLOOKUP(A1718&amp;B1718,INSUMOS!C:G,4,0))</f>
        <v/>
      </c>
      <c r="H1718" s="119" t="str">
        <f t="shared" si="306"/>
        <v/>
      </c>
      <c r="I1718" s="119" t="str">
        <f t="shared" si="307"/>
        <v/>
      </c>
      <c r="J1718" s="115" t="str">
        <f t="shared" si="308"/>
        <v/>
      </c>
      <c r="K1718" s="102" t="str">
        <f>IF(A1718&amp;B1718="","",VLOOKUP(A1718&amp;B1718,INSUMOS!C:G,5,0))</f>
        <v/>
      </c>
    </row>
    <row r="1719" spans="1:17" ht="15" x14ac:dyDescent="0.25">
      <c r="A1719" s="120"/>
      <c r="B1719" s="121"/>
      <c r="C1719" s="518" t="str">
        <f>IF(A1719&amp;B1719="","",VLOOKUP(A1719&amp;B1719,INSUMOS!C:G,2,0))</f>
        <v/>
      </c>
      <c r="D1719" s="519"/>
      <c r="E1719" s="117" t="str">
        <f>IF(A1719&amp;B1719="","",VLOOKUP(A1719&amp;B1719,INSUMOS!C:G,3,0))</f>
        <v/>
      </c>
      <c r="F1719" s="118"/>
      <c r="G1719" s="122" t="str">
        <f>IF(A1719&amp;B1719="","",VLOOKUP(A1719&amp;B1719,INSUMOS!C:G,4,0))</f>
        <v/>
      </c>
      <c r="H1719" s="119" t="str">
        <f t="shared" si="306"/>
        <v/>
      </c>
      <c r="I1719" s="119" t="str">
        <f t="shared" si="307"/>
        <v/>
      </c>
      <c r="J1719" s="115" t="str">
        <f t="shared" si="308"/>
        <v/>
      </c>
      <c r="K1719" s="102" t="str">
        <f>IF(A1719&amp;B1719="","",VLOOKUP(A1719&amp;B1719,INSUMOS!C:G,5,0))</f>
        <v/>
      </c>
    </row>
    <row r="1720" spans="1:17" ht="15" x14ac:dyDescent="0.25">
      <c r="A1720" s="120"/>
      <c r="B1720" s="121"/>
      <c r="C1720" s="518" t="str">
        <f>IF(A1720&amp;B1720="","",VLOOKUP(A1720&amp;B1720,INSUMOS!C:G,2,0))</f>
        <v/>
      </c>
      <c r="D1720" s="519"/>
      <c r="E1720" s="117" t="str">
        <f>IF(A1720&amp;B1720="","",VLOOKUP(A1720&amp;B1720,INSUMOS!C:G,3,0))</f>
        <v/>
      </c>
      <c r="F1720" s="118"/>
      <c r="G1720" s="122" t="str">
        <f>IF(A1720&amp;B1720="","",VLOOKUP(A1720&amp;B1720,INSUMOS!C:G,4,0))</f>
        <v/>
      </c>
      <c r="H1720" s="119" t="str">
        <f t="shared" si="306"/>
        <v/>
      </c>
      <c r="I1720" s="119" t="str">
        <f t="shared" si="307"/>
        <v/>
      </c>
      <c r="J1720" s="115" t="str">
        <f t="shared" si="308"/>
        <v/>
      </c>
      <c r="K1720" s="102" t="str">
        <f>IF(A1720&amp;B1720="","",VLOOKUP(A1720&amp;B1720,INSUMOS!C:G,5,0))</f>
        <v/>
      </c>
    </row>
    <row r="1721" spans="1:17" ht="15" x14ac:dyDescent="0.25">
      <c r="A1721" s="120"/>
      <c r="B1721" s="121"/>
      <c r="C1721" s="518" t="str">
        <f>IF(A1721&amp;B1721="","",VLOOKUP(A1721&amp;B1721,INSUMOS!C:G,2,0))</f>
        <v/>
      </c>
      <c r="D1721" s="519"/>
      <c r="E1721" s="117" t="str">
        <f>IF(A1721&amp;B1721="","",VLOOKUP(A1721&amp;B1721,INSUMOS!C:G,3,0))</f>
        <v/>
      </c>
      <c r="F1721" s="118"/>
      <c r="G1721" s="122" t="str">
        <f>IF(A1721&amp;B1721="","",VLOOKUP(A1721&amp;B1721,INSUMOS!C:G,4,0))</f>
        <v/>
      </c>
      <c r="H1721" s="119" t="str">
        <f t="shared" si="306"/>
        <v/>
      </c>
      <c r="I1721" s="119" t="str">
        <f t="shared" si="307"/>
        <v/>
      </c>
      <c r="J1721" s="115" t="str">
        <f t="shared" si="308"/>
        <v/>
      </c>
      <c r="K1721" s="102" t="str">
        <f>IF(A1721&amp;B1721="","",VLOOKUP(A1721&amp;B1721,INSUMOS!C:G,5,0))</f>
        <v/>
      </c>
    </row>
    <row r="1722" spans="1:17" ht="15" x14ac:dyDescent="0.25">
      <c r="A1722" s="123" t="s">
        <v>4399</v>
      </c>
      <c r="B1722" s="520"/>
      <c r="C1722" s="520"/>
      <c r="D1722" s="520"/>
      <c r="E1722" s="520"/>
      <c r="F1722" s="521"/>
      <c r="G1722" s="124" t="s">
        <v>50</v>
      </c>
      <c r="H1722" s="125">
        <f>SUM(H1710:H1721)</f>
        <v>0</v>
      </c>
      <c r="I1722" s="125">
        <f>SUM(I1710:I1721)</f>
        <v>461.73</v>
      </c>
      <c r="J1722" s="126">
        <f>SUM(J1710:J1721)</f>
        <v>0</v>
      </c>
    </row>
    <row r="1723" spans="1:17" ht="15" x14ac:dyDescent="0.25">
      <c r="A1723" s="127" t="s">
        <v>4400</v>
      </c>
      <c r="B1723" s="128"/>
      <c r="C1723" s="128"/>
      <c r="D1723" s="127" t="s">
        <v>51</v>
      </c>
      <c r="E1723" s="128"/>
      <c r="F1723" s="129"/>
      <c r="G1723" s="130" t="s">
        <v>55</v>
      </c>
      <c r="H1723" s="131" t="s">
        <v>52</v>
      </c>
      <c r="I1723" s="132"/>
      <c r="J1723" s="125">
        <f>SUM(H1722:J1722)</f>
        <v>461.73</v>
      </c>
    </row>
    <row r="1724" spans="1:17" ht="15" x14ac:dyDescent="0.25">
      <c r="A1724" s="313" t="str">
        <f>$I$3</f>
        <v>Carlos Wieck</v>
      </c>
      <c r="B1724" s="133"/>
      <c r="C1724" s="133"/>
      <c r="D1724" s="134"/>
      <c r="E1724" s="133"/>
      <c r="F1724" s="135"/>
      <c r="G1724" s="522">
        <f>$J$5</f>
        <v>43040</v>
      </c>
      <c r="H1724" s="136" t="s">
        <v>53</v>
      </c>
      <c r="I1724" s="137"/>
      <c r="J1724" s="125">
        <f>TRUNC(I1724*J1723,2)</f>
        <v>0</v>
      </c>
    </row>
    <row r="1725" spans="1:17" ht="15" x14ac:dyDescent="0.25">
      <c r="A1725" s="138"/>
      <c r="B1725" s="139"/>
      <c r="C1725" s="139"/>
      <c r="D1725" s="138"/>
      <c r="E1725" s="139"/>
      <c r="F1725" s="140"/>
      <c r="G1725" s="523"/>
      <c r="H1725" s="141" t="s">
        <v>54</v>
      </c>
      <c r="I1725" s="142"/>
      <c r="J1725" s="143">
        <f>J1724+J1723</f>
        <v>461.73</v>
      </c>
      <c r="L1725" s="102" t="str">
        <f>A1707</f>
        <v>COMPOSIÇÃO</v>
      </c>
      <c r="M1725" s="144" t="str">
        <f>B1707</f>
        <v>FF-070</v>
      </c>
      <c r="N1725" s="102" t="str">
        <f>L1725&amp;M1725</f>
        <v>COMPOSIÇÃOFF-070</v>
      </c>
      <c r="O1725" s="103" t="str">
        <f>D1706</f>
        <v>Policarbonato alveolar branco leitoso espessura 10mm.  Ref. Arkos PCA</v>
      </c>
      <c r="P1725" s="145" t="str">
        <f>J1707</f>
        <v>m²</v>
      </c>
      <c r="Q1725" s="145">
        <f>J1725</f>
        <v>461.73</v>
      </c>
    </row>
    <row r="1726" spans="1:17" ht="15" x14ac:dyDescent="0.25">
      <c r="A1726" s="524" t="s">
        <v>40</v>
      </c>
      <c r="B1726" s="525"/>
      <c r="C1726" s="104" t="s">
        <v>41</v>
      </c>
      <c r="D1726" s="526" t="str">
        <f>IF(B1727="","",VLOOKUP(B1727,SERVIÇOS!B:E,3,0))</f>
        <v>Quadro de distribuição de luz e força do tipo de sobrepor com barramento interno 3F + N + T, proteção geral de 15 kA e disjuntores parciais de 5kA, placa de fixação independente, fechadura com chave Yale de acordo com ABNT 60439-1 - ref. GIMI ou equivalente, conforme diagramas de projeto</v>
      </c>
      <c r="E1726" s="526"/>
      <c r="F1726" s="526"/>
      <c r="G1726" s="526"/>
      <c r="H1726" s="526"/>
      <c r="I1726" s="527"/>
      <c r="J1726" s="105" t="s">
        <v>42</v>
      </c>
    </row>
    <row r="1727" spans="1:17" ht="15" x14ac:dyDescent="0.25">
      <c r="A1727" s="230" t="s">
        <v>4715</v>
      </c>
      <c r="B1727" s="230" t="s">
        <v>5091</v>
      </c>
      <c r="C1727" s="106"/>
      <c r="D1727" s="528"/>
      <c r="E1727" s="528"/>
      <c r="F1727" s="528"/>
      <c r="G1727" s="528"/>
      <c r="H1727" s="528"/>
      <c r="I1727" s="529"/>
      <c r="J1727" s="107" t="str">
        <f>IF(B1727="","",VLOOKUP(B1727,SERVIÇOS!B:E,4,0))</f>
        <v>cj</v>
      </c>
    </row>
    <row r="1728" spans="1:17" ht="15" x14ac:dyDescent="0.25">
      <c r="A1728" s="530" t="s">
        <v>4397</v>
      </c>
      <c r="B1728" s="531" t="s">
        <v>11</v>
      </c>
      <c r="C1728" s="533" t="s">
        <v>43</v>
      </c>
      <c r="D1728" s="534"/>
      <c r="E1728" s="530" t="s">
        <v>13</v>
      </c>
      <c r="F1728" s="530" t="s">
        <v>44</v>
      </c>
      <c r="G1728" s="538" t="s">
        <v>45</v>
      </c>
      <c r="H1728" s="108" t="s">
        <v>46</v>
      </c>
      <c r="I1728" s="108"/>
      <c r="J1728" s="108"/>
    </row>
    <row r="1729" spans="1:11" ht="15" x14ac:dyDescent="0.25">
      <c r="A1729" s="530"/>
      <c r="B1729" s="532"/>
      <c r="C1729" s="535"/>
      <c r="D1729" s="536"/>
      <c r="E1729" s="537"/>
      <c r="F1729" s="537"/>
      <c r="G1729" s="539"/>
      <c r="H1729" s="108" t="s">
        <v>47</v>
      </c>
      <c r="I1729" s="108" t="s">
        <v>48</v>
      </c>
      <c r="J1729" s="108" t="s">
        <v>49</v>
      </c>
    </row>
    <row r="1730" spans="1:11" ht="60" customHeight="1" x14ac:dyDescent="0.25">
      <c r="A1730" s="109" t="s">
        <v>4717</v>
      </c>
      <c r="B1730" s="116" t="s">
        <v>4969</v>
      </c>
      <c r="C1730" s="540" t="str">
        <f>IF(A1730&amp;B1730="","",VLOOKUP(A1730&amp;B1730,INSUMOS!C:G,2,0))</f>
        <v>Quadro de distribuição de luz e força do tipo de sobrepor com barramento interno 3F + N + T, proteção geral de 15 kA e disjuntores parciais de 5kA, placa de fixação independente, fechadura com chave Yale de acordo com ABNT 60439-1 - ref. GIMI ou equivalente, conforme diagramas de projeto (padrão)</v>
      </c>
      <c r="D1730" s="541"/>
      <c r="E1730" s="111" t="str">
        <f>IF(A1730&amp;B1730="","",VLOOKUP(A1730&amp;B1730,INSUMOS!C:G,3,0))</f>
        <v>un</v>
      </c>
      <c r="F1730" s="112">
        <v>1</v>
      </c>
      <c r="G1730" s="113">
        <f>IF(A1730&amp;B1730="","",VLOOKUP(A1730&amp;B1730,INSUMOS!C:G,4,0))</f>
        <v>6621.7998600000001</v>
      </c>
      <c r="H1730" s="114" t="str">
        <f>IF(K1730="MO",TRUNC(F1730*G1730,2),"")</f>
        <v/>
      </c>
      <c r="I1730" s="114">
        <f>IF(K1730="MT",TRUNC(F1730*G1730,2),"")</f>
        <v>6621.79</v>
      </c>
      <c r="J1730" s="115" t="str">
        <f>IF(K1730="EQ",TRUNC(F1730*G1730,2),"")</f>
        <v/>
      </c>
      <c r="K1730" s="102" t="str">
        <f>IF(A1730&amp;B1730="","",VLOOKUP(A1730&amp;B1730,INSUMOS!C:G,5,0))</f>
        <v>MT</v>
      </c>
    </row>
    <row r="1731" spans="1:11" ht="15" x14ac:dyDescent="0.25">
      <c r="A1731" s="109"/>
      <c r="B1731" s="116"/>
      <c r="C1731" s="518" t="str">
        <f>IF(A1731&amp;B1731="","",VLOOKUP(A1731&amp;B1731,INSUMOS!C:G,2,0))</f>
        <v/>
      </c>
      <c r="D1731" s="519"/>
      <c r="E1731" s="117" t="str">
        <f>IF(A1731&amp;B1731="","",VLOOKUP(A1731&amp;B1731,INSUMOS!C:G,3,0))</f>
        <v/>
      </c>
      <c r="F1731" s="118"/>
      <c r="G1731" s="113" t="str">
        <f>IF(A1731&amp;B1731="","",VLOOKUP(A1731&amp;B1731,INSUMOS!C:G,4,0))</f>
        <v/>
      </c>
      <c r="H1731" s="119" t="str">
        <f t="shared" ref="H1731" si="309">IF(K1731="MO",TRUNC(F1731*G1731,2),"")</f>
        <v/>
      </c>
      <c r="I1731" s="119" t="str">
        <f t="shared" ref="I1731" si="310">IF(K1731="MT",TRUNC(F1731*G1731,2),"")</f>
        <v/>
      </c>
      <c r="J1731" s="115" t="str">
        <f t="shared" ref="J1731" si="311">IF(K1731="EQ",TRUNC(F1731*G1731,2),"")</f>
        <v/>
      </c>
      <c r="K1731" s="102" t="str">
        <f>IF(A1731&amp;B1731="","",VLOOKUP(A1731&amp;B1731,INSUMOS!C:G,5,0))</f>
        <v/>
      </c>
    </row>
    <row r="1732" spans="1:11" ht="15" x14ac:dyDescent="0.25">
      <c r="A1732" s="109"/>
      <c r="B1732" s="116"/>
      <c r="C1732" s="518" t="str">
        <f>IF(A1732&amp;B1732="","",VLOOKUP(A1732&amp;B1732,INSUMOS!C:G,2,0))</f>
        <v/>
      </c>
      <c r="D1732" s="519"/>
      <c r="E1732" s="117" t="str">
        <f>IF(A1732&amp;B1732="","",VLOOKUP(A1732&amp;B1732,INSUMOS!C:G,3,0))</f>
        <v/>
      </c>
      <c r="F1732" s="118"/>
      <c r="G1732" s="113" t="str">
        <f>IF(A1732&amp;B1732="","",VLOOKUP(A1732&amp;B1732,INSUMOS!C:G,4,0))</f>
        <v/>
      </c>
      <c r="H1732" s="119" t="str">
        <f>IF(K1732="MO",TRUNC(F1732*G1732,2),"")</f>
        <v/>
      </c>
      <c r="I1732" s="119" t="str">
        <f>IF(K1732="MT",TRUNC(F1732*G1732,2),"")</f>
        <v/>
      </c>
      <c r="J1732" s="115" t="str">
        <f>IF(K1732="EQ",TRUNC(F1732*G1732,2),"")</f>
        <v/>
      </c>
      <c r="K1732" s="102" t="str">
        <f>IF(A1732&amp;B1732="","",VLOOKUP(A1732&amp;B1732,INSUMOS!C:G,5,0))</f>
        <v/>
      </c>
    </row>
    <row r="1733" spans="1:11" ht="15" x14ac:dyDescent="0.25">
      <c r="A1733" s="109"/>
      <c r="B1733" s="116"/>
      <c r="C1733" s="518" t="str">
        <f>IF(A1733&amp;B1733="","",VLOOKUP(A1733&amp;B1733,INSUMOS!C:G,2,0))</f>
        <v/>
      </c>
      <c r="D1733" s="519"/>
      <c r="E1733" s="117" t="str">
        <f>IF(A1733&amp;B1733="","",VLOOKUP(A1733&amp;B1733,INSUMOS!C:G,3,0))</f>
        <v/>
      </c>
      <c r="F1733" s="118"/>
      <c r="G1733" s="113" t="str">
        <f>IF(A1733&amp;B1733="","",VLOOKUP(A1733&amp;B1733,INSUMOS!C:G,4,0))</f>
        <v/>
      </c>
      <c r="H1733" s="119" t="str">
        <f>IF(K1733="MO",TRUNC(F1733*G1733,2),"")</f>
        <v/>
      </c>
      <c r="I1733" s="119" t="str">
        <f>IF(K1733="MT",TRUNC(F1733*G1733,2),"")</f>
        <v/>
      </c>
      <c r="J1733" s="115" t="str">
        <f>IF(K1733="EQ",TRUNC(F1733*G1733,2),"")</f>
        <v/>
      </c>
      <c r="K1733" s="102" t="str">
        <f>IF(A1733&amp;B1733="","",VLOOKUP(A1733&amp;B1733,INSUMOS!C:G,5,0))</f>
        <v/>
      </c>
    </row>
    <row r="1734" spans="1:11" ht="15" x14ac:dyDescent="0.25">
      <c r="A1734" s="109"/>
      <c r="B1734" s="116"/>
      <c r="C1734" s="518" t="str">
        <f>IF(A1734&amp;B1734="","",VLOOKUP(A1734&amp;B1734,INSUMOS!C:G,2,0))</f>
        <v/>
      </c>
      <c r="D1734" s="519"/>
      <c r="E1734" s="117" t="str">
        <f>IF(A1734&amp;B1734="","",VLOOKUP(A1734&amp;B1734,INSUMOS!C:G,3,0))</f>
        <v/>
      </c>
      <c r="F1734" s="118"/>
      <c r="G1734" s="113" t="str">
        <f>IF(A1734&amp;B1734="","",VLOOKUP(A1734&amp;B1734,INSUMOS!C:G,4,0))</f>
        <v/>
      </c>
      <c r="H1734" s="119" t="str">
        <f t="shared" ref="H1734:H1741" si="312">IF(K1734="MO",TRUNC(F1734*G1734,2),"")</f>
        <v/>
      </c>
      <c r="I1734" s="119" t="str">
        <f t="shared" ref="I1734:I1741" si="313">IF(K1734="MT",TRUNC(F1734*G1734,2),"")</f>
        <v/>
      </c>
      <c r="J1734" s="115" t="str">
        <f t="shared" ref="J1734:J1741" si="314">IF(K1734="EQ",TRUNC(F1734*G1734,2),"")</f>
        <v/>
      </c>
      <c r="K1734" s="102" t="str">
        <f>IF(A1734&amp;B1734="","",VLOOKUP(A1734&amp;B1734,INSUMOS!C:G,5,0))</f>
        <v/>
      </c>
    </row>
    <row r="1735" spans="1:11" ht="15" x14ac:dyDescent="0.25">
      <c r="A1735" s="109"/>
      <c r="B1735" s="116"/>
      <c r="C1735" s="518" t="str">
        <f>IF(A1735&amp;B1735="","",VLOOKUP(A1735&amp;B1735,INSUMOS!C:G,2,0))</f>
        <v/>
      </c>
      <c r="D1735" s="519"/>
      <c r="E1735" s="117" t="str">
        <f>IF(A1735&amp;B1735="","",VLOOKUP(A1735&amp;B1735,INSUMOS!C:G,3,0))</f>
        <v/>
      </c>
      <c r="F1735" s="118"/>
      <c r="G1735" s="113" t="str">
        <f>IF(A1735&amp;B1735="","",VLOOKUP(A1735&amp;B1735,INSUMOS!C:G,4,0))</f>
        <v/>
      </c>
      <c r="H1735" s="119" t="str">
        <f t="shared" si="312"/>
        <v/>
      </c>
      <c r="I1735" s="119" t="str">
        <f t="shared" si="313"/>
        <v/>
      </c>
      <c r="J1735" s="115" t="str">
        <f t="shared" si="314"/>
        <v/>
      </c>
      <c r="K1735" s="102" t="str">
        <f>IF(A1735&amp;B1735="","",VLOOKUP(A1735&amp;B1735,INSUMOS!C:G,5,0))</f>
        <v/>
      </c>
    </row>
    <row r="1736" spans="1:11" ht="15" x14ac:dyDescent="0.25">
      <c r="A1736" s="109"/>
      <c r="B1736" s="116"/>
      <c r="C1736" s="518" t="str">
        <f>IF(A1736&amp;B1736="","",VLOOKUP(A1736&amp;B1736,INSUMOS!C:G,2,0))</f>
        <v/>
      </c>
      <c r="D1736" s="519"/>
      <c r="E1736" s="117" t="str">
        <f>IF(A1736&amp;B1736="","",VLOOKUP(A1736&amp;B1736,INSUMOS!C:G,3,0))</f>
        <v/>
      </c>
      <c r="F1736" s="118"/>
      <c r="G1736" s="113" t="str">
        <f>IF(A1736&amp;B1736="","",VLOOKUP(A1736&amp;B1736,INSUMOS!C:G,4,0))</f>
        <v/>
      </c>
      <c r="H1736" s="119" t="str">
        <f t="shared" si="312"/>
        <v/>
      </c>
      <c r="I1736" s="119" t="str">
        <f t="shared" si="313"/>
        <v/>
      </c>
      <c r="J1736" s="115" t="str">
        <f t="shared" si="314"/>
        <v/>
      </c>
      <c r="K1736" s="102" t="str">
        <f>IF(A1736&amp;B1736="","",VLOOKUP(A1736&amp;B1736,INSUMOS!C:G,5,0))</f>
        <v/>
      </c>
    </row>
    <row r="1737" spans="1:11" ht="15" x14ac:dyDescent="0.25">
      <c r="A1737" s="109"/>
      <c r="B1737" s="116"/>
      <c r="C1737" s="518" t="str">
        <f>IF(A1737&amp;B1737="","",VLOOKUP(A1737&amp;B1737,INSUMOS!C:G,2,0))</f>
        <v/>
      </c>
      <c r="D1737" s="519"/>
      <c r="E1737" s="117" t="str">
        <f>IF(A1737&amp;B1737="","",VLOOKUP(A1737&amp;B1737,INSUMOS!C:G,3,0))</f>
        <v/>
      </c>
      <c r="F1737" s="118"/>
      <c r="G1737" s="113" t="str">
        <f>IF(A1737&amp;B1737="","",VLOOKUP(A1737&amp;B1737,INSUMOS!C:G,4,0))</f>
        <v/>
      </c>
      <c r="H1737" s="119" t="str">
        <f t="shared" si="312"/>
        <v/>
      </c>
      <c r="I1737" s="119" t="str">
        <f t="shared" si="313"/>
        <v/>
      </c>
      <c r="J1737" s="115" t="str">
        <f t="shared" si="314"/>
        <v/>
      </c>
      <c r="K1737" s="102" t="str">
        <f>IF(A1737&amp;B1737="","",VLOOKUP(A1737&amp;B1737,INSUMOS!C:G,5,0))</f>
        <v/>
      </c>
    </row>
    <row r="1738" spans="1:11" ht="15" x14ac:dyDescent="0.25">
      <c r="A1738" s="109"/>
      <c r="B1738" s="116"/>
      <c r="C1738" s="518" t="str">
        <f>IF(A1738&amp;B1738="","",VLOOKUP(A1738&amp;B1738,INSUMOS!C:G,2,0))</f>
        <v/>
      </c>
      <c r="D1738" s="519"/>
      <c r="E1738" s="117" t="str">
        <f>IF(A1738&amp;B1738="","",VLOOKUP(A1738&amp;B1738,INSUMOS!C:G,3,0))</f>
        <v/>
      </c>
      <c r="F1738" s="118"/>
      <c r="G1738" s="113" t="str">
        <f>IF(A1738&amp;B1738="","",VLOOKUP(A1738&amp;B1738,INSUMOS!C:G,4,0))</f>
        <v/>
      </c>
      <c r="H1738" s="119" t="str">
        <f t="shared" si="312"/>
        <v/>
      </c>
      <c r="I1738" s="119" t="str">
        <f t="shared" si="313"/>
        <v/>
      </c>
      <c r="J1738" s="115" t="str">
        <f t="shared" si="314"/>
        <v/>
      </c>
      <c r="K1738" s="102" t="str">
        <f>IF(A1738&amp;B1738="","",VLOOKUP(A1738&amp;B1738,INSUMOS!C:G,5,0))</f>
        <v/>
      </c>
    </row>
    <row r="1739" spans="1:11" ht="15" x14ac:dyDescent="0.25">
      <c r="A1739" s="120"/>
      <c r="B1739" s="121"/>
      <c r="C1739" s="518" t="str">
        <f>IF(A1739&amp;B1739="","",VLOOKUP(A1739&amp;B1739,INSUMOS!C:G,2,0))</f>
        <v/>
      </c>
      <c r="D1739" s="519"/>
      <c r="E1739" s="117" t="str">
        <f>IF(A1739&amp;B1739="","",VLOOKUP(A1739&amp;B1739,INSUMOS!C:G,3,0))</f>
        <v/>
      </c>
      <c r="F1739" s="118"/>
      <c r="G1739" s="122" t="str">
        <f>IF(A1739&amp;B1739="","",VLOOKUP(A1739&amp;B1739,INSUMOS!C:G,4,0))</f>
        <v/>
      </c>
      <c r="H1739" s="119" t="str">
        <f t="shared" si="312"/>
        <v/>
      </c>
      <c r="I1739" s="119" t="str">
        <f t="shared" si="313"/>
        <v/>
      </c>
      <c r="J1739" s="115" t="str">
        <f t="shared" si="314"/>
        <v/>
      </c>
      <c r="K1739" s="102" t="str">
        <f>IF(A1739&amp;B1739="","",VLOOKUP(A1739&amp;B1739,INSUMOS!C:G,5,0))</f>
        <v/>
      </c>
    </row>
    <row r="1740" spans="1:11" ht="15" x14ac:dyDescent="0.25">
      <c r="A1740" s="120"/>
      <c r="B1740" s="121"/>
      <c r="C1740" s="518" t="str">
        <f>IF(A1740&amp;B1740="","",VLOOKUP(A1740&amp;B1740,INSUMOS!C:G,2,0))</f>
        <v/>
      </c>
      <c r="D1740" s="519"/>
      <c r="E1740" s="117" t="str">
        <f>IF(A1740&amp;B1740="","",VLOOKUP(A1740&amp;B1740,INSUMOS!C:G,3,0))</f>
        <v/>
      </c>
      <c r="F1740" s="118"/>
      <c r="G1740" s="122" t="str">
        <f>IF(A1740&amp;B1740="","",VLOOKUP(A1740&amp;B1740,INSUMOS!C:G,4,0))</f>
        <v/>
      </c>
      <c r="H1740" s="119" t="str">
        <f t="shared" si="312"/>
        <v/>
      </c>
      <c r="I1740" s="119" t="str">
        <f t="shared" si="313"/>
        <v/>
      </c>
      <c r="J1740" s="115" t="str">
        <f t="shared" si="314"/>
        <v/>
      </c>
      <c r="K1740" s="102" t="str">
        <f>IF(A1740&amp;B1740="","",VLOOKUP(A1740&amp;B1740,INSUMOS!C:G,5,0))</f>
        <v/>
      </c>
    </row>
    <row r="1741" spans="1:11" ht="15" x14ac:dyDescent="0.25">
      <c r="A1741" s="120"/>
      <c r="B1741" s="121"/>
      <c r="C1741" s="518" t="str">
        <f>IF(A1741&amp;B1741="","",VLOOKUP(A1741&amp;B1741,INSUMOS!C:G,2,0))</f>
        <v/>
      </c>
      <c r="D1741" s="519"/>
      <c r="E1741" s="117" t="str">
        <f>IF(A1741&amp;B1741="","",VLOOKUP(A1741&amp;B1741,INSUMOS!C:G,3,0))</f>
        <v/>
      </c>
      <c r="F1741" s="118"/>
      <c r="G1741" s="122" t="str">
        <f>IF(A1741&amp;B1741="","",VLOOKUP(A1741&amp;B1741,INSUMOS!C:G,4,0))</f>
        <v/>
      </c>
      <c r="H1741" s="119" t="str">
        <f t="shared" si="312"/>
        <v/>
      </c>
      <c r="I1741" s="119" t="str">
        <f t="shared" si="313"/>
        <v/>
      </c>
      <c r="J1741" s="115" t="str">
        <f t="shared" si="314"/>
        <v/>
      </c>
      <c r="K1741" s="102" t="str">
        <f>IF(A1741&amp;B1741="","",VLOOKUP(A1741&amp;B1741,INSUMOS!C:G,5,0))</f>
        <v/>
      </c>
    </row>
    <row r="1742" spans="1:11" ht="15" x14ac:dyDescent="0.25">
      <c r="A1742" s="123" t="s">
        <v>4399</v>
      </c>
      <c r="B1742" s="520"/>
      <c r="C1742" s="520"/>
      <c r="D1742" s="520"/>
      <c r="E1742" s="520"/>
      <c r="F1742" s="521"/>
      <c r="G1742" s="124" t="s">
        <v>50</v>
      </c>
      <c r="H1742" s="125">
        <f>SUM(H1730:H1741)</f>
        <v>0</v>
      </c>
      <c r="I1742" s="125">
        <f>SUM(I1730:I1741)</f>
        <v>6621.79</v>
      </c>
      <c r="J1742" s="126">
        <f>SUM(J1730:J1741)</f>
        <v>0</v>
      </c>
    </row>
    <row r="1743" spans="1:11" ht="15" x14ac:dyDescent="0.25">
      <c r="A1743" s="127" t="s">
        <v>4400</v>
      </c>
      <c r="B1743" s="128"/>
      <c r="C1743" s="128"/>
      <c r="D1743" s="127" t="s">
        <v>51</v>
      </c>
      <c r="E1743" s="128"/>
      <c r="F1743" s="129"/>
      <c r="G1743" s="130" t="s">
        <v>55</v>
      </c>
      <c r="H1743" s="131" t="s">
        <v>52</v>
      </c>
      <c r="I1743" s="132"/>
      <c r="J1743" s="125">
        <f>SUM(H1742:J1742)</f>
        <v>6621.79</v>
      </c>
    </row>
    <row r="1744" spans="1:11" ht="15" x14ac:dyDescent="0.25">
      <c r="A1744" s="313" t="str">
        <f>$I$3</f>
        <v>Carlos Wieck</v>
      </c>
      <c r="B1744" s="133"/>
      <c r="C1744" s="133"/>
      <c r="D1744" s="134"/>
      <c r="E1744" s="133"/>
      <c r="F1744" s="135"/>
      <c r="G1744" s="522">
        <f>$J$5</f>
        <v>43040</v>
      </c>
      <c r="H1744" s="136" t="s">
        <v>53</v>
      </c>
      <c r="I1744" s="137"/>
      <c r="J1744" s="125">
        <f>TRUNC(I1744*J1743,2)</f>
        <v>0</v>
      </c>
    </row>
    <row r="1745" spans="1:17" ht="15" x14ac:dyDescent="0.25">
      <c r="A1745" s="138"/>
      <c r="B1745" s="139"/>
      <c r="C1745" s="139"/>
      <c r="D1745" s="138"/>
      <c r="E1745" s="139"/>
      <c r="F1745" s="140"/>
      <c r="G1745" s="523"/>
      <c r="H1745" s="141" t="s">
        <v>54</v>
      </c>
      <c r="I1745" s="142"/>
      <c r="J1745" s="143">
        <f>J1744+J1743</f>
        <v>6621.79</v>
      </c>
      <c r="L1745" s="102" t="str">
        <f>A1727</f>
        <v>COMPOSIÇÃO</v>
      </c>
      <c r="M1745" s="144" t="str">
        <f>B1727</f>
        <v>FF-071</v>
      </c>
      <c r="N1745" s="102" t="str">
        <f>L1745&amp;M1745</f>
        <v>COMPOSIÇÃOFF-071</v>
      </c>
      <c r="O1745" s="103" t="str">
        <f>D1726</f>
        <v>Quadro de distribuição de luz e força do tipo de sobrepor com barramento interno 3F + N + T, proteção geral de 15 kA e disjuntores parciais de 5kA, placa de fixação independente, fechadura com chave Yale de acordo com ABNT 60439-1 - ref. GIMI ou equivalente, conforme diagramas de projeto</v>
      </c>
      <c r="P1745" s="145" t="str">
        <f>J1727</f>
        <v>cj</v>
      </c>
      <c r="Q1745" s="145">
        <f>J1745</f>
        <v>6621.79</v>
      </c>
    </row>
    <row r="1746" spans="1:17" ht="15" customHeight="1" x14ac:dyDescent="0.25">
      <c r="A1746" s="524" t="s">
        <v>40</v>
      </c>
      <c r="B1746" s="525"/>
      <c r="C1746" s="104" t="s">
        <v>41</v>
      </c>
      <c r="D1746" s="526" t="str">
        <f>IF(B1747="","",VLOOKUP(B1747,SERVIÇOS!B:E,3,0))</f>
        <v>Cotovelo 45º, PVC, Soldável, DN 25mm, instalado em ramal ou sub-ramal de água fornecimento e instalação.</v>
      </c>
      <c r="E1746" s="526"/>
      <c r="F1746" s="526"/>
      <c r="G1746" s="526"/>
      <c r="H1746" s="526"/>
      <c r="I1746" s="527"/>
      <c r="J1746" s="105" t="s">
        <v>42</v>
      </c>
    </row>
    <row r="1747" spans="1:17" ht="15" x14ac:dyDescent="0.25">
      <c r="A1747" s="230" t="s">
        <v>4715</v>
      </c>
      <c r="B1747" s="230" t="s">
        <v>5155</v>
      </c>
      <c r="C1747" s="106"/>
      <c r="D1747" s="528"/>
      <c r="E1747" s="528"/>
      <c r="F1747" s="528"/>
      <c r="G1747" s="528"/>
      <c r="H1747" s="528"/>
      <c r="I1747" s="529"/>
      <c r="J1747" s="107" t="str">
        <f>IF(B1747="","",VLOOKUP(B1747,SERVIÇOS!B:E,4,0))</f>
        <v>un</v>
      </c>
    </row>
    <row r="1748" spans="1:17" ht="15" x14ac:dyDescent="0.25">
      <c r="A1748" s="530" t="s">
        <v>4397</v>
      </c>
      <c r="B1748" s="531" t="s">
        <v>11</v>
      </c>
      <c r="C1748" s="533" t="s">
        <v>43</v>
      </c>
      <c r="D1748" s="534"/>
      <c r="E1748" s="530" t="s">
        <v>13</v>
      </c>
      <c r="F1748" s="530" t="s">
        <v>44</v>
      </c>
      <c r="G1748" s="538" t="s">
        <v>45</v>
      </c>
      <c r="H1748" s="108" t="s">
        <v>46</v>
      </c>
      <c r="I1748" s="108"/>
      <c r="J1748" s="108"/>
    </row>
    <row r="1749" spans="1:17" ht="15" x14ac:dyDescent="0.25">
      <c r="A1749" s="530"/>
      <c r="B1749" s="532"/>
      <c r="C1749" s="535"/>
      <c r="D1749" s="536"/>
      <c r="E1749" s="537"/>
      <c r="F1749" s="537"/>
      <c r="G1749" s="539"/>
      <c r="H1749" s="108" t="s">
        <v>47</v>
      </c>
      <c r="I1749" s="108" t="s">
        <v>48</v>
      </c>
      <c r="J1749" s="108" t="s">
        <v>49</v>
      </c>
    </row>
    <row r="1750" spans="1:17" ht="15" x14ac:dyDescent="0.25">
      <c r="A1750" s="109" t="s">
        <v>4398</v>
      </c>
      <c r="B1750" s="110">
        <v>10119</v>
      </c>
      <c r="C1750" s="540" t="str">
        <f>IF(A1750&amp;B1750="","",VLOOKUP(A1750&amp;B1750,INSUMOS!C:G,2,0))</f>
        <v>Ajudante de encanador</v>
      </c>
      <c r="D1750" s="541"/>
      <c r="E1750" s="111" t="str">
        <f>IF(A1750&amp;B1750="","",VLOOKUP(A1750&amp;B1750,INSUMOS!C:G,3,0))</f>
        <v>h</v>
      </c>
      <c r="F1750" s="112">
        <v>0.2</v>
      </c>
      <c r="G1750" s="113">
        <f>IF(A1750&amp;B1750="","",VLOOKUP(A1750&amp;B1750,INSUMOS!C:G,4,0))</f>
        <v>10.985028</v>
      </c>
      <c r="H1750" s="114">
        <f>IF(K1750="MO",TRUNC(F1750*G1750,2),"")</f>
        <v>2.19</v>
      </c>
      <c r="I1750" s="114" t="str">
        <f>IF(K1750="MT",TRUNC(F1750*G1750,2),"")</f>
        <v/>
      </c>
      <c r="J1750" s="115" t="str">
        <f>IF(K1750="EQ",TRUNC(F1750*G1750,2),"")</f>
        <v/>
      </c>
      <c r="K1750" s="102" t="str">
        <f>IF(A1750&amp;B1750="","",VLOOKUP(A1750&amp;B1750,INSUMOS!C:G,5,0))</f>
        <v>MO</v>
      </c>
    </row>
    <row r="1751" spans="1:17" ht="15" x14ac:dyDescent="0.25">
      <c r="A1751" s="109" t="s">
        <v>4398</v>
      </c>
      <c r="B1751" s="116">
        <v>10118</v>
      </c>
      <c r="C1751" s="518" t="str">
        <f>IF(A1751&amp;B1751="","",VLOOKUP(A1751&amp;B1751,INSUMOS!C:G,2,0))</f>
        <v xml:space="preserve">Encanador </v>
      </c>
      <c r="D1751" s="519"/>
      <c r="E1751" s="117" t="str">
        <f>IF(A1751&amp;B1751="","",VLOOKUP(A1751&amp;B1751,INSUMOS!C:G,3,0))</f>
        <v>h</v>
      </c>
      <c r="F1751" s="118">
        <v>0.2</v>
      </c>
      <c r="G1751" s="113">
        <f>IF(A1751&amp;B1751="","",VLOOKUP(A1751&amp;B1751,INSUMOS!C:G,4,0))</f>
        <v>16.906036</v>
      </c>
      <c r="H1751" s="119">
        <f t="shared" ref="H1751:H1762" si="315">IF(K1751="MO",TRUNC(F1751*G1751,2),"")</f>
        <v>3.38</v>
      </c>
      <c r="I1751" s="119" t="str">
        <f t="shared" ref="I1751:I1762" si="316">IF(K1751="MT",TRUNC(F1751*G1751,2),"")</f>
        <v/>
      </c>
      <c r="J1751" s="115" t="str">
        <f t="shared" ref="J1751:J1762" si="317">IF(K1751="EQ",TRUNC(F1751*G1751,2),"")</f>
        <v/>
      </c>
      <c r="K1751" s="102" t="str">
        <f>IF(A1751&amp;B1751="","",VLOOKUP(A1751&amp;B1751,INSUMOS!C:G,5,0))</f>
        <v>MO</v>
      </c>
    </row>
    <row r="1752" spans="1:17" ht="15" x14ac:dyDescent="0.25">
      <c r="A1752" s="109" t="s">
        <v>4398</v>
      </c>
      <c r="B1752" s="116">
        <v>69513</v>
      </c>
      <c r="C1752" s="518" t="str">
        <f>IF(A1752&amp;B1752="","",VLOOKUP(A1752&amp;B1752,INSUMOS!C:G,2,0))</f>
        <v>Adesivo para tubos PVC</v>
      </c>
      <c r="D1752" s="519"/>
      <c r="E1752" s="117" t="str">
        <f>IF(A1752&amp;B1752="","",VLOOKUP(A1752&amp;B1752,INSUMOS!C:G,3,0))</f>
        <v>kg</v>
      </c>
      <c r="F1752" s="118">
        <v>1.0999999999999999E-2</v>
      </c>
      <c r="G1752" s="113">
        <f>IF(A1752&amp;B1752="","",VLOOKUP(A1752&amp;B1752,INSUMOS!C:G,4,0))</f>
        <v>42.49</v>
      </c>
      <c r="H1752" s="119" t="str">
        <f t="shared" si="315"/>
        <v/>
      </c>
      <c r="I1752" s="119">
        <f t="shared" si="316"/>
        <v>0.46</v>
      </c>
      <c r="J1752" s="115" t="str">
        <f t="shared" si="317"/>
        <v/>
      </c>
      <c r="K1752" s="102" t="str">
        <f>IF(A1752&amp;B1752="","",VLOOKUP(A1752&amp;B1752,INSUMOS!C:G,5,0))</f>
        <v>MT</v>
      </c>
    </row>
    <row r="1753" spans="1:17" ht="15" x14ac:dyDescent="0.25">
      <c r="A1753" s="109" t="s">
        <v>4398</v>
      </c>
      <c r="B1753" s="116">
        <v>38040</v>
      </c>
      <c r="C1753" s="518" t="str">
        <f>IF(A1753&amp;B1753="","",VLOOKUP(A1753&amp;B1753,INSUMOS!C:G,2,0))</f>
        <v>Lixa d´água, ref. Norton n° 80, Aquaflex ou equivalente</v>
      </c>
      <c r="D1753" s="519"/>
      <c r="E1753" s="117" t="str">
        <f>IF(A1753&amp;B1753="","",VLOOKUP(A1753&amp;B1753,INSUMOS!C:G,3,0))</f>
        <v>un</v>
      </c>
      <c r="F1753" s="118">
        <v>7.4999999999999997E-2</v>
      </c>
      <c r="G1753" s="113">
        <f>IF(A1753&amp;B1753="","",VLOOKUP(A1753&amp;B1753,INSUMOS!C:G,4,0))</f>
        <v>1.04</v>
      </c>
      <c r="H1753" s="119" t="str">
        <f t="shared" si="315"/>
        <v/>
      </c>
      <c r="I1753" s="119">
        <f t="shared" si="316"/>
        <v>7.0000000000000007E-2</v>
      </c>
      <c r="J1753" s="115" t="str">
        <f t="shared" si="317"/>
        <v/>
      </c>
      <c r="K1753" s="102" t="str">
        <f>IF(A1753&amp;B1753="","",VLOOKUP(A1753&amp;B1753,INSUMOS!C:G,5,0))</f>
        <v>MT</v>
      </c>
    </row>
    <row r="1754" spans="1:17" ht="15" x14ac:dyDescent="0.25">
      <c r="A1754" s="109" t="s">
        <v>4810</v>
      </c>
      <c r="B1754" s="116">
        <v>1927</v>
      </c>
      <c r="C1754" s="518" t="str">
        <f>IF(A1754&amp;B1754="","",VLOOKUP(A1754&amp;B1754,INSUMOS!C:G,2,0))</f>
        <v>Curva de pvc 45 graus, soldável, 25mm, para água fria predial (NBR 5648)</v>
      </c>
      <c r="D1754" s="519"/>
      <c r="E1754" s="117" t="str">
        <f>IF(A1754&amp;B1754="","",VLOOKUP(A1754&amp;B1754,INSUMOS!C:G,3,0))</f>
        <v>un</v>
      </c>
      <c r="F1754" s="118">
        <v>1</v>
      </c>
      <c r="G1754" s="113">
        <f>IF(A1754&amp;B1754="","",VLOOKUP(A1754&amp;B1754,INSUMOS!C:G,4,0))</f>
        <v>1.5</v>
      </c>
      <c r="H1754" s="119" t="str">
        <f t="shared" si="315"/>
        <v/>
      </c>
      <c r="I1754" s="119">
        <f t="shared" si="316"/>
        <v>1.5</v>
      </c>
      <c r="J1754" s="115" t="str">
        <f t="shared" si="317"/>
        <v/>
      </c>
      <c r="K1754" s="102" t="str">
        <f>IF(A1754&amp;B1754="","",VLOOKUP(A1754&amp;B1754,INSUMOS!C:G,5,0))</f>
        <v>MT</v>
      </c>
    </row>
    <row r="1755" spans="1:17" ht="15" x14ac:dyDescent="0.25">
      <c r="A1755" s="109" t="s">
        <v>4398</v>
      </c>
      <c r="B1755" s="116">
        <v>69514</v>
      </c>
      <c r="C1755" s="518" t="str">
        <f>IF(A1755&amp;B1755="","",VLOOKUP(A1755&amp;B1755,INSUMOS!C:G,2,0))</f>
        <v>Solução limpadora para PVC</v>
      </c>
      <c r="D1755" s="519"/>
      <c r="E1755" s="117" t="str">
        <f>IF(A1755&amp;B1755="","",VLOOKUP(A1755&amp;B1755,INSUMOS!C:G,3,0))</f>
        <v>l</v>
      </c>
      <c r="F1755" s="118">
        <v>1.2E-2</v>
      </c>
      <c r="G1755" s="113">
        <f>IF(A1755&amp;B1755="","",VLOOKUP(A1755&amp;B1755,INSUMOS!C:G,4,0))</f>
        <v>29.11</v>
      </c>
      <c r="H1755" s="119" t="str">
        <f t="shared" si="315"/>
        <v/>
      </c>
      <c r="I1755" s="119">
        <f t="shared" si="316"/>
        <v>0.34</v>
      </c>
      <c r="J1755" s="115" t="str">
        <f t="shared" si="317"/>
        <v/>
      </c>
      <c r="K1755" s="102" t="str">
        <f>IF(A1755&amp;B1755="","",VLOOKUP(A1755&amp;B1755,INSUMOS!C:G,5,0))</f>
        <v>MT</v>
      </c>
    </row>
    <row r="1756" spans="1:17" ht="15" x14ac:dyDescent="0.25">
      <c r="A1756" s="109"/>
      <c r="B1756" s="116"/>
      <c r="C1756" s="518" t="str">
        <f>IF(A1756&amp;B1756="","",VLOOKUP(A1756&amp;B1756,INSUMOS!C:G,2,0))</f>
        <v/>
      </c>
      <c r="D1756" s="519"/>
      <c r="E1756" s="117" t="str">
        <f>IF(A1756&amp;B1756="","",VLOOKUP(A1756&amp;B1756,INSUMOS!C:G,3,0))</f>
        <v/>
      </c>
      <c r="F1756" s="118"/>
      <c r="G1756" s="113" t="str">
        <f>IF(A1756&amp;B1756="","",VLOOKUP(A1756&amp;B1756,INSUMOS!C:G,4,0))</f>
        <v/>
      </c>
      <c r="H1756" s="119" t="str">
        <f t="shared" si="315"/>
        <v/>
      </c>
      <c r="I1756" s="119" t="str">
        <f t="shared" si="316"/>
        <v/>
      </c>
      <c r="J1756" s="115" t="str">
        <f t="shared" si="317"/>
        <v/>
      </c>
      <c r="K1756" s="102" t="str">
        <f>IF(A1756&amp;B1756="","",VLOOKUP(A1756&amp;B1756,INSUMOS!C:G,5,0))</f>
        <v/>
      </c>
    </row>
    <row r="1757" spans="1:17" ht="15" x14ac:dyDescent="0.25">
      <c r="A1757" s="109"/>
      <c r="B1757" s="116"/>
      <c r="C1757" s="518" t="str">
        <f>IF(A1757&amp;B1757="","",VLOOKUP(A1757&amp;B1757,INSUMOS!C:G,2,0))</f>
        <v/>
      </c>
      <c r="D1757" s="519"/>
      <c r="E1757" s="117" t="str">
        <f>IF(A1757&amp;B1757="","",VLOOKUP(A1757&amp;B1757,INSUMOS!C:G,3,0))</f>
        <v/>
      </c>
      <c r="F1757" s="118"/>
      <c r="G1757" s="113" t="str">
        <f>IF(A1757&amp;B1757="","",VLOOKUP(A1757&amp;B1757,INSUMOS!C:G,4,0))</f>
        <v/>
      </c>
      <c r="H1757" s="119" t="str">
        <f t="shared" si="315"/>
        <v/>
      </c>
      <c r="I1757" s="119" t="str">
        <f t="shared" si="316"/>
        <v/>
      </c>
      <c r="J1757" s="115" t="str">
        <f t="shared" si="317"/>
        <v/>
      </c>
      <c r="K1757" s="102" t="str">
        <f>IF(A1757&amp;B1757="","",VLOOKUP(A1757&amp;B1757,INSUMOS!C:G,5,0))</f>
        <v/>
      </c>
    </row>
    <row r="1758" spans="1:17" ht="15" x14ac:dyDescent="0.25">
      <c r="A1758" s="109"/>
      <c r="B1758" s="116"/>
      <c r="C1758" s="518" t="str">
        <f>IF(A1758&amp;B1758="","",VLOOKUP(A1758&amp;B1758,INSUMOS!C:G,2,0))</f>
        <v/>
      </c>
      <c r="D1758" s="519"/>
      <c r="E1758" s="117" t="str">
        <f>IF(A1758&amp;B1758="","",VLOOKUP(A1758&amp;B1758,INSUMOS!C:G,3,0))</f>
        <v/>
      </c>
      <c r="F1758" s="118"/>
      <c r="G1758" s="113" t="str">
        <f>IF(A1758&amp;B1758="","",VLOOKUP(A1758&amp;B1758,INSUMOS!C:G,4,0))</f>
        <v/>
      </c>
      <c r="H1758" s="119" t="str">
        <f t="shared" si="315"/>
        <v/>
      </c>
      <c r="I1758" s="119" t="str">
        <f t="shared" si="316"/>
        <v/>
      </c>
      <c r="J1758" s="115" t="str">
        <f t="shared" si="317"/>
        <v/>
      </c>
      <c r="K1758" s="102" t="str">
        <f>IF(A1758&amp;B1758="","",VLOOKUP(A1758&amp;B1758,INSUMOS!C:G,5,0))</f>
        <v/>
      </c>
    </row>
    <row r="1759" spans="1:17" ht="15" x14ac:dyDescent="0.25">
      <c r="A1759" s="109"/>
      <c r="B1759" s="116"/>
      <c r="C1759" s="518" t="str">
        <f>IF(A1759&amp;B1759="","",VLOOKUP(A1759&amp;B1759,INSUMOS!C:G,2,0))</f>
        <v/>
      </c>
      <c r="D1759" s="519"/>
      <c r="E1759" s="117" t="str">
        <f>IF(A1759&amp;B1759="","",VLOOKUP(A1759&amp;B1759,INSUMOS!C:G,3,0))</f>
        <v/>
      </c>
      <c r="F1759" s="118"/>
      <c r="G1759" s="113" t="str">
        <f>IF(A1759&amp;B1759="","",VLOOKUP(A1759&amp;B1759,INSUMOS!C:G,4,0))</f>
        <v/>
      </c>
      <c r="H1759" s="119" t="str">
        <f t="shared" si="315"/>
        <v/>
      </c>
      <c r="I1759" s="119" t="str">
        <f t="shared" si="316"/>
        <v/>
      </c>
      <c r="J1759" s="115" t="str">
        <f t="shared" si="317"/>
        <v/>
      </c>
      <c r="K1759" s="102" t="str">
        <f>IF(A1759&amp;B1759="","",VLOOKUP(A1759&amp;B1759,INSUMOS!C:G,5,0))</f>
        <v/>
      </c>
    </row>
    <row r="1760" spans="1:17" ht="15" x14ac:dyDescent="0.25">
      <c r="A1760" s="120"/>
      <c r="B1760" s="121"/>
      <c r="C1760" s="518" t="str">
        <f>IF(A1760&amp;B1760="","",VLOOKUP(A1760&amp;B1760,INSUMOS!C:G,2,0))</f>
        <v/>
      </c>
      <c r="D1760" s="519"/>
      <c r="E1760" s="117" t="str">
        <f>IF(A1760&amp;B1760="","",VLOOKUP(A1760&amp;B1760,INSUMOS!C:G,3,0))</f>
        <v/>
      </c>
      <c r="F1760" s="118"/>
      <c r="G1760" s="122" t="str">
        <f>IF(A1760&amp;B1760="","",VLOOKUP(A1760&amp;B1760,INSUMOS!C:G,4,0))</f>
        <v/>
      </c>
      <c r="H1760" s="119" t="str">
        <f t="shared" si="315"/>
        <v/>
      </c>
      <c r="I1760" s="119" t="str">
        <f t="shared" si="316"/>
        <v/>
      </c>
      <c r="J1760" s="115" t="str">
        <f t="shared" si="317"/>
        <v/>
      </c>
      <c r="K1760" s="102" t="str">
        <f>IF(A1760&amp;B1760="","",VLOOKUP(A1760&amp;B1760,INSUMOS!C:G,5,0))</f>
        <v/>
      </c>
    </row>
    <row r="1761" spans="1:17" ht="15" x14ac:dyDescent="0.25">
      <c r="A1761" s="120"/>
      <c r="B1761" s="121"/>
      <c r="C1761" s="518" t="str">
        <f>IF(A1761&amp;B1761="","",VLOOKUP(A1761&amp;B1761,INSUMOS!C:G,2,0))</f>
        <v/>
      </c>
      <c r="D1761" s="519"/>
      <c r="E1761" s="117" t="str">
        <f>IF(A1761&amp;B1761="","",VLOOKUP(A1761&amp;B1761,INSUMOS!C:G,3,0))</f>
        <v/>
      </c>
      <c r="F1761" s="118"/>
      <c r="G1761" s="122" t="str">
        <f>IF(A1761&amp;B1761="","",VLOOKUP(A1761&amp;B1761,INSUMOS!C:G,4,0))</f>
        <v/>
      </c>
      <c r="H1761" s="119" t="str">
        <f t="shared" si="315"/>
        <v/>
      </c>
      <c r="I1761" s="119" t="str">
        <f t="shared" si="316"/>
        <v/>
      </c>
      <c r="J1761" s="115" t="str">
        <f t="shared" si="317"/>
        <v/>
      </c>
      <c r="K1761" s="102" t="str">
        <f>IF(A1761&amp;B1761="","",VLOOKUP(A1761&amp;B1761,INSUMOS!C:G,5,0))</f>
        <v/>
      </c>
    </row>
    <row r="1762" spans="1:17" ht="15" x14ac:dyDescent="0.25">
      <c r="A1762" s="120"/>
      <c r="B1762" s="121"/>
      <c r="C1762" s="518" t="str">
        <f>IF(A1762&amp;B1762="","",VLOOKUP(A1762&amp;B1762,INSUMOS!C:G,2,0))</f>
        <v/>
      </c>
      <c r="D1762" s="519"/>
      <c r="E1762" s="117" t="str">
        <f>IF(A1762&amp;B1762="","",VLOOKUP(A1762&amp;B1762,INSUMOS!C:G,3,0))</f>
        <v/>
      </c>
      <c r="F1762" s="118"/>
      <c r="G1762" s="122" t="str">
        <f>IF(A1762&amp;B1762="","",VLOOKUP(A1762&amp;B1762,INSUMOS!C:G,4,0))</f>
        <v/>
      </c>
      <c r="H1762" s="119" t="str">
        <f t="shared" si="315"/>
        <v/>
      </c>
      <c r="I1762" s="119" t="str">
        <f t="shared" si="316"/>
        <v/>
      </c>
      <c r="J1762" s="115" t="str">
        <f t="shared" si="317"/>
        <v/>
      </c>
      <c r="K1762" s="102" t="str">
        <f>IF(A1762&amp;B1762="","",VLOOKUP(A1762&amp;B1762,INSUMOS!C:G,5,0))</f>
        <v/>
      </c>
    </row>
    <row r="1763" spans="1:17" ht="15" x14ac:dyDescent="0.25">
      <c r="A1763" s="123" t="s">
        <v>4399</v>
      </c>
      <c r="B1763" s="542" t="s">
        <v>5185</v>
      </c>
      <c r="C1763" s="542"/>
      <c r="D1763" s="542"/>
      <c r="E1763" s="542"/>
      <c r="F1763" s="543"/>
      <c r="G1763" s="124" t="s">
        <v>50</v>
      </c>
      <c r="H1763" s="125">
        <f>SUM(H1750:H1762)</f>
        <v>5.57</v>
      </c>
      <c r="I1763" s="125">
        <f>SUM(I1750:I1762)</f>
        <v>2.37</v>
      </c>
      <c r="J1763" s="126">
        <f>SUM(J1750:J1762)</f>
        <v>0</v>
      </c>
    </row>
    <row r="1764" spans="1:17" ht="15" x14ac:dyDescent="0.25">
      <c r="A1764" s="127" t="s">
        <v>4400</v>
      </c>
      <c r="B1764" s="128"/>
      <c r="C1764" s="128"/>
      <c r="D1764" s="127" t="s">
        <v>51</v>
      </c>
      <c r="E1764" s="128"/>
      <c r="F1764" s="129"/>
      <c r="G1764" s="130" t="s">
        <v>55</v>
      </c>
      <c r="H1764" s="131" t="s">
        <v>52</v>
      </c>
      <c r="I1764" s="132"/>
      <c r="J1764" s="125">
        <f>SUM(H1763:J1763)</f>
        <v>7.94</v>
      </c>
    </row>
    <row r="1765" spans="1:17" ht="15" x14ac:dyDescent="0.25">
      <c r="A1765" s="313" t="str">
        <f>$I$3</f>
        <v>Carlos Wieck</v>
      </c>
      <c r="B1765" s="133"/>
      <c r="C1765" s="133"/>
      <c r="D1765" s="134"/>
      <c r="E1765" s="133"/>
      <c r="F1765" s="135"/>
      <c r="G1765" s="522">
        <f>$J$5</f>
        <v>43040</v>
      </c>
      <c r="H1765" s="136" t="s">
        <v>53</v>
      </c>
      <c r="I1765" s="137"/>
      <c r="J1765" s="125">
        <f>TRUNC(I1765*J1764,2)</f>
        <v>0</v>
      </c>
    </row>
    <row r="1766" spans="1:17" ht="15" x14ac:dyDescent="0.25">
      <c r="A1766" s="314"/>
      <c r="B1766" s="139"/>
      <c r="C1766" s="139"/>
      <c r="D1766" s="138"/>
      <c r="E1766" s="139"/>
      <c r="F1766" s="140"/>
      <c r="G1766" s="523"/>
      <c r="H1766" s="141" t="s">
        <v>54</v>
      </c>
      <c r="I1766" s="142"/>
      <c r="J1766" s="143">
        <f>J1765+J1764</f>
        <v>7.94</v>
      </c>
      <c r="L1766" s="102" t="str">
        <f>A1747</f>
        <v>COMPOSIÇÃO</v>
      </c>
      <c r="M1766" s="144" t="str">
        <f>B1747</f>
        <v>FF-072</v>
      </c>
      <c r="N1766" s="102" t="str">
        <f>L1766&amp;M1766</f>
        <v>COMPOSIÇÃOFF-072</v>
      </c>
      <c r="O1766" s="103" t="str">
        <f>D1746</f>
        <v>Cotovelo 45º, PVC, Soldável, DN 25mm, instalado em ramal ou sub-ramal de água fornecimento e instalação.</v>
      </c>
      <c r="P1766" s="145" t="str">
        <f>J1747</f>
        <v>un</v>
      </c>
      <c r="Q1766" s="145">
        <f>J1766</f>
        <v>7.94</v>
      </c>
    </row>
    <row r="1767" spans="1:17" ht="15" customHeight="1" x14ac:dyDescent="0.25">
      <c r="A1767" s="524" t="s">
        <v>40</v>
      </c>
      <c r="B1767" s="525"/>
      <c r="C1767" s="104" t="s">
        <v>41</v>
      </c>
      <c r="D1767" s="526" t="str">
        <f>IF(B1768="","",VLOOKUP(B1768,SERVIÇOS!B:E,3,0))</f>
        <v>Cotovelo 45º, PVC, Soldável, DN 32mm, instalado em ramal ou sub-ramal de água fornecimento e instalação.</v>
      </c>
      <c r="E1767" s="526"/>
      <c r="F1767" s="526"/>
      <c r="G1767" s="526"/>
      <c r="H1767" s="526"/>
      <c r="I1767" s="527"/>
      <c r="J1767" s="105" t="s">
        <v>42</v>
      </c>
    </row>
    <row r="1768" spans="1:17" ht="15" x14ac:dyDescent="0.25">
      <c r="A1768" s="230" t="s">
        <v>4715</v>
      </c>
      <c r="B1768" s="230" t="s">
        <v>5186</v>
      </c>
      <c r="C1768" s="106"/>
      <c r="D1768" s="528"/>
      <c r="E1768" s="528"/>
      <c r="F1768" s="528"/>
      <c r="G1768" s="528"/>
      <c r="H1768" s="528"/>
      <c r="I1768" s="529"/>
      <c r="J1768" s="107" t="str">
        <f>IF(B1768="","",VLOOKUP(B1768,SERVIÇOS!B:E,4,0))</f>
        <v>un</v>
      </c>
    </row>
    <row r="1769" spans="1:17" ht="15" x14ac:dyDescent="0.25">
      <c r="A1769" s="530" t="s">
        <v>4397</v>
      </c>
      <c r="B1769" s="531" t="s">
        <v>11</v>
      </c>
      <c r="C1769" s="533" t="s">
        <v>43</v>
      </c>
      <c r="D1769" s="534"/>
      <c r="E1769" s="530" t="s">
        <v>13</v>
      </c>
      <c r="F1769" s="530" t="s">
        <v>44</v>
      </c>
      <c r="G1769" s="538" t="s">
        <v>45</v>
      </c>
      <c r="H1769" s="108" t="s">
        <v>46</v>
      </c>
      <c r="I1769" s="108"/>
      <c r="J1769" s="108"/>
    </row>
    <row r="1770" spans="1:17" ht="15" x14ac:dyDescent="0.25">
      <c r="A1770" s="530"/>
      <c r="B1770" s="532"/>
      <c r="C1770" s="535"/>
      <c r="D1770" s="536"/>
      <c r="E1770" s="537"/>
      <c r="F1770" s="537"/>
      <c r="G1770" s="539"/>
      <c r="H1770" s="108" t="s">
        <v>47</v>
      </c>
      <c r="I1770" s="108" t="s">
        <v>48</v>
      </c>
      <c r="J1770" s="108" t="s">
        <v>49</v>
      </c>
    </row>
    <row r="1771" spans="1:17" ht="15" x14ac:dyDescent="0.25">
      <c r="A1771" s="109" t="s">
        <v>4398</v>
      </c>
      <c r="B1771" s="110">
        <v>10119</v>
      </c>
      <c r="C1771" s="540" t="str">
        <f>IF(A1771&amp;B1771="","",VLOOKUP(A1771&amp;B1771,INSUMOS!C:G,2,0))</f>
        <v>Ajudante de encanador</v>
      </c>
      <c r="D1771" s="541"/>
      <c r="E1771" s="111" t="str">
        <f>IF(A1771&amp;B1771="","",VLOOKUP(A1771&amp;B1771,INSUMOS!C:G,3,0))</f>
        <v>h</v>
      </c>
      <c r="F1771" s="112">
        <v>0.2</v>
      </c>
      <c r="G1771" s="113">
        <f>IF(A1771&amp;B1771="","",VLOOKUP(A1771&amp;B1771,INSUMOS!C:G,4,0))</f>
        <v>10.985028</v>
      </c>
      <c r="H1771" s="114">
        <f>IF(K1771="MO",TRUNC(F1771*G1771,2),"")</f>
        <v>2.19</v>
      </c>
      <c r="I1771" s="114" t="str">
        <f>IF(K1771="MT",TRUNC(F1771*G1771,2),"")</f>
        <v/>
      </c>
      <c r="J1771" s="115" t="str">
        <f>IF(K1771="EQ",TRUNC(F1771*G1771,2),"")</f>
        <v/>
      </c>
      <c r="K1771" s="102" t="str">
        <f>IF(A1771&amp;B1771="","",VLOOKUP(A1771&amp;B1771,INSUMOS!C:G,5,0))</f>
        <v>MO</v>
      </c>
    </row>
    <row r="1772" spans="1:17" ht="15" x14ac:dyDescent="0.25">
      <c r="A1772" s="109" t="s">
        <v>4398</v>
      </c>
      <c r="B1772" s="116">
        <v>10118</v>
      </c>
      <c r="C1772" s="518" t="str">
        <f>IF(A1772&amp;B1772="","",VLOOKUP(A1772&amp;B1772,INSUMOS!C:G,2,0))</f>
        <v xml:space="preserve">Encanador </v>
      </c>
      <c r="D1772" s="519"/>
      <c r="E1772" s="117" t="str">
        <f>IF(A1772&amp;B1772="","",VLOOKUP(A1772&amp;B1772,INSUMOS!C:G,3,0))</f>
        <v>h</v>
      </c>
      <c r="F1772" s="118">
        <v>0.2</v>
      </c>
      <c r="G1772" s="113">
        <f>IF(A1772&amp;B1772="","",VLOOKUP(A1772&amp;B1772,INSUMOS!C:G,4,0))</f>
        <v>16.906036</v>
      </c>
      <c r="H1772" s="119">
        <f t="shared" ref="H1772:H1783" si="318">IF(K1772="MO",TRUNC(F1772*G1772,2),"")</f>
        <v>3.38</v>
      </c>
      <c r="I1772" s="119" t="str">
        <f t="shared" ref="I1772:I1783" si="319">IF(K1772="MT",TRUNC(F1772*G1772,2),"")</f>
        <v/>
      </c>
      <c r="J1772" s="115" t="str">
        <f t="shared" ref="J1772:J1783" si="320">IF(K1772="EQ",TRUNC(F1772*G1772,2),"")</f>
        <v/>
      </c>
      <c r="K1772" s="102" t="str">
        <f>IF(A1772&amp;B1772="","",VLOOKUP(A1772&amp;B1772,INSUMOS!C:G,5,0))</f>
        <v>MO</v>
      </c>
    </row>
    <row r="1773" spans="1:17" ht="15" x14ac:dyDescent="0.25">
      <c r="A1773" s="109" t="s">
        <v>4398</v>
      </c>
      <c r="B1773" s="116">
        <v>69513</v>
      </c>
      <c r="C1773" s="518" t="str">
        <f>IF(A1773&amp;B1773="","",VLOOKUP(A1773&amp;B1773,INSUMOS!C:G,2,0))</f>
        <v>Adesivo para tubos PVC</v>
      </c>
      <c r="D1773" s="519"/>
      <c r="E1773" s="117" t="str">
        <f>IF(A1773&amp;B1773="","",VLOOKUP(A1773&amp;B1773,INSUMOS!C:G,3,0))</f>
        <v>kg</v>
      </c>
      <c r="F1773" s="118">
        <v>1.0999999999999999E-2</v>
      </c>
      <c r="G1773" s="113">
        <f>IF(A1773&amp;B1773="","",VLOOKUP(A1773&amp;B1773,INSUMOS!C:G,4,0))</f>
        <v>42.49</v>
      </c>
      <c r="H1773" s="119" t="str">
        <f t="shared" si="318"/>
        <v/>
      </c>
      <c r="I1773" s="119">
        <f t="shared" si="319"/>
        <v>0.46</v>
      </c>
      <c r="J1773" s="115" t="str">
        <f t="shared" si="320"/>
        <v/>
      </c>
      <c r="K1773" s="102" t="str">
        <f>IF(A1773&amp;B1773="","",VLOOKUP(A1773&amp;B1773,INSUMOS!C:G,5,0))</f>
        <v>MT</v>
      </c>
    </row>
    <row r="1774" spans="1:17" ht="15" x14ac:dyDescent="0.25">
      <c r="A1774" s="109" t="s">
        <v>4398</v>
      </c>
      <c r="B1774" s="116">
        <v>38040</v>
      </c>
      <c r="C1774" s="518" t="str">
        <f>IF(A1774&amp;B1774="","",VLOOKUP(A1774&amp;B1774,INSUMOS!C:G,2,0))</f>
        <v>Lixa d´água, ref. Norton n° 80, Aquaflex ou equivalente</v>
      </c>
      <c r="D1774" s="519"/>
      <c r="E1774" s="117" t="str">
        <f>IF(A1774&amp;B1774="","",VLOOKUP(A1774&amp;B1774,INSUMOS!C:G,3,0))</f>
        <v>un</v>
      </c>
      <c r="F1774" s="118">
        <v>7.4999999999999997E-2</v>
      </c>
      <c r="G1774" s="113">
        <f>IF(A1774&amp;B1774="","",VLOOKUP(A1774&amp;B1774,INSUMOS!C:G,4,0))</f>
        <v>1.04</v>
      </c>
      <c r="H1774" s="119" t="str">
        <f t="shared" si="318"/>
        <v/>
      </c>
      <c r="I1774" s="119">
        <f t="shared" si="319"/>
        <v>7.0000000000000007E-2</v>
      </c>
      <c r="J1774" s="115" t="str">
        <f t="shared" si="320"/>
        <v/>
      </c>
      <c r="K1774" s="102" t="str">
        <f>IF(A1774&amp;B1774="","",VLOOKUP(A1774&amp;B1774,INSUMOS!C:G,5,0))</f>
        <v>MT</v>
      </c>
    </row>
    <row r="1775" spans="1:17" ht="15" x14ac:dyDescent="0.25">
      <c r="A1775" s="109" t="s">
        <v>4810</v>
      </c>
      <c r="B1775" s="116">
        <v>1923</v>
      </c>
      <c r="C1775" s="518" t="str">
        <f>IF(A1775&amp;B1775="","",VLOOKUP(A1775&amp;B1775,INSUMOS!C:G,2,0))</f>
        <v>Curva de pvc 45 graus, soldável, 32mm, para água fria predial (NBR 5648)</v>
      </c>
      <c r="D1775" s="519"/>
      <c r="E1775" s="117" t="str">
        <f>IF(A1775&amp;B1775="","",VLOOKUP(A1775&amp;B1775,INSUMOS!C:G,3,0))</f>
        <v>un</v>
      </c>
      <c r="F1775" s="118">
        <v>1</v>
      </c>
      <c r="G1775" s="113">
        <f>IF(A1775&amp;B1775="","",VLOOKUP(A1775&amp;B1775,INSUMOS!C:G,4,0))</f>
        <v>2.44</v>
      </c>
      <c r="H1775" s="119" t="str">
        <f t="shared" si="318"/>
        <v/>
      </c>
      <c r="I1775" s="119">
        <f t="shared" si="319"/>
        <v>2.44</v>
      </c>
      <c r="J1775" s="115" t="str">
        <f t="shared" si="320"/>
        <v/>
      </c>
      <c r="K1775" s="102" t="str">
        <f>IF(A1775&amp;B1775="","",VLOOKUP(A1775&amp;B1775,INSUMOS!C:G,5,0))</f>
        <v>MT</v>
      </c>
    </row>
    <row r="1776" spans="1:17" ht="15" x14ac:dyDescent="0.25">
      <c r="A1776" s="109" t="s">
        <v>4398</v>
      </c>
      <c r="B1776" s="116">
        <v>69514</v>
      </c>
      <c r="C1776" s="518" t="str">
        <f>IF(A1776&amp;B1776="","",VLOOKUP(A1776&amp;B1776,INSUMOS!C:G,2,0))</f>
        <v>Solução limpadora para PVC</v>
      </c>
      <c r="D1776" s="519"/>
      <c r="E1776" s="117" t="str">
        <f>IF(A1776&amp;B1776="","",VLOOKUP(A1776&amp;B1776,INSUMOS!C:G,3,0))</f>
        <v>l</v>
      </c>
      <c r="F1776" s="118">
        <v>1.2E-2</v>
      </c>
      <c r="G1776" s="113">
        <f>IF(A1776&amp;B1776="","",VLOOKUP(A1776&amp;B1776,INSUMOS!C:G,4,0))</f>
        <v>29.11</v>
      </c>
      <c r="H1776" s="119" t="str">
        <f t="shared" si="318"/>
        <v/>
      </c>
      <c r="I1776" s="119">
        <f t="shared" si="319"/>
        <v>0.34</v>
      </c>
      <c r="J1776" s="115" t="str">
        <f t="shared" si="320"/>
        <v/>
      </c>
      <c r="K1776" s="102" t="str">
        <f>IF(A1776&amp;B1776="","",VLOOKUP(A1776&amp;B1776,INSUMOS!C:G,5,0))</f>
        <v>MT</v>
      </c>
    </row>
    <row r="1777" spans="1:17" ht="15" x14ac:dyDescent="0.25">
      <c r="A1777" s="109"/>
      <c r="B1777" s="116"/>
      <c r="C1777" s="518" t="str">
        <f>IF(A1777&amp;B1777="","",VLOOKUP(A1777&amp;B1777,INSUMOS!C:G,2,0))</f>
        <v/>
      </c>
      <c r="D1777" s="519"/>
      <c r="E1777" s="117" t="str">
        <f>IF(A1777&amp;B1777="","",VLOOKUP(A1777&amp;B1777,INSUMOS!C:G,3,0))</f>
        <v/>
      </c>
      <c r="F1777" s="118"/>
      <c r="G1777" s="113" t="str">
        <f>IF(A1777&amp;B1777="","",VLOOKUP(A1777&amp;B1777,INSUMOS!C:G,4,0))</f>
        <v/>
      </c>
      <c r="H1777" s="119" t="str">
        <f t="shared" si="318"/>
        <v/>
      </c>
      <c r="I1777" s="119" t="str">
        <f t="shared" si="319"/>
        <v/>
      </c>
      <c r="J1777" s="115" t="str">
        <f t="shared" si="320"/>
        <v/>
      </c>
      <c r="K1777" s="102" t="str">
        <f>IF(A1777&amp;B1777="","",VLOOKUP(A1777&amp;B1777,INSUMOS!C:G,5,0))</f>
        <v/>
      </c>
    </row>
    <row r="1778" spans="1:17" ht="15" x14ac:dyDescent="0.25">
      <c r="A1778" s="109"/>
      <c r="B1778" s="116"/>
      <c r="C1778" s="518" t="str">
        <f>IF(A1778&amp;B1778="","",VLOOKUP(A1778&amp;B1778,INSUMOS!C:G,2,0))</f>
        <v/>
      </c>
      <c r="D1778" s="519"/>
      <c r="E1778" s="117" t="str">
        <f>IF(A1778&amp;B1778="","",VLOOKUP(A1778&amp;B1778,INSUMOS!C:G,3,0))</f>
        <v/>
      </c>
      <c r="F1778" s="118"/>
      <c r="G1778" s="113" t="str">
        <f>IF(A1778&amp;B1778="","",VLOOKUP(A1778&amp;B1778,INSUMOS!C:G,4,0))</f>
        <v/>
      </c>
      <c r="H1778" s="119" t="str">
        <f t="shared" si="318"/>
        <v/>
      </c>
      <c r="I1778" s="119" t="str">
        <f t="shared" si="319"/>
        <v/>
      </c>
      <c r="J1778" s="115" t="str">
        <f t="shared" si="320"/>
        <v/>
      </c>
      <c r="K1778" s="102" t="str">
        <f>IF(A1778&amp;B1778="","",VLOOKUP(A1778&amp;B1778,INSUMOS!C:G,5,0))</f>
        <v/>
      </c>
    </row>
    <row r="1779" spans="1:17" ht="15" x14ac:dyDescent="0.25">
      <c r="A1779" s="109"/>
      <c r="B1779" s="116"/>
      <c r="C1779" s="518" t="str">
        <f>IF(A1779&amp;B1779="","",VLOOKUP(A1779&amp;B1779,INSUMOS!C:G,2,0))</f>
        <v/>
      </c>
      <c r="D1779" s="519"/>
      <c r="E1779" s="117" t="str">
        <f>IF(A1779&amp;B1779="","",VLOOKUP(A1779&amp;B1779,INSUMOS!C:G,3,0))</f>
        <v/>
      </c>
      <c r="F1779" s="118"/>
      <c r="G1779" s="113" t="str">
        <f>IF(A1779&amp;B1779="","",VLOOKUP(A1779&amp;B1779,INSUMOS!C:G,4,0))</f>
        <v/>
      </c>
      <c r="H1779" s="119" t="str">
        <f t="shared" si="318"/>
        <v/>
      </c>
      <c r="I1779" s="119" t="str">
        <f t="shared" si="319"/>
        <v/>
      </c>
      <c r="J1779" s="115" t="str">
        <f t="shared" si="320"/>
        <v/>
      </c>
      <c r="K1779" s="102" t="str">
        <f>IF(A1779&amp;B1779="","",VLOOKUP(A1779&amp;B1779,INSUMOS!C:G,5,0))</f>
        <v/>
      </c>
    </row>
    <row r="1780" spans="1:17" ht="15" x14ac:dyDescent="0.25">
      <c r="A1780" s="109"/>
      <c r="B1780" s="116"/>
      <c r="C1780" s="518" t="str">
        <f>IF(A1780&amp;B1780="","",VLOOKUP(A1780&amp;B1780,INSUMOS!C:G,2,0))</f>
        <v/>
      </c>
      <c r="D1780" s="519"/>
      <c r="E1780" s="117" t="str">
        <f>IF(A1780&amp;B1780="","",VLOOKUP(A1780&amp;B1780,INSUMOS!C:G,3,0))</f>
        <v/>
      </c>
      <c r="F1780" s="118"/>
      <c r="G1780" s="113" t="str">
        <f>IF(A1780&amp;B1780="","",VLOOKUP(A1780&amp;B1780,INSUMOS!C:G,4,0))</f>
        <v/>
      </c>
      <c r="H1780" s="119" t="str">
        <f t="shared" si="318"/>
        <v/>
      </c>
      <c r="I1780" s="119" t="str">
        <f t="shared" si="319"/>
        <v/>
      </c>
      <c r="J1780" s="115" t="str">
        <f t="shared" si="320"/>
        <v/>
      </c>
      <c r="K1780" s="102" t="str">
        <f>IF(A1780&amp;B1780="","",VLOOKUP(A1780&amp;B1780,INSUMOS!C:G,5,0))</f>
        <v/>
      </c>
    </row>
    <row r="1781" spans="1:17" ht="15" x14ac:dyDescent="0.25">
      <c r="A1781" s="120"/>
      <c r="B1781" s="121"/>
      <c r="C1781" s="518" t="str">
        <f>IF(A1781&amp;B1781="","",VLOOKUP(A1781&amp;B1781,INSUMOS!C:G,2,0))</f>
        <v/>
      </c>
      <c r="D1781" s="519"/>
      <c r="E1781" s="117" t="str">
        <f>IF(A1781&amp;B1781="","",VLOOKUP(A1781&amp;B1781,INSUMOS!C:G,3,0))</f>
        <v/>
      </c>
      <c r="F1781" s="118"/>
      <c r="G1781" s="122" t="str">
        <f>IF(A1781&amp;B1781="","",VLOOKUP(A1781&amp;B1781,INSUMOS!C:G,4,0))</f>
        <v/>
      </c>
      <c r="H1781" s="119" t="str">
        <f t="shared" si="318"/>
        <v/>
      </c>
      <c r="I1781" s="119" t="str">
        <f t="shared" si="319"/>
        <v/>
      </c>
      <c r="J1781" s="115" t="str">
        <f t="shared" si="320"/>
        <v/>
      </c>
      <c r="K1781" s="102" t="str">
        <f>IF(A1781&amp;B1781="","",VLOOKUP(A1781&amp;B1781,INSUMOS!C:G,5,0))</f>
        <v/>
      </c>
    </row>
    <row r="1782" spans="1:17" ht="15" x14ac:dyDescent="0.25">
      <c r="A1782" s="120"/>
      <c r="B1782" s="121"/>
      <c r="C1782" s="518" t="str">
        <f>IF(A1782&amp;B1782="","",VLOOKUP(A1782&amp;B1782,INSUMOS!C:G,2,0))</f>
        <v/>
      </c>
      <c r="D1782" s="519"/>
      <c r="E1782" s="117" t="str">
        <f>IF(A1782&amp;B1782="","",VLOOKUP(A1782&amp;B1782,INSUMOS!C:G,3,0))</f>
        <v/>
      </c>
      <c r="F1782" s="118"/>
      <c r="G1782" s="122" t="str">
        <f>IF(A1782&amp;B1782="","",VLOOKUP(A1782&amp;B1782,INSUMOS!C:G,4,0))</f>
        <v/>
      </c>
      <c r="H1782" s="119" t="str">
        <f t="shared" si="318"/>
        <v/>
      </c>
      <c r="I1782" s="119" t="str">
        <f t="shared" si="319"/>
        <v/>
      </c>
      <c r="J1782" s="115" t="str">
        <f t="shared" si="320"/>
        <v/>
      </c>
      <c r="K1782" s="102" t="str">
        <f>IF(A1782&amp;B1782="","",VLOOKUP(A1782&amp;B1782,INSUMOS!C:G,5,0))</f>
        <v/>
      </c>
    </row>
    <row r="1783" spans="1:17" ht="15" x14ac:dyDescent="0.25">
      <c r="A1783" s="120"/>
      <c r="B1783" s="121"/>
      <c r="C1783" s="518" t="str">
        <f>IF(A1783&amp;B1783="","",VLOOKUP(A1783&amp;B1783,INSUMOS!C:G,2,0))</f>
        <v/>
      </c>
      <c r="D1783" s="519"/>
      <c r="E1783" s="117" t="str">
        <f>IF(A1783&amp;B1783="","",VLOOKUP(A1783&amp;B1783,INSUMOS!C:G,3,0))</f>
        <v/>
      </c>
      <c r="F1783" s="118"/>
      <c r="G1783" s="122" t="str">
        <f>IF(A1783&amp;B1783="","",VLOOKUP(A1783&amp;B1783,INSUMOS!C:G,4,0))</f>
        <v/>
      </c>
      <c r="H1783" s="119" t="str">
        <f t="shared" si="318"/>
        <v/>
      </c>
      <c r="I1783" s="119" t="str">
        <f t="shared" si="319"/>
        <v/>
      </c>
      <c r="J1783" s="115" t="str">
        <f t="shared" si="320"/>
        <v/>
      </c>
      <c r="K1783" s="102" t="str">
        <f>IF(A1783&amp;B1783="","",VLOOKUP(A1783&amp;B1783,INSUMOS!C:G,5,0))</f>
        <v/>
      </c>
    </row>
    <row r="1784" spans="1:17" ht="15" x14ac:dyDescent="0.25">
      <c r="A1784" s="123" t="s">
        <v>4399</v>
      </c>
      <c r="B1784" s="542" t="s">
        <v>5185</v>
      </c>
      <c r="C1784" s="542"/>
      <c r="D1784" s="542"/>
      <c r="E1784" s="542"/>
      <c r="F1784" s="543"/>
      <c r="G1784" s="124" t="s">
        <v>50</v>
      </c>
      <c r="H1784" s="125">
        <f>SUM(H1771:H1783)</f>
        <v>5.57</v>
      </c>
      <c r="I1784" s="125">
        <f>SUM(I1771:I1783)</f>
        <v>3.3099999999999996</v>
      </c>
      <c r="J1784" s="126">
        <f>SUM(J1771:J1783)</f>
        <v>0</v>
      </c>
    </row>
    <row r="1785" spans="1:17" ht="15" x14ac:dyDescent="0.25">
      <c r="A1785" s="127" t="s">
        <v>4400</v>
      </c>
      <c r="B1785" s="128"/>
      <c r="C1785" s="128"/>
      <c r="D1785" s="127" t="s">
        <v>51</v>
      </c>
      <c r="E1785" s="128"/>
      <c r="F1785" s="129"/>
      <c r="G1785" s="130" t="s">
        <v>55</v>
      </c>
      <c r="H1785" s="131" t="s">
        <v>52</v>
      </c>
      <c r="I1785" s="132"/>
      <c r="J1785" s="125">
        <f>SUM(H1784:J1784)</f>
        <v>8.879999999999999</v>
      </c>
    </row>
    <row r="1786" spans="1:17" ht="15" x14ac:dyDescent="0.25">
      <c r="A1786" s="313" t="str">
        <f>$I$3</f>
        <v>Carlos Wieck</v>
      </c>
      <c r="B1786" s="133"/>
      <c r="C1786" s="133"/>
      <c r="D1786" s="134"/>
      <c r="E1786" s="133"/>
      <c r="F1786" s="135"/>
      <c r="G1786" s="522">
        <f>$J$5</f>
        <v>43040</v>
      </c>
      <c r="H1786" s="136" t="s">
        <v>53</v>
      </c>
      <c r="I1786" s="137"/>
      <c r="J1786" s="125">
        <f>TRUNC(I1786*J1785,2)</f>
        <v>0</v>
      </c>
    </row>
    <row r="1787" spans="1:17" ht="15" x14ac:dyDescent="0.25">
      <c r="A1787" s="314"/>
      <c r="B1787" s="139"/>
      <c r="C1787" s="139"/>
      <c r="D1787" s="138"/>
      <c r="E1787" s="139"/>
      <c r="F1787" s="140"/>
      <c r="G1787" s="523"/>
      <c r="H1787" s="141" t="s">
        <v>54</v>
      </c>
      <c r="I1787" s="142"/>
      <c r="J1787" s="143">
        <f>J1786+J1785</f>
        <v>8.879999999999999</v>
      </c>
      <c r="L1787" s="102" t="str">
        <f>A1768</f>
        <v>COMPOSIÇÃO</v>
      </c>
      <c r="M1787" s="144" t="str">
        <f>B1768</f>
        <v>FF-073</v>
      </c>
      <c r="N1787" s="102" t="str">
        <f>L1787&amp;M1787</f>
        <v>COMPOSIÇÃOFF-073</v>
      </c>
      <c r="O1787" s="103" t="str">
        <f>D1767</f>
        <v>Cotovelo 45º, PVC, Soldável, DN 32mm, instalado em ramal ou sub-ramal de água fornecimento e instalação.</v>
      </c>
      <c r="P1787" s="145" t="str">
        <f>J1768</f>
        <v>un</v>
      </c>
      <c r="Q1787" s="145">
        <f>J1787</f>
        <v>8.879999999999999</v>
      </c>
    </row>
    <row r="1788" spans="1:17" ht="15" customHeight="1" x14ac:dyDescent="0.25">
      <c r="A1788" s="524" t="s">
        <v>40</v>
      </c>
      <c r="B1788" s="525"/>
      <c r="C1788" s="104" t="s">
        <v>41</v>
      </c>
      <c r="D1788" s="526" t="str">
        <f>IF(B1789="","",VLOOKUP(B1789,SERVIÇOS!B:E,3,0))</f>
        <v>Cotovelo 45º, PVC, Soldável, DN 50mm, instalado em ramal ou sub-ramal de água fornecimento e instalação.</v>
      </c>
      <c r="E1788" s="526"/>
      <c r="F1788" s="526"/>
      <c r="G1788" s="526"/>
      <c r="H1788" s="526"/>
      <c r="I1788" s="527"/>
      <c r="J1788" s="105" t="s">
        <v>42</v>
      </c>
    </row>
    <row r="1789" spans="1:17" ht="15" x14ac:dyDescent="0.25">
      <c r="A1789" s="230" t="s">
        <v>4715</v>
      </c>
      <c r="B1789" s="230" t="s">
        <v>5188</v>
      </c>
      <c r="C1789" s="106"/>
      <c r="D1789" s="528"/>
      <c r="E1789" s="528"/>
      <c r="F1789" s="528"/>
      <c r="G1789" s="528"/>
      <c r="H1789" s="528"/>
      <c r="I1789" s="529"/>
      <c r="J1789" s="107" t="str">
        <f>IF(B1789="","",VLOOKUP(B1789,SERVIÇOS!B:E,4,0))</f>
        <v>un</v>
      </c>
    </row>
    <row r="1790" spans="1:17" ht="15" x14ac:dyDescent="0.25">
      <c r="A1790" s="530" t="s">
        <v>4397</v>
      </c>
      <c r="B1790" s="531" t="s">
        <v>11</v>
      </c>
      <c r="C1790" s="533" t="s">
        <v>43</v>
      </c>
      <c r="D1790" s="534"/>
      <c r="E1790" s="530" t="s">
        <v>13</v>
      </c>
      <c r="F1790" s="530" t="s">
        <v>44</v>
      </c>
      <c r="G1790" s="538" t="s">
        <v>45</v>
      </c>
      <c r="H1790" s="108" t="s">
        <v>46</v>
      </c>
      <c r="I1790" s="108"/>
      <c r="J1790" s="108"/>
    </row>
    <row r="1791" spans="1:17" ht="15" x14ac:dyDescent="0.25">
      <c r="A1791" s="530"/>
      <c r="B1791" s="532"/>
      <c r="C1791" s="535"/>
      <c r="D1791" s="536"/>
      <c r="E1791" s="537"/>
      <c r="F1791" s="537"/>
      <c r="G1791" s="539"/>
      <c r="H1791" s="108" t="s">
        <v>47</v>
      </c>
      <c r="I1791" s="108" t="s">
        <v>48</v>
      </c>
      <c r="J1791" s="108" t="s">
        <v>49</v>
      </c>
    </row>
    <row r="1792" spans="1:17" ht="15" x14ac:dyDescent="0.25">
      <c r="A1792" s="109" t="s">
        <v>4398</v>
      </c>
      <c r="B1792" s="110">
        <v>10119</v>
      </c>
      <c r="C1792" s="540" t="str">
        <f>IF(A1792&amp;B1792="","",VLOOKUP(A1792&amp;B1792,INSUMOS!C:G,2,0))</f>
        <v>Ajudante de encanador</v>
      </c>
      <c r="D1792" s="541"/>
      <c r="E1792" s="111" t="str">
        <f>IF(A1792&amp;B1792="","",VLOOKUP(A1792&amp;B1792,INSUMOS!C:G,3,0))</f>
        <v>h</v>
      </c>
      <c r="F1792" s="112">
        <v>0.2</v>
      </c>
      <c r="G1792" s="113">
        <f>IF(A1792&amp;B1792="","",VLOOKUP(A1792&amp;B1792,INSUMOS!C:G,4,0))</f>
        <v>10.985028</v>
      </c>
      <c r="H1792" s="114">
        <f>IF(K1792="MO",TRUNC(F1792*G1792,2),"")</f>
        <v>2.19</v>
      </c>
      <c r="I1792" s="114" t="str">
        <f>IF(K1792="MT",TRUNC(F1792*G1792,2),"")</f>
        <v/>
      </c>
      <c r="J1792" s="115" t="str">
        <f>IF(K1792="EQ",TRUNC(F1792*G1792,2),"")</f>
        <v/>
      </c>
      <c r="K1792" s="102" t="str">
        <f>IF(A1792&amp;B1792="","",VLOOKUP(A1792&amp;B1792,INSUMOS!C:G,5,0))</f>
        <v>MO</v>
      </c>
    </row>
    <row r="1793" spans="1:17" ht="15" x14ac:dyDescent="0.25">
      <c r="A1793" s="109" t="s">
        <v>4398</v>
      </c>
      <c r="B1793" s="116">
        <v>10118</v>
      </c>
      <c r="C1793" s="518" t="str">
        <f>IF(A1793&amp;B1793="","",VLOOKUP(A1793&amp;B1793,INSUMOS!C:G,2,0))</f>
        <v xml:space="preserve">Encanador </v>
      </c>
      <c r="D1793" s="519"/>
      <c r="E1793" s="117" t="str">
        <f>IF(A1793&amp;B1793="","",VLOOKUP(A1793&amp;B1793,INSUMOS!C:G,3,0))</f>
        <v>h</v>
      </c>
      <c r="F1793" s="118">
        <v>0.2</v>
      </c>
      <c r="G1793" s="113">
        <f>IF(A1793&amp;B1793="","",VLOOKUP(A1793&amp;B1793,INSUMOS!C:G,4,0))</f>
        <v>16.906036</v>
      </c>
      <c r="H1793" s="119">
        <f t="shared" ref="H1793:H1804" si="321">IF(K1793="MO",TRUNC(F1793*G1793,2),"")</f>
        <v>3.38</v>
      </c>
      <c r="I1793" s="119" t="str">
        <f t="shared" ref="I1793:I1804" si="322">IF(K1793="MT",TRUNC(F1793*G1793,2),"")</f>
        <v/>
      </c>
      <c r="J1793" s="115" t="str">
        <f t="shared" ref="J1793:J1804" si="323">IF(K1793="EQ",TRUNC(F1793*G1793,2),"")</f>
        <v/>
      </c>
      <c r="K1793" s="102" t="str">
        <f>IF(A1793&amp;B1793="","",VLOOKUP(A1793&amp;B1793,INSUMOS!C:G,5,0))</f>
        <v>MO</v>
      </c>
    </row>
    <row r="1794" spans="1:17" ht="15" x14ac:dyDescent="0.25">
      <c r="A1794" s="109" t="s">
        <v>4398</v>
      </c>
      <c r="B1794" s="116">
        <v>69513</v>
      </c>
      <c r="C1794" s="518" t="str">
        <f>IF(A1794&amp;B1794="","",VLOOKUP(A1794&amp;B1794,INSUMOS!C:G,2,0))</f>
        <v>Adesivo para tubos PVC</v>
      </c>
      <c r="D1794" s="519"/>
      <c r="E1794" s="117" t="str">
        <f>IF(A1794&amp;B1794="","",VLOOKUP(A1794&amp;B1794,INSUMOS!C:G,3,0))</f>
        <v>kg</v>
      </c>
      <c r="F1794" s="118">
        <v>1.0999999999999999E-2</v>
      </c>
      <c r="G1794" s="113">
        <f>IF(A1794&amp;B1794="","",VLOOKUP(A1794&amp;B1794,INSUMOS!C:G,4,0))</f>
        <v>42.49</v>
      </c>
      <c r="H1794" s="119" t="str">
        <f t="shared" si="321"/>
        <v/>
      </c>
      <c r="I1794" s="119">
        <f t="shared" si="322"/>
        <v>0.46</v>
      </c>
      <c r="J1794" s="115" t="str">
        <f t="shared" si="323"/>
        <v/>
      </c>
      <c r="K1794" s="102" t="str">
        <f>IF(A1794&amp;B1794="","",VLOOKUP(A1794&amp;B1794,INSUMOS!C:G,5,0))</f>
        <v>MT</v>
      </c>
    </row>
    <row r="1795" spans="1:17" ht="15" x14ac:dyDescent="0.25">
      <c r="A1795" s="109" t="s">
        <v>4398</v>
      </c>
      <c r="B1795" s="116">
        <v>38040</v>
      </c>
      <c r="C1795" s="518" t="str">
        <f>IF(A1795&amp;B1795="","",VLOOKUP(A1795&amp;B1795,INSUMOS!C:G,2,0))</f>
        <v>Lixa d´água, ref. Norton n° 80, Aquaflex ou equivalente</v>
      </c>
      <c r="D1795" s="519"/>
      <c r="E1795" s="117" t="str">
        <f>IF(A1795&amp;B1795="","",VLOOKUP(A1795&amp;B1795,INSUMOS!C:G,3,0))</f>
        <v>un</v>
      </c>
      <c r="F1795" s="118">
        <v>7.4999999999999997E-2</v>
      </c>
      <c r="G1795" s="113">
        <f>IF(A1795&amp;B1795="","",VLOOKUP(A1795&amp;B1795,INSUMOS!C:G,4,0))</f>
        <v>1.04</v>
      </c>
      <c r="H1795" s="119" t="str">
        <f t="shared" si="321"/>
        <v/>
      </c>
      <c r="I1795" s="119">
        <f t="shared" si="322"/>
        <v>7.0000000000000007E-2</v>
      </c>
      <c r="J1795" s="115" t="str">
        <f t="shared" si="323"/>
        <v/>
      </c>
      <c r="K1795" s="102" t="str">
        <f>IF(A1795&amp;B1795="","",VLOOKUP(A1795&amp;B1795,INSUMOS!C:G,5,0))</f>
        <v>MT</v>
      </c>
    </row>
    <row r="1796" spans="1:17" ht="15" x14ac:dyDescent="0.25">
      <c r="A1796" s="109" t="s">
        <v>4810</v>
      </c>
      <c r="B1796" s="116">
        <v>1930</v>
      </c>
      <c r="C1796" s="518" t="str">
        <f>IF(A1796&amp;B1796="","",VLOOKUP(A1796&amp;B1796,INSUMOS!C:G,2,0))</f>
        <v>Curva de pvc 45 graus, soldável, 50mm, para água fria predial (NBR 5648)</v>
      </c>
      <c r="D1796" s="519"/>
      <c r="E1796" s="117" t="str">
        <f>IF(A1796&amp;B1796="","",VLOOKUP(A1796&amp;B1796,INSUMOS!C:G,3,0))</f>
        <v>un</v>
      </c>
      <c r="F1796" s="118">
        <v>1</v>
      </c>
      <c r="G1796" s="113">
        <f>IF(A1796&amp;B1796="","",VLOOKUP(A1796&amp;B1796,INSUMOS!C:G,4,0))</f>
        <v>6.42</v>
      </c>
      <c r="H1796" s="119" t="str">
        <f t="shared" si="321"/>
        <v/>
      </c>
      <c r="I1796" s="119">
        <f t="shared" si="322"/>
        <v>6.42</v>
      </c>
      <c r="J1796" s="115" t="str">
        <f t="shared" si="323"/>
        <v/>
      </c>
      <c r="K1796" s="102" t="str">
        <f>IF(A1796&amp;B1796="","",VLOOKUP(A1796&amp;B1796,INSUMOS!C:G,5,0))</f>
        <v>MT</v>
      </c>
    </row>
    <row r="1797" spans="1:17" ht="15" x14ac:dyDescent="0.25">
      <c r="A1797" s="109" t="s">
        <v>4398</v>
      </c>
      <c r="B1797" s="116">
        <v>69514</v>
      </c>
      <c r="C1797" s="518" t="str">
        <f>IF(A1797&amp;B1797="","",VLOOKUP(A1797&amp;B1797,INSUMOS!C:G,2,0))</f>
        <v>Solução limpadora para PVC</v>
      </c>
      <c r="D1797" s="519"/>
      <c r="E1797" s="117" t="str">
        <f>IF(A1797&amp;B1797="","",VLOOKUP(A1797&amp;B1797,INSUMOS!C:G,3,0))</f>
        <v>l</v>
      </c>
      <c r="F1797" s="118">
        <v>1.2E-2</v>
      </c>
      <c r="G1797" s="113">
        <f>IF(A1797&amp;B1797="","",VLOOKUP(A1797&amp;B1797,INSUMOS!C:G,4,0))</f>
        <v>29.11</v>
      </c>
      <c r="H1797" s="119" t="str">
        <f t="shared" si="321"/>
        <v/>
      </c>
      <c r="I1797" s="119">
        <f t="shared" si="322"/>
        <v>0.34</v>
      </c>
      <c r="J1797" s="115" t="str">
        <f t="shared" si="323"/>
        <v/>
      </c>
      <c r="K1797" s="102" t="str">
        <f>IF(A1797&amp;B1797="","",VLOOKUP(A1797&amp;B1797,INSUMOS!C:G,5,0))</f>
        <v>MT</v>
      </c>
    </row>
    <row r="1798" spans="1:17" ht="15" x14ac:dyDescent="0.25">
      <c r="A1798" s="109"/>
      <c r="B1798" s="116"/>
      <c r="C1798" s="518" t="str">
        <f>IF(A1798&amp;B1798="","",VLOOKUP(A1798&amp;B1798,INSUMOS!C:G,2,0))</f>
        <v/>
      </c>
      <c r="D1798" s="519"/>
      <c r="E1798" s="117" t="str">
        <f>IF(A1798&amp;B1798="","",VLOOKUP(A1798&amp;B1798,INSUMOS!C:G,3,0))</f>
        <v/>
      </c>
      <c r="F1798" s="118"/>
      <c r="G1798" s="113" t="str">
        <f>IF(A1798&amp;B1798="","",VLOOKUP(A1798&amp;B1798,INSUMOS!C:G,4,0))</f>
        <v/>
      </c>
      <c r="H1798" s="119" t="str">
        <f t="shared" si="321"/>
        <v/>
      </c>
      <c r="I1798" s="119" t="str">
        <f t="shared" si="322"/>
        <v/>
      </c>
      <c r="J1798" s="115" t="str">
        <f t="shared" si="323"/>
        <v/>
      </c>
      <c r="K1798" s="102" t="str">
        <f>IF(A1798&amp;B1798="","",VLOOKUP(A1798&amp;B1798,INSUMOS!C:G,5,0))</f>
        <v/>
      </c>
    </row>
    <row r="1799" spans="1:17" ht="15" x14ac:dyDescent="0.25">
      <c r="A1799" s="109"/>
      <c r="B1799" s="116"/>
      <c r="C1799" s="518" t="str">
        <f>IF(A1799&amp;B1799="","",VLOOKUP(A1799&amp;B1799,INSUMOS!C:G,2,0))</f>
        <v/>
      </c>
      <c r="D1799" s="519"/>
      <c r="E1799" s="117" t="str">
        <f>IF(A1799&amp;B1799="","",VLOOKUP(A1799&amp;B1799,INSUMOS!C:G,3,0))</f>
        <v/>
      </c>
      <c r="F1799" s="118"/>
      <c r="G1799" s="113" t="str">
        <f>IF(A1799&amp;B1799="","",VLOOKUP(A1799&amp;B1799,INSUMOS!C:G,4,0))</f>
        <v/>
      </c>
      <c r="H1799" s="119" t="str">
        <f t="shared" si="321"/>
        <v/>
      </c>
      <c r="I1799" s="119" t="str">
        <f t="shared" si="322"/>
        <v/>
      </c>
      <c r="J1799" s="115" t="str">
        <f t="shared" si="323"/>
        <v/>
      </c>
      <c r="K1799" s="102" t="str">
        <f>IF(A1799&amp;B1799="","",VLOOKUP(A1799&amp;B1799,INSUMOS!C:G,5,0))</f>
        <v/>
      </c>
    </row>
    <row r="1800" spans="1:17" ht="15" x14ac:dyDescent="0.25">
      <c r="A1800" s="109"/>
      <c r="B1800" s="116"/>
      <c r="C1800" s="518" t="str">
        <f>IF(A1800&amp;B1800="","",VLOOKUP(A1800&amp;B1800,INSUMOS!C:G,2,0))</f>
        <v/>
      </c>
      <c r="D1800" s="519"/>
      <c r="E1800" s="117" t="str">
        <f>IF(A1800&amp;B1800="","",VLOOKUP(A1800&amp;B1800,INSUMOS!C:G,3,0))</f>
        <v/>
      </c>
      <c r="F1800" s="118"/>
      <c r="G1800" s="113" t="str">
        <f>IF(A1800&amp;B1800="","",VLOOKUP(A1800&amp;B1800,INSUMOS!C:G,4,0))</f>
        <v/>
      </c>
      <c r="H1800" s="119" t="str">
        <f t="shared" si="321"/>
        <v/>
      </c>
      <c r="I1800" s="119" t="str">
        <f t="shared" si="322"/>
        <v/>
      </c>
      <c r="J1800" s="115" t="str">
        <f t="shared" si="323"/>
        <v/>
      </c>
      <c r="K1800" s="102" t="str">
        <f>IF(A1800&amp;B1800="","",VLOOKUP(A1800&amp;B1800,INSUMOS!C:G,5,0))</f>
        <v/>
      </c>
    </row>
    <row r="1801" spans="1:17" ht="15" x14ac:dyDescent="0.25">
      <c r="A1801" s="109"/>
      <c r="B1801" s="116"/>
      <c r="C1801" s="518" t="str">
        <f>IF(A1801&amp;B1801="","",VLOOKUP(A1801&amp;B1801,INSUMOS!C:G,2,0))</f>
        <v/>
      </c>
      <c r="D1801" s="519"/>
      <c r="E1801" s="117" t="str">
        <f>IF(A1801&amp;B1801="","",VLOOKUP(A1801&amp;B1801,INSUMOS!C:G,3,0))</f>
        <v/>
      </c>
      <c r="F1801" s="118"/>
      <c r="G1801" s="113" t="str">
        <f>IF(A1801&amp;B1801="","",VLOOKUP(A1801&amp;B1801,INSUMOS!C:G,4,0))</f>
        <v/>
      </c>
      <c r="H1801" s="119" t="str">
        <f t="shared" si="321"/>
        <v/>
      </c>
      <c r="I1801" s="119" t="str">
        <f t="shared" si="322"/>
        <v/>
      </c>
      <c r="J1801" s="115" t="str">
        <f t="shared" si="323"/>
        <v/>
      </c>
      <c r="K1801" s="102" t="str">
        <f>IF(A1801&amp;B1801="","",VLOOKUP(A1801&amp;B1801,INSUMOS!C:G,5,0))</f>
        <v/>
      </c>
    </row>
    <row r="1802" spans="1:17" ht="15" x14ac:dyDescent="0.25">
      <c r="A1802" s="120"/>
      <c r="B1802" s="121"/>
      <c r="C1802" s="518" t="str">
        <f>IF(A1802&amp;B1802="","",VLOOKUP(A1802&amp;B1802,INSUMOS!C:G,2,0))</f>
        <v/>
      </c>
      <c r="D1802" s="519"/>
      <c r="E1802" s="117" t="str">
        <f>IF(A1802&amp;B1802="","",VLOOKUP(A1802&amp;B1802,INSUMOS!C:G,3,0))</f>
        <v/>
      </c>
      <c r="F1802" s="118"/>
      <c r="G1802" s="122" t="str">
        <f>IF(A1802&amp;B1802="","",VLOOKUP(A1802&amp;B1802,INSUMOS!C:G,4,0))</f>
        <v/>
      </c>
      <c r="H1802" s="119" t="str">
        <f t="shared" si="321"/>
        <v/>
      </c>
      <c r="I1802" s="119" t="str">
        <f t="shared" si="322"/>
        <v/>
      </c>
      <c r="J1802" s="115" t="str">
        <f t="shared" si="323"/>
        <v/>
      </c>
      <c r="K1802" s="102" t="str">
        <f>IF(A1802&amp;B1802="","",VLOOKUP(A1802&amp;B1802,INSUMOS!C:G,5,0))</f>
        <v/>
      </c>
    </row>
    <row r="1803" spans="1:17" ht="15" x14ac:dyDescent="0.25">
      <c r="A1803" s="120"/>
      <c r="B1803" s="121"/>
      <c r="C1803" s="518" t="str">
        <f>IF(A1803&amp;B1803="","",VLOOKUP(A1803&amp;B1803,INSUMOS!C:G,2,0))</f>
        <v/>
      </c>
      <c r="D1803" s="519"/>
      <c r="E1803" s="117" t="str">
        <f>IF(A1803&amp;B1803="","",VLOOKUP(A1803&amp;B1803,INSUMOS!C:G,3,0))</f>
        <v/>
      </c>
      <c r="F1803" s="118"/>
      <c r="G1803" s="122" t="str">
        <f>IF(A1803&amp;B1803="","",VLOOKUP(A1803&amp;B1803,INSUMOS!C:G,4,0))</f>
        <v/>
      </c>
      <c r="H1803" s="119" t="str">
        <f t="shared" si="321"/>
        <v/>
      </c>
      <c r="I1803" s="119" t="str">
        <f t="shared" si="322"/>
        <v/>
      </c>
      <c r="J1803" s="115" t="str">
        <f t="shared" si="323"/>
        <v/>
      </c>
      <c r="K1803" s="102" t="str">
        <f>IF(A1803&amp;B1803="","",VLOOKUP(A1803&amp;B1803,INSUMOS!C:G,5,0))</f>
        <v/>
      </c>
    </row>
    <row r="1804" spans="1:17" ht="15" x14ac:dyDescent="0.25">
      <c r="A1804" s="120"/>
      <c r="B1804" s="121"/>
      <c r="C1804" s="518" t="str">
        <f>IF(A1804&amp;B1804="","",VLOOKUP(A1804&amp;B1804,INSUMOS!C:G,2,0))</f>
        <v/>
      </c>
      <c r="D1804" s="519"/>
      <c r="E1804" s="117" t="str">
        <f>IF(A1804&amp;B1804="","",VLOOKUP(A1804&amp;B1804,INSUMOS!C:G,3,0))</f>
        <v/>
      </c>
      <c r="F1804" s="118"/>
      <c r="G1804" s="122" t="str">
        <f>IF(A1804&amp;B1804="","",VLOOKUP(A1804&amp;B1804,INSUMOS!C:G,4,0))</f>
        <v/>
      </c>
      <c r="H1804" s="119" t="str">
        <f t="shared" si="321"/>
        <v/>
      </c>
      <c r="I1804" s="119" t="str">
        <f t="shared" si="322"/>
        <v/>
      </c>
      <c r="J1804" s="115" t="str">
        <f t="shared" si="323"/>
        <v/>
      </c>
      <c r="K1804" s="102" t="str">
        <f>IF(A1804&amp;B1804="","",VLOOKUP(A1804&amp;B1804,INSUMOS!C:G,5,0))</f>
        <v/>
      </c>
    </row>
    <row r="1805" spans="1:17" ht="15" x14ac:dyDescent="0.25">
      <c r="A1805" s="123" t="s">
        <v>4399</v>
      </c>
      <c r="B1805" s="542" t="s">
        <v>5185</v>
      </c>
      <c r="C1805" s="542"/>
      <c r="D1805" s="542"/>
      <c r="E1805" s="542"/>
      <c r="F1805" s="543"/>
      <c r="G1805" s="124" t="s">
        <v>50</v>
      </c>
      <c r="H1805" s="125">
        <f>SUM(H1792:H1804)</f>
        <v>5.57</v>
      </c>
      <c r="I1805" s="125">
        <f>SUM(I1792:I1804)</f>
        <v>7.29</v>
      </c>
      <c r="J1805" s="126">
        <f>SUM(J1792:J1804)</f>
        <v>0</v>
      </c>
    </row>
    <row r="1806" spans="1:17" ht="15" x14ac:dyDescent="0.25">
      <c r="A1806" s="127" t="s">
        <v>4400</v>
      </c>
      <c r="B1806" s="128"/>
      <c r="C1806" s="128"/>
      <c r="D1806" s="127" t="s">
        <v>51</v>
      </c>
      <c r="E1806" s="128"/>
      <c r="F1806" s="129"/>
      <c r="G1806" s="130" t="s">
        <v>55</v>
      </c>
      <c r="H1806" s="131" t="s">
        <v>52</v>
      </c>
      <c r="I1806" s="132"/>
      <c r="J1806" s="125">
        <f>SUM(H1805:J1805)</f>
        <v>12.86</v>
      </c>
    </row>
    <row r="1807" spans="1:17" ht="15" x14ac:dyDescent="0.25">
      <c r="A1807" s="313" t="str">
        <f>$I$3</f>
        <v>Carlos Wieck</v>
      </c>
      <c r="B1807" s="133"/>
      <c r="C1807" s="133"/>
      <c r="D1807" s="134"/>
      <c r="E1807" s="133"/>
      <c r="F1807" s="135"/>
      <c r="G1807" s="522">
        <f>$J$5</f>
        <v>43040</v>
      </c>
      <c r="H1807" s="136" t="s">
        <v>53</v>
      </c>
      <c r="I1807" s="137"/>
      <c r="J1807" s="125">
        <f>TRUNC(I1807*J1806,2)</f>
        <v>0</v>
      </c>
    </row>
    <row r="1808" spans="1:17" ht="15" x14ac:dyDescent="0.25">
      <c r="A1808" s="314"/>
      <c r="B1808" s="139"/>
      <c r="C1808" s="139"/>
      <c r="D1808" s="138"/>
      <c r="E1808" s="139"/>
      <c r="F1808" s="140"/>
      <c r="G1808" s="523"/>
      <c r="H1808" s="141" t="s">
        <v>54</v>
      </c>
      <c r="I1808" s="142"/>
      <c r="J1808" s="143">
        <f>J1807+J1806</f>
        <v>12.86</v>
      </c>
      <c r="L1808" s="102" t="str">
        <f>A1789</f>
        <v>COMPOSIÇÃO</v>
      </c>
      <c r="M1808" s="144" t="str">
        <f>B1789</f>
        <v>FF-074</v>
      </c>
      <c r="N1808" s="102" t="str">
        <f>L1808&amp;M1808</f>
        <v>COMPOSIÇÃOFF-074</v>
      </c>
      <c r="O1808" s="103" t="str">
        <f>D1788</f>
        <v>Cotovelo 45º, PVC, Soldável, DN 50mm, instalado em ramal ou sub-ramal de água fornecimento e instalação.</v>
      </c>
      <c r="P1808" s="145" t="str">
        <f>J1789</f>
        <v>un</v>
      </c>
      <c r="Q1808" s="145">
        <f>J1808</f>
        <v>12.86</v>
      </c>
    </row>
    <row r="1809" spans="1:11" ht="15" customHeight="1" x14ac:dyDescent="0.25">
      <c r="A1809" s="524" t="s">
        <v>40</v>
      </c>
      <c r="B1809" s="525"/>
      <c r="C1809" s="104" t="s">
        <v>41</v>
      </c>
      <c r="D1809" s="526" t="str">
        <f>IF(B1810="","",VLOOKUP(B1810,SERVIÇOS!B:E,3,0))</f>
        <v>Cotovelo 45º, PVC, Soldável, DN 60mm, instalado em ramal ou sub-ramal de água fornecimento e instalação.</v>
      </c>
      <c r="E1809" s="526"/>
      <c r="F1809" s="526"/>
      <c r="G1809" s="526"/>
      <c r="H1809" s="526"/>
      <c r="I1809" s="527"/>
      <c r="J1809" s="105" t="s">
        <v>42</v>
      </c>
    </row>
    <row r="1810" spans="1:11" ht="15" x14ac:dyDescent="0.25">
      <c r="A1810" s="230" t="s">
        <v>4715</v>
      </c>
      <c r="B1810" s="230" t="s">
        <v>5189</v>
      </c>
      <c r="C1810" s="106"/>
      <c r="D1810" s="528"/>
      <c r="E1810" s="528"/>
      <c r="F1810" s="528"/>
      <c r="G1810" s="528"/>
      <c r="H1810" s="528"/>
      <c r="I1810" s="529"/>
      <c r="J1810" s="107" t="str">
        <f>IF(B1810="","",VLOOKUP(B1810,SERVIÇOS!B:E,4,0))</f>
        <v>un</v>
      </c>
    </row>
    <row r="1811" spans="1:11" ht="15" x14ac:dyDescent="0.25">
      <c r="A1811" s="530" t="s">
        <v>4397</v>
      </c>
      <c r="B1811" s="531" t="s">
        <v>11</v>
      </c>
      <c r="C1811" s="533" t="s">
        <v>43</v>
      </c>
      <c r="D1811" s="534"/>
      <c r="E1811" s="530" t="s">
        <v>13</v>
      </c>
      <c r="F1811" s="530" t="s">
        <v>44</v>
      </c>
      <c r="G1811" s="538" t="s">
        <v>45</v>
      </c>
      <c r="H1811" s="108" t="s">
        <v>46</v>
      </c>
      <c r="I1811" s="108"/>
      <c r="J1811" s="108"/>
    </row>
    <row r="1812" spans="1:11" ht="15" x14ac:dyDescent="0.25">
      <c r="A1812" s="530"/>
      <c r="B1812" s="532"/>
      <c r="C1812" s="535"/>
      <c r="D1812" s="536"/>
      <c r="E1812" s="537"/>
      <c r="F1812" s="537"/>
      <c r="G1812" s="539"/>
      <c r="H1812" s="108" t="s">
        <v>47</v>
      </c>
      <c r="I1812" s="108" t="s">
        <v>48</v>
      </c>
      <c r="J1812" s="108" t="s">
        <v>49</v>
      </c>
    </row>
    <row r="1813" spans="1:11" ht="15" x14ac:dyDescent="0.25">
      <c r="A1813" s="109" t="s">
        <v>4398</v>
      </c>
      <c r="B1813" s="110">
        <v>10119</v>
      </c>
      <c r="C1813" s="540" t="str">
        <f>IF(A1813&amp;B1813="","",VLOOKUP(A1813&amp;B1813,INSUMOS!C:G,2,0))</f>
        <v>Ajudante de encanador</v>
      </c>
      <c r="D1813" s="541"/>
      <c r="E1813" s="111" t="str">
        <f>IF(A1813&amp;B1813="","",VLOOKUP(A1813&amp;B1813,INSUMOS!C:G,3,0))</f>
        <v>h</v>
      </c>
      <c r="F1813" s="112">
        <v>0.2</v>
      </c>
      <c r="G1813" s="113">
        <f>IF(A1813&amp;B1813="","",VLOOKUP(A1813&amp;B1813,INSUMOS!C:G,4,0))</f>
        <v>10.985028</v>
      </c>
      <c r="H1813" s="114">
        <f>IF(K1813="MO",TRUNC(F1813*G1813,2),"")</f>
        <v>2.19</v>
      </c>
      <c r="I1813" s="114" t="str">
        <f>IF(K1813="MT",TRUNC(F1813*G1813,2),"")</f>
        <v/>
      </c>
      <c r="J1813" s="115" t="str">
        <f>IF(K1813="EQ",TRUNC(F1813*G1813,2),"")</f>
        <v/>
      </c>
      <c r="K1813" s="102" t="str">
        <f>IF(A1813&amp;B1813="","",VLOOKUP(A1813&amp;B1813,INSUMOS!C:G,5,0))</f>
        <v>MO</v>
      </c>
    </row>
    <row r="1814" spans="1:11" ht="15" x14ac:dyDescent="0.25">
      <c r="A1814" s="109" t="s">
        <v>4398</v>
      </c>
      <c r="B1814" s="116">
        <v>10118</v>
      </c>
      <c r="C1814" s="518" t="str">
        <f>IF(A1814&amp;B1814="","",VLOOKUP(A1814&amp;B1814,INSUMOS!C:G,2,0))</f>
        <v xml:space="preserve">Encanador </v>
      </c>
      <c r="D1814" s="519"/>
      <c r="E1814" s="117" t="str">
        <f>IF(A1814&amp;B1814="","",VLOOKUP(A1814&amp;B1814,INSUMOS!C:G,3,0))</f>
        <v>h</v>
      </c>
      <c r="F1814" s="118">
        <v>0.2</v>
      </c>
      <c r="G1814" s="113">
        <f>IF(A1814&amp;B1814="","",VLOOKUP(A1814&amp;B1814,INSUMOS!C:G,4,0))</f>
        <v>16.906036</v>
      </c>
      <c r="H1814" s="119">
        <f t="shared" ref="H1814:H1825" si="324">IF(K1814="MO",TRUNC(F1814*G1814,2),"")</f>
        <v>3.38</v>
      </c>
      <c r="I1814" s="119" t="str">
        <f t="shared" ref="I1814:I1825" si="325">IF(K1814="MT",TRUNC(F1814*G1814,2),"")</f>
        <v/>
      </c>
      <c r="J1814" s="115" t="str">
        <f t="shared" ref="J1814:J1825" si="326">IF(K1814="EQ",TRUNC(F1814*G1814,2),"")</f>
        <v/>
      </c>
      <c r="K1814" s="102" t="str">
        <f>IF(A1814&amp;B1814="","",VLOOKUP(A1814&amp;B1814,INSUMOS!C:G,5,0))</f>
        <v>MO</v>
      </c>
    </row>
    <row r="1815" spans="1:11" ht="15" x14ac:dyDescent="0.25">
      <c r="A1815" s="109" t="s">
        <v>4398</v>
      </c>
      <c r="B1815" s="116">
        <v>69513</v>
      </c>
      <c r="C1815" s="518" t="str">
        <f>IF(A1815&amp;B1815="","",VLOOKUP(A1815&amp;B1815,INSUMOS!C:G,2,0))</f>
        <v>Adesivo para tubos PVC</v>
      </c>
      <c r="D1815" s="519"/>
      <c r="E1815" s="117" t="str">
        <f>IF(A1815&amp;B1815="","",VLOOKUP(A1815&amp;B1815,INSUMOS!C:G,3,0))</f>
        <v>kg</v>
      </c>
      <c r="F1815" s="118">
        <v>1.0999999999999999E-2</v>
      </c>
      <c r="G1815" s="113">
        <f>IF(A1815&amp;B1815="","",VLOOKUP(A1815&amp;B1815,INSUMOS!C:G,4,0))</f>
        <v>42.49</v>
      </c>
      <c r="H1815" s="119" t="str">
        <f t="shared" si="324"/>
        <v/>
      </c>
      <c r="I1815" s="119">
        <f t="shared" si="325"/>
        <v>0.46</v>
      </c>
      <c r="J1815" s="115" t="str">
        <f t="shared" si="326"/>
        <v/>
      </c>
      <c r="K1815" s="102" t="str">
        <f>IF(A1815&amp;B1815="","",VLOOKUP(A1815&amp;B1815,INSUMOS!C:G,5,0))</f>
        <v>MT</v>
      </c>
    </row>
    <row r="1816" spans="1:11" ht="15" x14ac:dyDescent="0.25">
      <c r="A1816" s="109" t="s">
        <v>4398</v>
      </c>
      <c r="B1816" s="116">
        <v>38040</v>
      </c>
      <c r="C1816" s="518" t="str">
        <f>IF(A1816&amp;B1816="","",VLOOKUP(A1816&amp;B1816,INSUMOS!C:G,2,0))</f>
        <v>Lixa d´água, ref. Norton n° 80, Aquaflex ou equivalente</v>
      </c>
      <c r="D1816" s="519"/>
      <c r="E1816" s="117" t="str">
        <f>IF(A1816&amp;B1816="","",VLOOKUP(A1816&amp;B1816,INSUMOS!C:G,3,0))</f>
        <v>un</v>
      </c>
      <c r="F1816" s="118">
        <v>7.4999999999999997E-2</v>
      </c>
      <c r="G1816" s="113">
        <f>IF(A1816&amp;B1816="","",VLOOKUP(A1816&amp;B1816,INSUMOS!C:G,4,0))</f>
        <v>1.04</v>
      </c>
      <c r="H1816" s="119" t="str">
        <f t="shared" si="324"/>
        <v/>
      </c>
      <c r="I1816" s="119">
        <f t="shared" si="325"/>
        <v>7.0000000000000007E-2</v>
      </c>
      <c r="J1816" s="115" t="str">
        <f t="shared" si="326"/>
        <v/>
      </c>
      <c r="K1816" s="102" t="str">
        <f>IF(A1816&amp;B1816="","",VLOOKUP(A1816&amp;B1816,INSUMOS!C:G,5,0))</f>
        <v>MT</v>
      </c>
    </row>
    <row r="1817" spans="1:11" ht="15" x14ac:dyDescent="0.25">
      <c r="A1817" s="109" t="s">
        <v>4810</v>
      </c>
      <c r="B1817" s="116">
        <v>1924</v>
      </c>
      <c r="C1817" s="518" t="str">
        <f>IF(A1817&amp;B1817="","",VLOOKUP(A1817&amp;B1817,INSUMOS!C:G,2,0))</f>
        <v>Curva de pvc 45 graus, soldável, 60mm, para água fria predial (NBR 5648)</v>
      </c>
      <c r="D1817" s="519"/>
      <c r="E1817" s="117" t="str">
        <f>IF(A1817&amp;B1817="","",VLOOKUP(A1817&amp;B1817,INSUMOS!C:G,3,0))</f>
        <v>un</v>
      </c>
      <c r="F1817" s="118">
        <v>1</v>
      </c>
      <c r="G1817" s="113">
        <f>IF(A1817&amp;B1817="","",VLOOKUP(A1817&amp;B1817,INSUMOS!C:G,4,0))</f>
        <v>10.89</v>
      </c>
      <c r="H1817" s="119" t="str">
        <f t="shared" si="324"/>
        <v/>
      </c>
      <c r="I1817" s="119">
        <f t="shared" si="325"/>
        <v>10.89</v>
      </c>
      <c r="J1817" s="115" t="str">
        <f t="shared" si="326"/>
        <v/>
      </c>
      <c r="K1817" s="102" t="str">
        <f>IF(A1817&amp;B1817="","",VLOOKUP(A1817&amp;B1817,INSUMOS!C:G,5,0))</f>
        <v>MT</v>
      </c>
    </row>
    <row r="1818" spans="1:11" ht="15" x14ac:dyDescent="0.25">
      <c r="A1818" s="109" t="s">
        <v>4398</v>
      </c>
      <c r="B1818" s="116">
        <v>69514</v>
      </c>
      <c r="C1818" s="518" t="str">
        <f>IF(A1818&amp;B1818="","",VLOOKUP(A1818&amp;B1818,INSUMOS!C:G,2,0))</f>
        <v>Solução limpadora para PVC</v>
      </c>
      <c r="D1818" s="519"/>
      <c r="E1818" s="117" t="str">
        <f>IF(A1818&amp;B1818="","",VLOOKUP(A1818&amp;B1818,INSUMOS!C:G,3,0))</f>
        <v>l</v>
      </c>
      <c r="F1818" s="118">
        <v>1.2E-2</v>
      </c>
      <c r="G1818" s="113">
        <f>IF(A1818&amp;B1818="","",VLOOKUP(A1818&amp;B1818,INSUMOS!C:G,4,0))</f>
        <v>29.11</v>
      </c>
      <c r="H1818" s="119" t="str">
        <f t="shared" si="324"/>
        <v/>
      </c>
      <c r="I1818" s="119">
        <f t="shared" si="325"/>
        <v>0.34</v>
      </c>
      <c r="J1818" s="115" t="str">
        <f t="shared" si="326"/>
        <v/>
      </c>
      <c r="K1818" s="102" t="str">
        <f>IF(A1818&amp;B1818="","",VLOOKUP(A1818&amp;B1818,INSUMOS!C:G,5,0))</f>
        <v>MT</v>
      </c>
    </row>
    <row r="1819" spans="1:11" ht="15" x14ac:dyDescent="0.25">
      <c r="A1819" s="109"/>
      <c r="B1819" s="116"/>
      <c r="C1819" s="518" t="str">
        <f>IF(A1819&amp;B1819="","",VLOOKUP(A1819&amp;B1819,INSUMOS!C:G,2,0))</f>
        <v/>
      </c>
      <c r="D1819" s="519"/>
      <c r="E1819" s="117" t="str">
        <f>IF(A1819&amp;B1819="","",VLOOKUP(A1819&amp;B1819,INSUMOS!C:G,3,0))</f>
        <v/>
      </c>
      <c r="F1819" s="118"/>
      <c r="G1819" s="113" t="str">
        <f>IF(A1819&amp;B1819="","",VLOOKUP(A1819&amp;B1819,INSUMOS!C:G,4,0))</f>
        <v/>
      </c>
      <c r="H1819" s="119" t="str">
        <f t="shared" si="324"/>
        <v/>
      </c>
      <c r="I1819" s="119" t="str">
        <f t="shared" si="325"/>
        <v/>
      </c>
      <c r="J1819" s="115" t="str">
        <f t="shared" si="326"/>
        <v/>
      </c>
      <c r="K1819" s="102" t="str">
        <f>IF(A1819&amp;B1819="","",VLOOKUP(A1819&amp;B1819,INSUMOS!C:G,5,0))</f>
        <v/>
      </c>
    </row>
    <row r="1820" spans="1:11" ht="15" x14ac:dyDescent="0.25">
      <c r="A1820" s="109"/>
      <c r="B1820" s="116"/>
      <c r="C1820" s="518" t="str">
        <f>IF(A1820&amp;B1820="","",VLOOKUP(A1820&amp;B1820,INSUMOS!C:G,2,0))</f>
        <v/>
      </c>
      <c r="D1820" s="519"/>
      <c r="E1820" s="117" t="str">
        <f>IF(A1820&amp;B1820="","",VLOOKUP(A1820&amp;B1820,INSUMOS!C:G,3,0))</f>
        <v/>
      </c>
      <c r="F1820" s="118"/>
      <c r="G1820" s="113" t="str">
        <f>IF(A1820&amp;B1820="","",VLOOKUP(A1820&amp;B1820,INSUMOS!C:G,4,0))</f>
        <v/>
      </c>
      <c r="H1820" s="119" t="str">
        <f t="shared" si="324"/>
        <v/>
      </c>
      <c r="I1820" s="119" t="str">
        <f t="shared" si="325"/>
        <v/>
      </c>
      <c r="J1820" s="115" t="str">
        <f t="shared" si="326"/>
        <v/>
      </c>
      <c r="K1820" s="102" t="str">
        <f>IF(A1820&amp;B1820="","",VLOOKUP(A1820&amp;B1820,INSUMOS!C:G,5,0))</f>
        <v/>
      </c>
    </row>
    <row r="1821" spans="1:11" ht="15" x14ac:dyDescent="0.25">
      <c r="A1821" s="109"/>
      <c r="B1821" s="116"/>
      <c r="C1821" s="518" t="str">
        <f>IF(A1821&amp;B1821="","",VLOOKUP(A1821&amp;B1821,INSUMOS!C:G,2,0))</f>
        <v/>
      </c>
      <c r="D1821" s="519"/>
      <c r="E1821" s="117" t="str">
        <f>IF(A1821&amp;B1821="","",VLOOKUP(A1821&amp;B1821,INSUMOS!C:G,3,0))</f>
        <v/>
      </c>
      <c r="F1821" s="118"/>
      <c r="G1821" s="113" t="str">
        <f>IF(A1821&amp;B1821="","",VLOOKUP(A1821&amp;B1821,INSUMOS!C:G,4,0))</f>
        <v/>
      </c>
      <c r="H1821" s="119" t="str">
        <f t="shared" si="324"/>
        <v/>
      </c>
      <c r="I1821" s="119" t="str">
        <f t="shared" si="325"/>
        <v/>
      </c>
      <c r="J1821" s="115" t="str">
        <f t="shared" si="326"/>
        <v/>
      </c>
      <c r="K1821" s="102" t="str">
        <f>IF(A1821&amp;B1821="","",VLOOKUP(A1821&amp;B1821,INSUMOS!C:G,5,0))</f>
        <v/>
      </c>
    </row>
    <row r="1822" spans="1:11" ht="15" x14ac:dyDescent="0.25">
      <c r="A1822" s="109"/>
      <c r="B1822" s="116"/>
      <c r="C1822" s="518" t="str">
        <f>IF(A1822&amp;B1822="","",VLOOKUP(A1822&amp;B1822,INSUMOS!C:G,2,0))</f>
        <v/>
      </c>
      <c r="D1822" s="519"/>
      <c r="E1822" s="117" t="str">
        <f>IF(A1822&amp;B1822="","",VLOOKUP(A1822&amp;B1822,INSUMOS!C:G,3,0))</f>
        <v/>
      </c>
      <c r="F1822" s="118"/>
      <c r="G1822" s="113" t="str">
        <f>IF(A1822&amp;B1822="","",VLOOKUP(A1822&amp;B1822,INSUMOS!C:G,4,0))</f>
        <v/>
      </c>
      <c r="H1822" s="119" t="str">
        <f t="shared" si="324"/>
        <v/>
      </c>
      <c r="I1822" s="119" t="str">
        <f t="shared" si="325"/>
        <v/>
      </c>
      <c r="J1822" s="115" t="str">
        <f t="shared" si="326"/>
        <v/>
      </c>
      <c r="K1822" s="102" t="str">
        <f>IF(A1822&amp;B1822="","",VLOOKUP(A1822&amp;B1822,INSUMOS!C:G,5,0))</f>
        <v/>
      </c>
    </row>
    <row r="1823" spans="1:11" ht="15" x14ac:dyDescent="0.25">
      <c r="A1823" s="120"/>
      <c r="B1823" s="121"/>
      <c r="C1823" s="518" t="str">
        <f>IF(A1823&amp;B1823="","",VLOOKUP(A1823&amp;B1823,INSUMOS!C:G,2,0))</f>
        <v/>
      </c>
      <c r="D1823" s="519"/>
      <c r="E1823" s="117" t="str">
        <f>IF(A1823&amp;B1823="","",VLOOKUP(A1823&amp;B1823,INSUMOS!C:G,3,0))</f>
        <v/>
      </c>
      <c r="F1823" s="118"/>
      <c r="G1823" s="122" t="str">
        <f>IF(A1823&amp;B1823="","",VLOOKUP(A1823&amp;B1823,INSUMOS!C:G,4,0))</f>
        <v/>
      </c>
      <c r="H1823" s="119" t="str">
        <f t="shared" si="324"/>
        <v/>
      </c>
      <c r="I1823" s="119" t="str">
        <f t="shared" si="325"/>
        <v/>
      </c>
      <c r="J1823" s="115" t="str">
        <f t="shared" si="326"/>
        <v/>
      </c>
      <c r="K1823" s="102" t="str">
        <f>IF(A1823&amp;B1823="","",VLOOKUP(A1823&amp;B1823,INSUMOS!C:G,5,0))</f>
        <v/>
      </c>
    </row>
    <row r="1824" spans="1:11" ht="15" x14ac:dyDescent="0.25">
      <c r="A1824" s="120"/>
      <c r="B1824" s="121"/>
      <c r="C1824" s="518" t="str">
        <f>IF(A1824&amp;B1824="","",VLOOKUP(A1824&amp;B1824,INSUMOS!C:G,2,0))</f>
        <v/>
      </c>
      <c r="D1824" s="519"/>
      <c r="E1824" s="117" t="str">
        <f>IF(A1824&amp;B1824="","",VLOOKUP(A1824&amp;B1824,INSUMOS!C:G,3,0))</f>
        <v/>
      </c>
      <c r="F1824" s="118"/>
      <c r="G1824" s="122" t="str">
        <f>IF(A1824&amp;B1824="","",VLOOKUP(A1824&amp;B1824,INSUMOS!C:G,4,0))</f>
        <v/>
      </c>
      <c r="H1824" s="119" t="str">
        <f t="shared" si="324"/>
        <v/>
      </c>
      <c r="I1824" s="119" t="str">
        <f t="shared" si="325"/>
        <v/>
      </c>
      <c r="J1824" s="115" t="str">
        <f t="shared" si="326"/>
        <v/>
      </c>
      <c r="K1824" s="102" t="str">
        <f>IF(A1824&amp;B1824="","",VLOOKUP(A1824&amp;B1824,INSUMOS!C:G,5,0))</f>
        <v/>
      </c>
    </row>
    <row r="1825" spans="1:17" ht="15" x14ac:dyDescent="0.25">
      <c r="A1825" s="120"/>
      <c r="B1825" s="121"/>
      <c r="C1825" s="518" t="str">
        <f>IF(A1825&amp;B1825="","",VLOOKUP(A1825&amp;B1825,INSUMOS!C:G,2,0))</f>
        <v/>
      </c>
      <c r="D1825" s="519"/>
      <c r="E1825" s="117" t="str">
        <f>IF(A1825&amp;B1825="","",VLOOKUP(A1825&amp;B1825,INSUMOS!C:G,3,0))</f>
        <v/>
      </c>
      <c r="F1825" s="118"/>
      <c r="G1825" s="122" t="str">
        <f>IF(A1825&amp;B1825="","",VLOOKUP(A1825&amp;B1825,INSUMOS!C:G,4,0))</f>
        <v/>
      </c>
      <c r="H1825" s="119" t="str">
        <f t="shared" si="324"/>
        <v/>
      </c>
      <c r="I1825" s="119" t="str">
        <f t="shared" si="325"/>
        <v/>
      </c>
      <c r="J1825" s="115" t="str">
        <f t="shared" si="326"/>
        <v/>
      </c>
      <c r="K1825" s="102" t="str">
        <f>IF(A1825&amp;B1825="","",VLOOKUP(A1825&amp;B1825,INSUMOS!C:G,5,0))</f>
        <v/>
      </c>
    </row>
    <row r="1826" spans="1:17" ht="15" x14ac:dyDescent="0.25">
      <c r="A1826" s="123" t="s">
        <v>4399</v>
      </c>
      <c r="B1826" s="542" t="s">
        <v>5185</v>
      </c>
      <c r="C1826" s="542"/>
      <c r="D1826" s="542"/>
      <c r="E1826" s="542"/>
      <c r="F1826" s="543"/>
      <c r="G1826" s="124" t="s">
        <v>50</v>
      </c>
      <c r="H1826" s="125">
        <f>SUM(H1813:H1825)</f>
        <v>5.57</v>
      </c>
      <c r="I1826" s="125">
        <f>SUM(I1813:I1825)</f>
        <v>11.76</v>
      </c>
      <c r="J1826" s="126">
        <f>SUM(J1813:J1825)</f>
        <v>0</v>
      </c>
    </row>
    <row r="1827" spans="1:17" ht="15" x14ac:dyDescent="0.25">
      <c r="A1827" s="127" t="s">
        <v>4400</v>
      </c>
      <c r="B1827" s="128"/>
      <c r="C1827" s="128"/>
      <c r="D1827" s="127" t="s">
        <v>51</v>
      </c>
      <c r="E1827" s="128"/>
      <c r="F1827" s="129"/>
      <c r="G1827" s="130" t="s">
        <v>55</v>
      </c>
      <c r="H1827" s="131" t="s">
        <v>52</v>
      </c>
      <c r="I1827" s="132"/>
      <c r="J1827" s="125">
        <f>SUM(H1826:J1826)</f>
        <v>17.329999999999998</v>
      </c>
    </row>
    <row r="1828" spans="1:17" ht="15" x14ac:dyDescent="0.25">
      <c r="A1828" s="313" t="str">
        <f>$I$3</f>
        <v>Carlos Wieck</v>
      </c>
      <c r="B1828" s="133"/>
      <c r="C1828" s="133"/>
      <c r="D1828" s="134"/>
      <c r="E1828" s="133"/>
      <c r="F1828" s="135"/>
      <c r="G1828" s="522">
        <f>$J$5</f>
        <v>43040</v>
      </c>
      <c r="H1828" s="136" t="s">
        <v>53</v>
      </c>
      <c r="I1828" s="137"/>
      <c r="J1828" s="125">
        <f>TRUNC(I1828*J1827,2)</f>
        <v>0</v>
      </c>
    </row>
    <row r="1829" spans="1:17" ht="15" x14ac:dyDescent="0.25">
      <c r="A1829" s="314"/>
      <c r="B1829" s="139"/>
      <c r="C1829" s="139"/>
      <c r="D1829" s="138"/>
      <c r="E1829" s="139"/>
      <c r="F1829" s="140"/>
      <c r="G1829" s="523"/>
      <c r="H1829" s="141" t="s">
        <v>54</v>
      </c>
      <c r="I1829" s="142"/>
      <c r="J1829" s="143">
        <f>J1828+J1827</f>
        <v>17.329999999999998</v>
      </c>
      <c r="L1829" s="102" t="str">
        <f>A1810</f>
        <v>COMPOSIÇÃO</v>
      </c>
      <c r="M1829" s="144" t="str">
        <f>B1810</f>
        <v>FF-075</v>
      </c>
      <c r="N1829" s="102" t="str">
        <f>L1829&amp;M1829</f>
        <v>COMPOSIÇÃOFF-075</v>
      </c>
      <c r="O1829" s="103" t="str">
        <f>D1809</f>
        <v>Cotovelo 45º, PVC, Soldável, DN 60mm, instalado em ramal ou sub-ramal de água fornecimento e instalação.</v>
      </c>
      <c r="P1829" s="145" t="str">
        <f>J1810</f>
        <v>un</v>
      </c>
      <c r="Q1829" s="145">
        <f>J1829</f>
        <v>17.329999999999998</v>
      </c>
    </row>
    <row r="1830" spans="1:17" ht="15" customHeight="1" x14ac:dyDescent="0.25">
      <c r="A1830" s="524" t="s">
        <v>40</v>
      </c>
      <c r="B1830" s="525"/>
      <c r="C1830" s="104" t="s">
        <v>41</v>
      </c>
      <c r="D1830" s="526" t="str">
        <f>IF(B1831="","",VLOOKUP(B1831,SERVIÇOS!B:E,3,0))</f>
        <v>Te, PVC, Soldável, DN 25mm, instalado em ramal ou sub-ramal de água fornecimento e instalação.</v>
      </c>
      <c r="E1830" s="526"/>
      <c r="F1830" s="526"/>
      <c r="G1830" s="526"/>
      <c r="H1830" s="526"/>
      <c r="I1830" s="527"/>
      <c r="J1830" s="105" t="s">
        <v>42</v>
      </c>
    </row>
    <row r="1831" spans="1:17" ht="15" x14ac:dyDescent="0.25">
      <c r="A1831" s="230" t="s">
        <v>4715</v>
      </c>
      <c r="B1831" s="230" t="s">
        <v>5197</v>
      </c>
      <c r="C1831" s="106"/>
      <c r="D1831" s="528"/>
      <c r="E1831" s="528"/>
      <c r="F1831" s="528"/>
      <c r="G1831" s="528"/>
      <c r="H1831" s="528"/>
      <c r="I1831" s="529"/>
      <c r="J1831" s="107" t="str">
        <f>IF(B1831="","",VLOOKUP(B1831,SERVIÇOS!B:E,4,0))</f>
        <v>un</v>
      </c>
    </row>
    <row r="1832" spans="1:17" ht="15" x14ac:dyDescent="0.25">
      <c r="A1832" s="530" t="s">
        <v>4397</v>
      </c>
      <c r="B1832" s="531" t="s">
        <v>11</v>
      </c>
      <c r="C1832" s="533" t="s">
        <v>43</v>
      </c>
      <c r="D1832" s="534"/>
      <c r="E1832" s="530" t="s">
        <v>13</v>
      </c>
      <c r="F1832" s="530" t="s">
        <v>44</v>
      </c>
      <c r="G1832" s="538" t="s">
        <v>45</v>
      </c>
      <c r="H1832" s="108" t="s">
        <v>46</v>
      </c>
      <c r="I1832" s="108"/>
      <c r="J1832" s="108"/>
    </row>
    <row r="1833" spans="1:17" ht="15" x14ac:dyDescent="0.25">
      <c r="A1833" s="530"/>
      <c r="B1833" s="532"/>
      <c r="C1833" s="535"/>
      <c r="D1833" s="536"/>
      <c r="E1833" s="537"/>
      <c r="F1833" s="537"/>
      <c r="G1833" s="539"/>
      <c r="H1833" s="108" t="s">
        <v>47</v>
      </c>
      <c r="I1833" s="108" t="s">
        <v>48</v>
      </c>
      <c r="J1833" s="108" t="s">
        <v>49</v>
      </c>
    </row>
    <row r="1834" spans="1:17" ht="15" x14ac:dyDescent="0.25">
      <c r="A1834" s="109" t="s">
        <v>4398</v>
      </c>
      <c r="B1834" s="110">
        <v>10119</v>
      </c>
      <c r="C1834" s="540" t="str">
        <f>IF(A1834&amp;B1834="","",VLOOKUP(A1834&amp;B1834,INSUMOS!C:G,2,0))</f>
        <v>Ajudante de encanador</v>
      </c>
      <c r="D1834" s="541"/>
      <c r="E1834" s="111" t="str">
        <f>IF(A1834&amp;B1834="","",VLOOKUP(A1834&amp;B1834,INSUMOS!C:G,3,0))</f>
        <v>h</v>
      </c>
      <c r="F1834" s="112">
        <v>0.2</v>
      </c>
      <c r="G1834" s="113">
        <f>IF(A1834&amp;B1834="","",VLOOKUP(A1834&amp;B1834,INSUMOS!C:G,4,0))</f>
        <v>10.985028</v>
      </c>
      <c r="H1834" s="114">
        <f>IF(K1834="MO",TRUNC(F1834*G1834,2),"")</f>
        <v>2.19</v>
      </c>
      <c r="I1834" s="114" t="str">
        <f>IF(K1834="MT",TRUNC(F1834*G1834,2),"")</f>
        <v/>
      </c>
      <c r="J1834" s="115" t="str">
        <f>IF(K1834="EQ",TRUNC(F1834*G1834,2),"")</f>
        <v/>
      </c>
      <c r="K1834" s="102" t="str">
        <f>IF(A1834&amp;B1834="","",VLOOKUP(A1834&amp;B1834,INSUMOS!C:G,5,0))</f>
        <v>MO</v>
      </c>
    </row>
    <row r="1835" spans="1:17" ht="15" x14ac:dyDescent="0.25">
      <c r="A1835" s="109" t="s">
        <v>4398</v>
      </c>
      <c r="B1835" s="116">
        <v>10118</v>
      </c>
      <c r="C1835" s="518" t="str">
        <f>IF(A1835&amp;B1835="","",VLOOKUP(A1835&amp;B1835,INSUMOS!C:G,2,0))</f>
        <v xml:space="preserve">Encanador </v>
      </c>
      <c r="D1835" s="519"/>
      <c r="E1835" s="117" t="str">
        <f>IF(A1835&amp;B1835="","",VLOOKUP(A1835&amp;B1835,INSUMOS!C:G,3,0))</f>
        <v>h</v>
      </c>
      <c r="F1835" s="118">
        <v>0.2</v>
      </c>
      <c r="G1835" s="113">
        <f>IF(A1835&amp;B1835="","",VLOOKUP(A1835&amp;B1835,INSUMOS!C:G,4,0))</f>
        <v>16.906036</v>
      </c>
      <c r="H1835" s="119">
        <f t="shared" ref="H1835:H1846" si="327">IF(K1835="MO",TRUNC(F1835*G1835,2),"")</f>
        <v>3.38</v>
      </c>
      <c r="I1835" s="119" t="str">
        <f t="shared" ref="I1835:I1846" si="328">IF(K1835="MT",TRUNC(F1835*G1835,2),"")</f>
        <v/>
      </c>
      <c r="J1835" s="115" t="str">
        <f t="shared" ref="J1835:J1846" si="329">IF(K1835="EQ",TRUNC(F1835*G1835,2),"")</f>
        <v/>
      </c>
      <c r="K1835" s="102" t="str">
        <f>IF(A1835&amp;B1835="","",VLOOKUP(A1835&amp;B1835,INSUMOS!C:G,5,0))</f>
        <v>MO</v>
      </c>
    </row>
    <row r="1836" spans="1:17" ht="15" x14ac:dyDescent="0.25">
      <c r="A1836" s="109" t="s">
        <v>4398</v>
      </c>
      <c r="B1836" s="116">
        <v>69513</v>
      </c>
      <c r="C1836" s="518" t="str">
        <f>IF(A1836&amp;B1836="","",VLOOKUP(A1836&amp;B1836,INSUMOS!C:G,2,0))</f>
        <v>Adesivo para tubos PVC</v>
      </c>
      <c r="D1836" s="519"/>
      <c r="E1836" s="117" t="str">
        <f>IF(A1836&amp;B1836="","",VLOOKUP(A1836&amp;B1836,INSUMOS!C:G,3,0))</f>
        <v>kg</v>
      </c>
      <c r="F1836" s="118">
        <v>1.0999999999999999E-2</v>
      </c>
      <c r="G1836" s="113">
        <f>IF(A1836&amp;B1836="","",VLOOKUP(A1836&amp;B1836,INSUMOS!C:G,4,0))</f>
        <v>42.49</v>
      </c>
      <c r="H1836" s="119" t="str">
        <f t="shared" si="327"/>
        <v/>
      </c>
      <c r="I1836" s="119">
        <f t="shared" si="328"/>
        <v>0.46</v>
      </c>
      <c r="J1836" s="115" t="str">
        <f t="shared" si="329"/>
        <v/>
      </c>
      <c r="K1836" s="102" t="str">
        <f>IF(A1836&amp;B1836="","",VLOOKUP(A1836&amp;B1836,INSUMOS!C:G,5,0))</f>
        <v>MT</v>
      </c>
    </row>
    <row r="1837" spans="1:17" ht="15" x14ac:dyDescent="0.25">
      <c r="A1837" s="109" t="s">
        <v>4398</v>
      </c>
      <c r="B1837" s="116">
        <v>38040</v>
      </c>
      <c r="C1837" s="518" t="str">
        <f>IF(A1837&amp;B1837="","",VLOOKUP(A1837&amp;B1837,INSUMOS!C:G,2,0))</f>
        <v>Lixa d´água, ref. Norton n° 80, Aquaflex ou equivalente</v>
      </c>
      <c r="D1837" s="519"/>
      <c r="E1837" s="117" t="str">
        <f>IF(A1837&amp;B1837="","",VLOOKUP(A1837&amp;B1837,INSUMOS!C:G,3,0))</f>
        <v>un</v>
      </c>
      <c r="F1837" s="118">
        <v>7.4999999999999997E-2</v>
      </c>
      <c r="G1837" s="113">
        <f>IF(A1837&amp;B1837="","",VLOOKUP(A1837&amp;B1837,INSUMOS!C:G,4,0))</f>
        <v>1.04</v>
      </c>
      <c r="H1837" s="119" t="str">
        <f t="shared" si="327"/>
        <v/>
      </c>
      <c r="I1837" s="119">
        <f t="shared" si="328"/>
        <v>7.0000000000000007E-2</v>
      </c>
      <c r="J1837" s="115" t="str">
        <f t="shared" si="329"/>
        <v/>
      </c>
      <c r="K1837" s="102" t="str">
        <f>IF(A1837&amp;B1837="","",VLOOKUP(A1837&amp;B1837,INSUMOS!C:G,5,0))</f>
        <v>MT</v>
      </c>
    </row>
    <row r="1838" spans="1:17" ht="15" x14ac:dyDescent="0.25">
      <c r="A1838" s="109" t="s">
        <v>4810</v>
      </c>
      <c r="B1838" s="116">
        <v>7139</v>
      </c>
      <c r="C1838" s="518" t="str">
        <f>IF(A1838&amp;B1838="","",VLOOKUP(A1838&amp;B1838,INSUMOS!C:G,2,0))</f>
        <v>Tê soldável,PVC, 90 fraus, 25 mm, para água fria predial (NBR 5648)</v>
      </c>
      <c r="D1838" s="519"/>
      <c r="E1838" s="117" t="str">
        <f>IF(A1838&amp;B1838="","",VLOOKUP(A1838&amp;B1838,INSUMOS!C:G,3,0))</f>
        <v>un</v>
      </c>
      <c r="F1838" s="118">
        <v>1</v>
      </c>
      <c r="G1838" s="113">
        <f>IF(A1838&amp;B1838="","",VLOOKUP(A1838&amp;B1838,INSUMOS!C:G,4,0))</f>
        <v>0.93</v>
      </c>
      <c r="H1838" s="119" t="str">
        <f t="shared" si="327"/>
        <v/>
      </c>
      <c r="I1838" s="119">
        <f t="shared" si="328"/>
        <v>0.93</v>
      </c>
      <c r="J1838" s="115" t="str">
        <f t="shared" si="329"/>
        <v/>
      </c>
      <c r="K1838" s="102" t="str">
        <f>IF(A1838&amp;B1838="","",VLOOKUP(A1838&amp;B1838,INSUMOS!C:G,5,0))</f>
        <v>MT</v>
      </c>
    </row>
    <row r="1839" spans="1:17" ht="15" x14ac:dyDescent="0.25">
      <c r="A1839" s="109" t="s">
        <v>4398</v>
      </c>
      <c r="B1839" s="116">
        <v>69514</v>
      </c>
      <c r="C1839" s="518" t="str">
        <f>IF(A1839&amp;B1839="","",VLOOKUP(A1839&amp;B1839,INSUMOS!C:G,2,0))</f>
        <v>Solução limpadora para PVC</v>
      </c>
      <c r="D1839" s="519"/>
      <c r="E1839" s="117" t="str">
        <f>IF(A1839&amp;B1839="","",VLOOKUP(A1839&amp;B1839,INSUMOS!C:G,3,0))</f>
        <v>l</v>
      </c>
      <c r="F1839" s="118">
        <v>1.2E-2</v>
      </c>
      <c r="G1839" s="113">
        <f>IF(A1839&amp;B1839="","",VLOOKUP(A1839&amp;B1839,INSUMOS!C:G,4,0))</f>
        <v>29.11</v>
      </c>
      <c r="H1839" s="119" t="str">
        <f t="shared" si="327"/>
        <v/>
      </c>
      <c r="I1839" s="119">
        <f t="shared" si="328"/>
        <v>0.34</v>
      </c>
      <c r="J1839" s="115" t="str">
        <f t="shared" si="329"/>
        <v/>
      </c>
      <c r="K1839" s="102" t="str">
        <f>IF(A1839&amp;B1839="","",VLOOKUP(A1839&amp;B1839,INSUMOS!C:G,5,0))</f>
        <v>MT</v>
      </c>
    </row>
    <row r="1840" spans="1:17" ht="15" x14ac:dyDescent="0.25">
      <c r="A1840" s="109"/>
      <c r="B1840" s="116"/>
      <c r="C1840" s="518" t="str">
        <f>IF(A1840&amp;B1840="","",VLOOKUP(A1840&amp;B1840,INSUMOS!C:G,2,0))</f>
        <v/>
      </c>
      <c r="D1840" s="519"/>
      <c r="E1840" s="117" t="str">
        <f>IF(A1840&amp;B1840="","",VLOOKUP(A1840&amp;B1840,INSUMOS!C:G,3,0))</f>
        <v/>
      </c>
      <c r="F1840" s="118"/>
      <c r="G1840" s="113" t="str">
        <f>IF(A1840&amp;B1840="","",VLOOKUP(A1840&amp;B1840,INSUMOS!C:G,4,0))</f>
        <v/>
      </c>
      <c r="H1840" s="119" t="str">
        <f t="shared" si="327"/>
        <v/>
      </c>
      <c r="I1840" s="119" t="str">
        <f t="shared" si="328"/>
        <v/>
      </c>
      <c r="J1840" s="115" t="str">
        <f t="shared" si="329"/>
        <v/>
      </c>
      <c r="K1840" s="102" t="str">
        <f>IF(A1840&amp;B1840="","",VLOOKUP(A1840&amp;B1840,INSUMOS!C:G,5,0))</f>
        <v/>
      </c>
    </row>
    <row r="1841" spans="1:17" ht="15" x14ac:dyDescent="0.25">
      <c r="A1841" s="109"/>
      <c r="B1841" s="116"/>
      <c r="C1841" s="518" t="str">
        <f>IF(A1841&amp;B1841="","",VLOOKUP(A1841&amp;B1841,INSUMOS!C:G,2,0))</f>
        <v/>
      </c>
      <c r="D1841" s="519"/>
      <c r="E1841" s="117" t="str">
        <f>IF(A1841&amp;B1841="","",VLOOKUP(A1841&amp;B1841,INSUMOS!C:G,3,0))</f>
        <v/>
      </c>
      <c r="F1841" s="118"/>
      <c r="G1841" s="113" t="str">
        <f>IF(A1841&amp;B1841="","",VLOOKUP(A1841&amp;B1841,INSUMOS!C:G,4,0))</f>
        <v/>
      </c>
      <c r="H1841" s="119" t="str">
        <f t="shared" si="327"/>
        <v/>
      </c>
      <c r="I1841" s="119" t="str">
        <f t="shared" si="328"/>
        <v/>
      </c>
      <c r="J1841" s="115" t="str">
        <f t="shared" si="329"/>
        <v/>
      </c>
      <c r="K1841" s="102" t="str">
        <f>IF(A1841&amp;B1841="","",VLOOKUP(A1841&amp;B1841,INSUMOS!C:G,5,0))</f>
        <v/>
      </c>
    </row>
    <row r="1842" spans="1:17" ht="15" x14ac:dyDescent="0.25">
      <c r="A1842" s="109"/>
      <c r="B1842" s="116"/>
      <c r="C1842" s="518" t="str">
        <f>IF(A1842&amp;B1842="","",VLOOKUP(A1842&amp;B1842,INSUMOS!C:G,2,0))</f>
        <v/>
      </c>
      <c r="D1842" s="519"/>
      <c r="E1842" s="117" t="str">
        <f>IF(A1842&amp;B1842="","",VLOOKUP(A1842&amp;B1842,INSUMOS!C:G,3,0))</f>
        <v/>
      </c>
      <c r="F1842" s="118"/>
      <c r="G1842" s="113" t="str">
        <f>IF(A1842&amp;B1842="","",VLOOKUP(A1842&amp;B1842,INSUMOS!C:G,4,0))</f>
        <v/>
      </c>
      <c r="H1842" s="119" t="str">
        <f t="shared" si="327"/>
        <v/>
      </c>
      <c r="I1842" s="119" t="str">
        <f t="shared" si="328"/>
        <v/>
      </c>
      <c r="J1842" s="115" t="str">
        <f t="shared" si="329"/>
        <v/>
      </c>
      <c r="K1842" s="102" t="str">
        <f>IF(A1842&amp;B1842="","",VLOOKUP(A1842&amp;B1842,INSUMOS!C:G,5,0))</f>
        <v/>
      </c>
    </row>
    <row r="1843" spans="1:17" ht="15" x14ac:dyDescent="0.25">
      <c r="A1843" s="109"/>
      <c r="B1843" s="116"/>
      <c r="C1843" s="518" t="str">
        <f>IF(A1843&amp;B1843="","",VLOOKUP(A1843&amp;B1843,INSUMOS!C:G,2,0))</f>
        <v/>
      </c>
      <c r="D1843" s="519"/>
      <c r="E1843" s="117" t="str">
        <f>IF(A1843&amp;B1843="","",VLOOKUP(A1843&amp;B1843,INSUMOS!C:G,3,0))</f>
        <v/>
      </c>
      <c r="F1843" s="118"/>
      <c r="G1843" s="113" t="str">
        <f>IF(A1843&amp;B1843="","",VLOOKUP(A1843&amp;B1843,INSUMOS!C:G,4,0))</f>
        <v/>
      </c>
      <c r="H1843" s="119" t="str">
        <f t="shared" si="327"/>
        <v/>
      </c>
      <c r="I1843" s="119" t="str">
        <f t="shared" si="328"/>
        <v/>
      </c>
      <c r="J1843" s="115" t="str">
        <f t="shared" si="329"/>
        <v/>
      </c>
      <c r="K1843" s="102" t="str">
        <f>IF(A1843&amp;B1843="","",VLOOKUP(A1843&amp;B1843,INSUMOS!C:G,5,0))</f>
        <v/>
      </c>
    </row>
    <row r="1844" spans="1:17" ht="15" x14ac:dyDescent="0.25">
      <c r="A1844" s="120"/>
      <c r="B1844" s="121"/>
      <c r="C1844" s="518" t="str">
        <f>IF(A1844&amp;B1844="","",VLOOKUP(A1844&amp;B1844,INSUMOS!C:G,2,0))</f>
        <v/>
      </c>
      <c r="D1844" s="519"/>
      <c r="E1844" s="117" t="str">
        <f>IF(A1844&amp;B1844="","",VLOOKUP(A1844&amp;B1844,INSUMOS!C:G,3,0))</f>
        <v/>
      </c>
      <c r="F1844" s="118"/>
      <c r="G1844" s="122" t="str">
        <f>IF(A1844&amp;B1844="","",VLOOKUP(A1844&amp;B1844,INSUMOS!C:G,4,0))</f>
        <v/>
      </c>
      <c r="H1844" s="119" t="str">
        <f t="shared" si="327"/>
        <v/>
      </c>
      <c r="I1844" s="119" t="str">
        <f t="shared" si="328"/>
        <v/>
      </c>
      <c r="J1844" s="115" t="str">
        <f t="shared" si="329"/>
        <v/>
      </c>
      <c r="K1844" s="102" t="str">
        <f>IF(A1844&amp;B1844="","",VLOOKUP(A1844&amp;B1844,INSUMOS!C:G,5,0))</f>
        <v/>
      </c>
    </row>
    <row r="1845" spans="1:17" ht="15" x14ac:dyDescent="0.25">
      <c r="A1845" s="120"/>
      <c r="B1845" s="121"/>
      <c r="C1845" s="518" t="str">
        <f>IF(A1845&amp;B1845="","",VLOOKUP(A1845&amp;B1845,INSUMOS!C:G,2,0))</f>
        <v/>
      </c>
      <c r="D1845" s="519"/>
      <c r="E1845" s="117" t="str">
        <f>IF(A1845&amp;B1845="","",VLOOKUP(A1845&amp;B1845,INSUMOS!C:G,3,0))</f>
        <v/>
      </c>
      <c r="F1845" s="118"/>
      <c r="G1845" s="122" t="str">
        <f>IF(A1845&amp;B1845="","",VLOOKUP(A1845&amp;B1845,INSUMOS!C:G,4,0))</f>
        <v/>
      </c>
      <c r="H1845" s="119" t="str">
        <f t="shared" si="327"/>
        <v/>
      </c>
      <c r="I1845" s="119" t="str">
        <f t="shared" si="328"/>
        <v/>
      </c>
      <c r="J1845" s="115" t="str">
        <f t="shared" si="329"/>
        <v/>
      </c>
      <c r="K1845" s="102" t="str">
        <f>IF(A1845&amp;B1845="","",VLOOKUP(A1845&amp;B1845,INSUMOS!C:G,5,0))</f>
        <v/>
      </c>
    </row>
    <row r="1846" spans="1:17" ht="15" x14ac:dyDescent="0.25">
      <c r="A1846" s="120"/>
      <c r="B1846" s="121"/>
      <c r="C1846" s="518" t="str">
        <f>IF(A1846&amp;B1846="","",VLOOKUP(A1846&amp;B1846,INSUMOS!C:G,2,0))</f>
        <v/>
      </c>
      <c r="D1846" s="519"/>
      <c r="E1846" s="117" t="str">
        <f>IF(A1846&amp;B1846="","",VLOOKUP(A1846&amp;B1846,INSUMOS!C:G,3,0))</f>
        <v/>
      </c>
      <c r="F1846" s="118"/>
      <c r="G1846" s="122" t="str">
        <f>IF(A1846&amp;B1846="","",VLOOKUP(A1846&amp;B1846,INSUMOS!C:G,4,0))</f>
        <v/>
      </c>
      <c r="H1846" s="119" t="str">
        <f t="shared" si="327"/>
        <v/>
      </c>
      <c r="I1846" s="119" t="str">
        <f t="shared" si="328"/>
        <v/>
      </c>
      <c r="J1846" s="115" t="str">
        <f t="shared" si="329"/>
        <v/>
      </c>
      <c r="K1846" s="102" t="str">
        <f>IF(A1846&amp;B1846="","",VLOOKUP(A1846&amp;B1846,INSUMOS!C:G,5,0))</f>
        <v/>
      </c>
    </row>
    <row r="1847" spans="1:17" ht="15" x14ac:dyDescent="0.25">
      <c r="A1847" s="123" t="s">
        <v>4399</v>
      </c>
      <c r="B1847" s="542" t="s">
        <v>5185</v>
      </c>
      <c r="C1847" s="542"/>
      <c r="D1847" s="542"/>
      <c r="E1847" s="542"/>
      <c r="F1847" s="543"/>
      <c r="G1847" s="124" t="s">
        <v>50</v>
      </c>
      <c r="H1847" s="125">
        <f>SUM(H1834:H1846)</f>
        <v>5.57</v>
      </c>
      <c r="I1847" s="125">
        <f>SUM(I1834:I1846)</f>
        <v>1.8</v>
      </c>
      <c r="J1847" s="126">
        <f>SUM(J1834:J1846)</f>
        <v>0</v>
      </c>
    </row>
    <row r="1848" spans="1:17" ht="15" x14ac:dyDescent="0.25">
      <c r="A1848" s="127" t="s">
        <v>4400</v>
      </c>
      <c r="B1848" s="128"/>
      <c r="C1848" s="128"/>
      <c r="D1848" s="127" t="s">
        <v>51</v>
      </c>
      <c r="E1848" s="128"/>
      <c r="F1848" s="129"/>
      <c r="G1848" s="130" t="s">
        <v>55</v>
      </c>
      <c r="H1848" s="131" t="s">
        <v>52</v>
      </c>
      <c r="I1848" s="132"/>
      <c r="J1848" s="125">
        <f>SUM(H1847:J1847)</f>
        <v>7.37</v>
      </c>
    </row>
    <row r="1849" spans="1:17" ht="15" x14ac:dyDescent="0.25">
      <c r="A1849" s="313" t="str">
        <f>$I$3</f>
        <v>Carlos Wieck</v>
      </c>
      <c r="B1849" s="133"/>
      <c r="C1849" s="133"/>
      <c r="D1849" s="134"/>
      <c r="E1849" s="133"/>
      <c r="F1849" s="135"/>
      <c r="G1849" s="522">
        <f>$J$5</f>
        <v>43040</v>
      </c>
      <c r="H1849" s="136" t="s">
        <v>53</v>
      </c>
      <c r="I1849" s="137"/>
      <c r="J1849" s="125">
        <f>TRUNC(I1849*J1848,2)</f>
        <v>0</v>
      </c>
    </row>
    <row r="1850" spans="1:17" ht="15" x14ac:dyDescent="0.25">
      <c r="A1850" s="314"/>
      <c r="B1850" s="139"/>
      <c r="C1850" s="139"/>
      <c r="D1850" s="138"/>
      <c r="E1850" s="139"/>
      <c r="F1850" s="140"/>
      <c r="G1850" s="523"/>
      <c r="H1850" s="141" t="s">
        <v>54</v>
      </c>
      <c r="I1850" s="142"/>
      <c r="J1850" s="143">
        <f>J1849+J1848</f>
        <v>7.37</v>
      </c>
      <c r="L1850" s="102" t="str">
        <f>A1831</f>
        <v>COMPOSIÇÃO</v>
      </c>
      <c r="M1850" s="144" t="str">
        <f>B1831</f>
        <v>FF-076</v>
      </c>
      <c r="N1850" s="102" t="str">
        <f>L1850&amp;M1850</f>
        <v>COMPOSIÇÃOFF-076</v>
      </c>
      <c r="O1850" s="103" t="str">
        <f>D1830</f>
        <v>Te, PVC, Soldável, DN 25mm, instalado em ramal ou sub-ramal de água fornecimento e instalação.</v>
      </c>
      <c r="P1850" s="145" t="str">
        <f>J1831</f>
        <v>un</v>
      </c>
      <c r="Q1850" s="145">
        <f>J1850</f>
        <v>7.37</v>
      </c>
    </row>
    <row r="1851" spans="1:17" ht="15" customHeight="1" x14ac:dyDescent="0.25">
      <c r="A1851" s="524" t="s">
        <v>40</v>
      </c>
      <c r="B1851" s="525"/>
      <c r="C1851" s="104" t="s">
        <v>41</v>
      </c>
      <c r="D1851" s="526" t="str">
        <f>IF(B1852="","",VLOOKUP(B1852,SERVIÇOS!B:E,3,0))</f>
        <v>Te, PVC, Soldável, DN 32mm, instalado em ramal ou sub-ramal de água fornecimento e instalação.</v>
      </c>
      <c r="E1851" s="526"/>
      <c r="F1851" s="526"/>
      <c r="G1851" s="526"/>
      <c r="H1851" s="526"/>
      <c r="I1851" s="527"/>
      <c r="J1851" s="105" t="s">
        <v>42</v>
      </c>
    </row>
    <row r="1852" spans="1:17" ht="15" x14ac:dyDescent="0.25">
      <c r="A1852" s="230" t="s">
        <v>4715</v>
      </c>
      <c r="B1852" s="230" t="s">
        <v>5198</v>
      </c>
      <c r="C1852" s="106"/>
      <c r="D1852" s="528"/>
      <c r="E1852" s="528"/>
      <c r="F1852" s="528"/>
      <c r="G1852" s="528"/>
      <c r="H1852" s="528"/>
      <c r="I1852" s="529"/>
      <c r="J1852" s="107" t="str">
        <f>IF(B1852="","",VLOOKUP(B1852,SERVIÇOS!B:E,4,0))</f>
        <v>un</v>
      </c>
    </row>
    <row r="1853" spans="1:17" ht="15" x14ac:dyDescent="0.25">
      <c r="A1853" s="530" t="s">
        <v>4397</v>
      </c>
      <c r="B1853" s="531" t="s">
        <v>11</v>
      </c>
      <c r="C1853" s="533" t="s">
        <v>43</v>
      </c>
      <c r="D1853" s="534"/>
      <c r="E1853" s="530" t="s">
        <v>13</v>
      </c>
      <c r="F1853" s="530" t="s">
        <v>44</v>
      </c>
      <c r="G1853" s="538" t="s">
        <v>45</v>
      </c>
      <c r="H1853" s="108" t="s">
        <v>46</v>
      </c>
      <c r="I1853" s="108"/>
      <c r="J1853" s="108"/>
    </row>
    <row r="1854" spans="1:17" ht="15" x14ac:dyDescent="0.25">
      <c r="A1854" s="530"/>
      <c r="B1854" s="532"/>
      <c r="C1854" s="535"/>
      <c r="D1854" s="536"/>
      <c r="E1854" s="537"/>
      <c r="F1854" s="537"/>
      <c r="G1854" s="539"/>
      <c r="H1854" s="108" t="s">
        <v>47</v>
      </c>
      <c r="I1854" s="108" t="s">
        <v>48</v>
      </c>
      <c r="J1854" s="108" t="s">
        <v>49</v>
      </c>
    </row>
    <row r="1855" spans="1:17" ht="15" x14ac:dyDescent="0.25">
      <c r="A1855" s="109" t="s">
        <v>4398</v>
      </c>
      <c r="B1855" s="110">
        <v>10119</v>
      </c>
      <c r="C1855" s="540" t="str">
        <f>IF(A1855&amp;B1855="","",VLOOKUP(A1855&amp;B1855,INSUMOS!C:G,2,0))</f>
        <v>Ajudante de encanador</v>
      </c>
      <c r="D1855" s="541"/>
      <c r="E1855" s="111" t="str">
        <f>IF(A1855&amp;B1855="","",VLOOKUP(A1855&amp;B1855,INSUMOS!C:G,3,0))</f>
        <v>h</v>
      </c>
      <c r="F1855" s="112">
        <v>0.2</v>
      </c>
      <c r="G1855" s="113">
        <f>IF(A1855&amp;B1855="","",VLOOKUP(A1855&amp;B1855,INSUMOS!C:G,4,0))</f>
        <v>10.985028</v>
      </c>
      <c r="H1855" s="114">
        <f>IF(K1855="MO",TRUNC(F1855*G1855,2),"")</f>
        <v>2.19</v>
      </c>
      <c r="I1855" s="114" t="str">
        <f>IF(K1855="MT",TRUNC(F1855*G1855,2),"")</f>
        <v/>
      </c>
      <c r="J1855" s="115" t="str">
        <f>IF(K1855="EQ",TRUNC(F1855*G1855,2),"")</f>
        <v/>
      </c>
      <c r="K1855" s="102" t="str">
        <f>IF(A1855&amp;B1855="","",VLOOKUP(A1855&amp;B1855,INSUMOS!C:G,5,0))</f>
        <v>MO</v>
      </c>
    </row>
    <row r="1856" spans="1:17" ht="15" x14ac:dyDescent="0.25">
      <c r="A1856" s="109" t="s">
        <v>4398</v>
      </c>
      <c r="B1856" s="116">
        <v>10118</v>
      </c>
      <c r="C1856" s="518" t="str">
        <f>IF(A1856&amp;B1856="","",VLOOKUP(A1856&amp;B1856,INSUMOS!C:G,2,0))</f>
        <v xml:space="preserve">Encanador </v>
      </c>
      <c r="D1856" s="519"/>
      <c r="E1856" s="117" t="str">
        <f>IF(A1856&amp;B1856="","",VLOOKUP(A1856&amp;B1856,INSUMOS!C:G,3,0))</f>
        <v>h</v>
      </c>
      <c r="F1856" s="118">
        <v>0.2</v>
      </c>
      <c r="G1856" s="113">
        <f>IF(A1856&amp;B1856="","",VLOOKUP(A1856&amp;B1856,INSUMOS!C:G,4,0))</f>
        <v>16.906036</v>
      </c>
      <c r="H1856" s="119">
        <f t="shared" ref="H1856:H1867" si="330">IF(K1856="MO",TRUNC(F1856*G1856,2),"")</f>
        <v>3.38</v>
      </c>
      <c r="I1856" s="119" t="str">
        <f t="shared" ref="I1856:I1867" si="331">IF(K1856="MT",TRUNC(F1856*G1856,2),"")</f>
        <v/>
      </c>
      <c r="J1856" s="115" t="str">
        <f t="shared" ref="J1856:J1867" si="332">IF(K1856="EQ",TRUNC(F1856*G1856,2),"")</f>
        <v/>
      </c>
      <c r="K1856" s="102" t="str">
        <f>IF(A1856&amp;B1856="","",VLOOKUP(A1856&amp;B1856,INSUMOS!C:G,5,0))</f>
        <v>MO</v>
      </c>
    </row>
    <row r="1857" spans="1:17" ht="15" x14ac:dyDescent="0.25">
      <c r="A1857" s="109" t="s">
        <v>4398</v>
      </c>
      <c r="B1857" s="116">
        <v>69513</v>
      </c>
      <c r="C1857" s="518" t="str">
        <f>IF(A1857&amp;B1857="","",VLOOKUP(A1857&amp;B1857,INSUMOS!C:G,2,0))</f>
        <v>Adesivo para tubos PVC</v>
      </c>
      <c r="D1857" s="519"/>
      <c r="E1857" s="117" t="str">
        <f>IF(A1857&amp;B1857="","",VLOOKUP(A1857&amp;B1857,INSUMOS!C:G,3,0))</f>
        <v>kg</v>
      </c>
      <c r="F1857" s="118">
        <v>1.0999999999999999E-2</v>
      </c>
      <c r="G1857" s="113">
        <f>IF(A1857&amp;B1857="","",VLOOKUP(A1857&amp;B1857,INSUMOS!C:G,4,0))</f>
        <v>42.49</v>
      </c>
      <c r="H1857" s="119" t="str">
        <f t="shared" si="330"/>
        <v/>
      </c>
      <c r="I1857" s="119">
        <f t="shared" si="331"/>
        <v>0.46</v>
      </c>
      <c r="J1857" s="115" t="str">
        <f t="shared" si="332"/>
        <v/>
      </c>
      <c r="K1857" s="102" t="str">
        <f>IF(A1857&amp;B1857="","",VLOOKUP(A1857&amp;B1857,INSUMOS!C:G,5,0))</f>
        <v>MT</v>
      </c>
    </row>
    <row r="1858" spans="1:17" ht="15" x14ac:dyDescent="0.25">
      <c r="A1858" s="109" t="s">
        <v>4398</v>
      </c>
      <c r="B1858" s="116">
        <v>38040</v>
      </c>
      <c r="C1858" s="518" t="str">
        <f>IF(A1858&amp;B1858="","",VLOOKUP(A1858&amp;B1858,INSUMOS!C:G,2,0))</f>
        <v>Lixa d´água, ref. Norton n° 80, Aquaflex ou equivalente</v>
      </c>
      <c r="D1858" s="519"/>
      <c r="E1858" s="117" t="str">
        <f>IF(A1858&amp;B1858="","",VLOOKUP(A1858&amp;B1858,INSUMOS!C:G,3,0))</f>
        <v>un</v>
      </c>
      <c r="F1858" s="118">
        <v>7.4999999999999997E-2</v>
      </c>
      <c r="G1858" s="113">
        <f>IF(A1858&amp;B1858="","",VLOOKUP(A1858&amp;B1858,INSUMOS!C:G,4,0))</f>
        <v>1.04</v>
      </c>
      <c r="H1858" s="119" t="str">
        <f t="shared" si="330"/>
        <v/>
      </c>
      <c r="I1858" s="119">
        <f t="shared" si="331"/>
        <v>7.0000000000000007E-2</v>
      </c>
      <c r="J1858" s="115" t="str">
        <f t="shared" si="332"/>
        <v/>
      </c>
      <c r="K1858" s="102" t="str">
        <f>IF(A1858&amp;B1858="","",VLOOKUP(A1858&amp;B1858,INSUMOS!C:G,5,0))</f>
        <v>MT</v>
      </c>
    </row>
    <row r="1859" spans="1:17" ht="15" x14ac:dyDescent="0.25">
      <c r="A1859" s="109" t="s">
        <v>4810</v>
      </c>
      <c r="B1859" s="116">
        <v>7140</v>
      </c>
      <c r="C1859" s="518" t="str">
        <f>IF(A1859&amp;B1859="","",VLOOKUP(A1859&amp;B1859,INSUMOS!C:G,2,0))</f>
        <v>Tê soldável,PVC, 90 fraus, 32 mm, para água fria predial (NBR 5648)</v>
      </c>
      <c r="D1859" s="519"/>
      <c r="E1859" s="117" t="str">
        <f>IF(A1859&amp;B1859="","",VLOOKUP(A1859&amp;B1859,INSUMOS!C:G,3,0))</f>
        <v>un</v>
      </c>
      <c r="F1859" s="118">
        <v>1</v>
      </c>
      <c r="G1859" s="113">
        <f>IF(A1859&amp;B1859="","",VLOOKUP(A1859&amp;B1859,INSUMOS!C:G,4,0))</f>
        <v>2.3199999999999998</v>
      </c>
      <c r="H1859" s="119" t="str">
        <f t="shared" si="330"/>
        <v/>
      </c>
      <c r="I1859" s="119">
        <f t="shared" si="331"/>
        <v>2.3199999999999998</v>
      </c>
      <c r="J1859" s="115" t="str">
        <f t="shared" si="332"/>
        <v/>
      </c>
      <c r="K1859" s="102" t="str">
        <f>IF(A1859&amp;B1859="","",VLOOKUP(A1859&amp;B1859,INSUMOS!C:G,5,0))</f>
        <v>MT</v>
      </c>
    </row>
    <row r="1860" spans="1:17" ht="15" x14ac:dyDescent="0.25">
      <c r="A1860" s="109" t="s">
        <v>4398</v>
      </c>
      <c r="B1860" s="116">
        <v>69514</v>
      </c>
      <c r="C1860" s="518" t="str">
        <f>IF(A1860&amp;B1860="","",VLOOKUP(A1860&amp;B1860,INSUMOS!C:G,2,0))</f>
        <v>Solução limpadora para PVC</v>
      </c>
      <c r="D1860" s="519"/>
      <c r="E1860" s="117" t="str">
        <f>IF(A1860&amp;B1860="","",VLOOKUP(A1860&amp;B1860,INSUMOS!C:G,3,0))</f>
        <v>l</v>
      </c>
      <c r="F1860" s="118">
        <v>1.2E-2</v>
      </c>
      <c r="G1860" s="113">
        <f>IF(A1860&amp;B1860="","",VLOOKUP(A1860&amp;B1860,INSUMOS!C:G,4,0))</f>
        <v>29.11</v>
      </c>
      <c r="H1860" s="119" t="str">
        <f t="shared" si="330"/>
        <v/>
      </c>
      <c r="I1860" s="119">
        <f t="shared" si="331"/>
        <v>0.34</v>
      </c>
      <c r="J1860" s="115" t="str">
        <f t="shared" si="332"/>
        <v/>
      </c>
      <c r="K1860" s="102" t="str">
        <f>IF(A1860&amp;B1860="","",VLOOKUP(A1860&amp;B1860,INSUMOS!C:G,5,0))</f>
        <v>MT</v>
      </c>
    </row>
    <row r="1861" spans="1:17" ht="15" x14ac:dyDescent="0.25">
      <c r="A1861" s="109"/>
      <c r="B1861" s="116"/>
      <c r="C1861" s="518" t="str">
        <f>IF(A1861&amp;B1861="","",VLOOKUP(A1861&amp;B1861,INSUMOS!C:G,2,0))</f>
        <v/>
      </c>
      <c r="D1861" s="519"/>
      <c r="E1861" s="117" t="str">
        <f>IF(A1861&amp;B1861="","",VLOOKUP(A1861&amp;B1861,INSUMOS!C:G,3,0))</f>
        <v/>
      </c>
      <c r="F1861" s="118"/>
      <c r="G1861" s="113" t="str">
        <f>IF(A1861&amp;B1861="","",VLOOKUP(A1861&amp;B1861,INSUMOS!C:G,4,0))</f>
        <v/>
      </c>
      <c r="H1861" s="119" t="str">
        <f t="shared" si="330"/>
        <v/>
      </c>
      <c r="I1861" s="119" t="str">
        <f t="shared" si="331"/>
        <v/>
      </c>
      <c r="J1861" s="115" t="str">
        <f t="shared" si="332"/>
        <v/>
      </c>
      <c r="K1861" s="102" t="str">
        <f>IF(A1861&amp;B1861="","",VLOOKUP(A1861&amp;B1861,INSUMOS!C:G,5,0))</f>
        <v/>
      </c>
    </row>
    <row r="1862" spans="1:17" ht="15" x14ac:dyDescent="0.25">
      <c r="A1862" s="109"/>
      <c r="B1862" s="116"/>
      <c r="C1862" s="518" t="str">
        <f>IF(A1862&amp;B1862="","",VLOOKUP(A1862&amp;B1862,INSUMOS!C:G,2,0))</f>
        <v/>
      </c>
      <c r="D1862" s="519"/>
      <c r="E1862" s="117" t="str">
        <f>IF(A1862&amp;B1862="","",VLOOKUP(A1862&amp;B1862,INSUMOS!C:G,3,0))</f>
        <v/>
      </c>
      <c r="F1862" s="118"/>
      <c r="G1862" s="113" t="str">
        <f>IF(A1862&amp;B1862="","",VLOOKUP(A1862&amp;B1862,INSUMOS!C:G,4,0))</f>
        <v/>
      </c>
      <c r="H1862" s="119" t="str">
        <f t="shared" si="330"/>
        <v/>
      </c>
      <c r="I1862" s="119" t="str">
        <f t="shared" si="331"/>
        <v/>
      </c>
      <c r="J1862" s="115" t="str">
        <f t="shared" si="332"/>
        <v/>
      </c>
      <c r="K1862" s="102" t="str">
        <f>IF(A1862&amp;B1862="","",VLOOKUP(A1862&amp;B1862,INSUMOS!C:G,5,0))</f>
        <v/>
      </c>
    </row>
    <row r="1863" spans="1:17" ht="15" x14ac:dyDescent="0.25">
      <c r="A1863" s="109"/>
      <c r="B1863" s="116"/>
      <c r="C1863" s="518" t="str">
        <f>IF(A1863&amp;B1863="","",VLOOKUP(A1863&amp;B1863,INSUMOS!C:G,2,0))</f>
        <v/>
      </c>
      <c r="D1863" s="519"/>
      <c r="E1863" s="117" t="str">
        <f>IF(A1863&amp;B1863="","",VLOOKUP(A1863&amp;B1863,INSUMOS!C:G,3,0))</f>
        <v/>
      </c>
      <c r="F1863" s="118"/>
      <c r="G1863" s="113" t="str">
        <f>IF(A1863&amp;B1863="","",VLOOKUP(A1863&amp;B1863,INSUMOS!C:G,4,0))</f>
        <v/>
      </c>
      <c r="H1863" s="119" t="str">
        <f t="shared" si="330"/>
        <v/>
      </c>
      <c r="I1863" s="119" t="str">
        <f t="shared" si="331"/>
        <v/>
      </c>
      <c r="J1863" s="115" t="str">
        <f t="shared" si="332"/>
        <v/>
      </c>
      <c r="K1863" s="102" t="str">
        <f>IF(A1863&amp;B1863="","",VLOOKUP(A1863&amp;B1863,INSUMOS!C:G,5,0))</f>
        <v/>
      </c>
    </row>
    <row r="1864" spans="1:17" ht="15" x14ac:dyDescent="0.25">
      <c r="A1864" s="109"/>
      <c r="B1864" s="116"/>
      <c r="C1864" s="518" t="str">
        <f>IF(A1864&amp;B1864="","",VLOOKUP(A1864&amp;B1864,INSUMOS!C:G,2,0))</f>
        <v/>
      </c>
      <c r="D1864" s="519"/>
      <c r="E1864" s="117" t="str">
        <f>IF(A1864&amp;B1864="","",VLOOKUP(A1864&amp;B1864,INSUMOS!C:G,3,0))</f>
        <v/>
      </c>
      <c r="F1864" s="118"/>
      <c r="G1864" s="113" t="str">
        <f>IF(A1864&amp;B1864="","",VLOOKUP(A1864&amp;B1864,INSUMOS!C:G,4,0))</f>
        <v/>
      </c>
      <c r="H1864" s="119" t="str">
        <f t="shared" si="330"/>
        <v/>
      </c>
      <c r="I1864" s="119" t="str">
        <f t="shared" si="331"/>
        <v/>
      </c>
      <c r="J1864" s="115" t="str">
        <f t="shared" si="332"/>
        <v/>
      </c>
      <c r="K1864" s="102" t="str">
        <f>IF(A1864&amp;B1864="","",VLOOKUP(A1864&amp;B1864,INSUMOS!C:G,5,0))</f>
        <v/>
      </c>
    </row>
    <row r="1865" spans="1:17" ht="15" x14ac:dyDescent="0.25">
      <c r="A1865" s="120"/>
      <c r="B1865" s="121"/>
      <c r="C1865" s="518" t="str">
        <f>IF(A1865&amp;B1865="","",VLOOKUP(A1865&amp;B1865,INSUMOS!C:G,2,0))</f>
        <v/>
      </c>
      <c r="D1865" s="519"/>
      <c r="E1865" s="117" t="str">
        <f>IF(A1865&amp;B1865="","",VLOOKUP(A1865&amp;B1865,INSUMOS!C:G,3,0))</f>
        <v/>
      </c>
      <c r="F1865" s="118"/>
      <c r="G1865" s="122" t="str">
        <f>IF(A1865&amp;B1865="","",VLOOKUP(A1865&amp;B1865,INSUMOS!C:G,4,0))</f>
        <v/>
      </c>
      <c r="H1865" s="119" t="str">
        <f t="shared" si="330"/>
        <v/>
      </c>
      <c r="I1865" s="119" t="str">
        <f t="shared" si="331"/>
        <v/>
      </c>
      <c r="J1865" s="115" t="str">
        <f t="shared" si="332"/>
        <v/>
      </c>
      <c r="K1865" s="102" t="str">
        <f>IF(A1865&amp;B1865="","",VLOOKUP(A1865&amp;B1865,INSUMOS!C:G,5,0))</f>
        <v/>
      </c>
    </row>
    <row r="1866" spans="1:17" ht="15" x14ac:dyDescent="0.25">
      <c r="A1866" s="120"/>
      <c r="B1866" s="121"/>
      <c r="C1866" s="518" t="str">
        <f>IF(A1866&amp;B1866="","",VLOOKUP(A1866&amp;B1866,INSUMOS!C:G,2,0))</f>
        <v/>
      </c>
      <c r="D1866" s="519"/>
      <c r="E1866" s="117" t="str">
        <f>IF(A1866&amp;B1866="","",VLOOKUP(A1866&amp;B1866,INSUMOS!C:G,3,0))</f>
        <v/>
      </c>
      <c r="F1866" s="118"/>
      <c r="G1866" s="122" t="str">
        <f>IF(A1866&amp;B1866="","",VLOOKUP(A1866&amp;B1866,INSUMOS!C:G,4,0))</f>
        <v/>
      </c>
      <c r="H1866" s="119" t="str">
        <f t="shared" si="330"/>
        <v/>
      </c>
      <c r="I1866" s="119" t="str">
        <f t="shared" si="331"/>
        <v/>
      </c>
      <c r="J1866" s="115" t="str">
        <f t="shared" si="332"/>
        <v/>
      </c>
      <c r="K1866" s="102" t="str">
        <f>IF(A1866&amp;B1866="","",VLOOKUP(A1866&amp;B1866,INSUMOS!C:G,5,0))</f>
        <v/>
      </c>
    </row>
    <row r="1867" spans="1:17" ht="15" x14ac:dyDescent="0.25">
      <c r="A1867" s="120"/>
      <c r="B1867" s="121"/>
      <c r="C1867" s="518" t="str">
        <f>IF(A1867&amp;B1867="","",VLOOKUP(A1867&amp;B1867,INSUMOS!C:G,2,0))</f>
        <v/>
      </c>
      <c r="D1867" s="519"/>
      <c r="E1867" s="117" t="str">
        <f>IF(A1867&amp;B1867="","",VLOOKUP(A1867&amp;B1867,INSUMOS!C:G,3,0))</f>
        <v/>
      </c>
      <c r="F1867" s="118"/>
      <c r="G1867" s="122" t="str">
        <f>IF(A1867&amp;B1867="","",VLOOKUP(A1867&amp;B1867,INSUMOS!C:G,4,0))</f>
        <v/>
      </c>
      <c r="H1867" s="119" t="str">
        <f t="shared" si="330"/>
        <v/>
      </c>
      <c r="I1867" s="119" t="str">
        <f t="shared" si="331"/>
        <v/>
      </c>
      <c r="J1867" s="115" t="str">
        <f t="shared" si="332"/>
        <v/>
      </c>
      <c r="K1867" s="102" t="str">
        <f>IF(A1867&amp;B1867="","",VLOOKUP(A1867&amp;B1867,INSUMOS!C:G,5,0))</f>
        <v/>
      </c>
    </row>
    <row r="1868" spans="1:17" ht="15" x14ac:dyDescent="0.25">
      <c r="A1868" s="123" t="s">
        <v>4399</v>
      </c>
      <c r="B1868" s="542" t="s">
        <v>5185</v>
      </c>
      <c r="C1868" s="542"/>
      <c r="D1868" s="542"/>
      <c r="E1868" s="542"/>
      <c r="F1868" s="543"/>
      <c r="G1868" s="124" t="s">
        <v>50</v>
      </c>
      <c r="H1868" s="125">
        <f>SUM(H1855:H1867)</f>
        <v>5.57</v>
      </c>
      <c r="I1868" s="125">
        <f>SUM(I1855:I1867)</f>
        <v>3.1899999999999995</v>
      </c>
      <c r="J1868" s="126">
        <f>SUM(J1855:J1867)</f>
        <v>0</v>
      </c>
    </row>
    <row r="1869" spans="1:17" ht="15" x14ac:dyDescent="0.25">
      <c r="A1869" s="127" t="s">
        <v>4400</v>
      </c>
      <c r="B1869" s="128"/>
      <c r="C1869" s="128"/>
      <c r="D1869" s="127" t="s">
        <v>51</v>
      </c>
      <c r="E1869" s="128"/>
      <c r="F1869" s="129"/>
      <c r="G1869" s="130" t="s">
        <v>55</v>
      </c>
      <c r="H1869" s="131" t="s">
        <v>52</v>
      </c>
      <c r="I1869" s="132"/>
      <c r="J1869" s="125">
        <f>SUM(H1868:J1868)</f>
        <v>8.76</v>
      </c>
    </row>
    <row r="1870" spans="1:17" ht="15" x14ac:dyDescent="0.25">
      <c r="A1870" s="313" t="str">
        <f>$I$3</f>
        <v>Carlos Wieck</v>
      </c>
      <c r="B1870" s="133"/>
      <c r="C1870" s="133"/>
      <c r="D1870" s="134"/>
      <c r="E1870" s="133"/>
      <c r="F1870" s="135"/>
      <c r="G1870" s="522">
        <f>$J$5</f>
        <v>43040</v>
      </c>
      <c r="H1870" s="136" t="s">
        <v>53</v>
      </c>
      <c r="I1870" s="137"/>
      <c r="J1870" s="125">
        <f>TRUNC(I1870*J1869,2)</f>
        <v>0</v>
      </c>
    </row>
    <row r="1871" spans="1:17" ht="15" x14ac:dyDescent="0.25">
      <c r="A1871" s="314"/>
      <c r="B1871" s="139"/>
      <c r="C1871" s="139"/>
      <c r="D1871" s="138"/>
      <c r="E1871" s="139"/>
      <c r="F1871" s="140"/>
      <c r="G1871" s="523"/>
      <c r="H1871" s="141" t="s">
        <v>54</v>
      </c>
      <c r="I1871" s="142"/>
      <c r="J1871" s="143">
        <f>J1870+J1869</f>
        <v>8.76</v>
      </c>
      <c r="L1871" s="102" t="str">
        <f>A1852</f>
        <v>COMPOSIÇÃO</v>
      </c>
      <c r="M1871" s="144" t="str">
        <f>B1852</f>
        <v>FF-077</v>
      </c>
      <c r="N1871" s="102" t="str">
        <f>L1871&amp;M1871</f>
        <v>COMPOSIÇÃOFF-077</v>
      </c>
      <c r="O1871" s="103" t="str">
        <f>D1851</f>
        <v>Te, PVC, Soldável, DN 32mm, instalado em ramal ou sub-ramal de água fornecimento e instalação.</v>
      </c>
      <c r="P1871" s="145" t="str">
        <f>J1852</f>
        <v>un</v>
      </c>
      <c r="Q1871" s="145">
        <f>J1871</f>
        <v>8.76</v>
      </c>
    </row>
    <row r="1872" spans="1:17" ht="15" customHeight="1" x14ac:dyDescent="0.25">
      <c r="A1872" s="524" t="s">
        <v>40</v>
      </c>
      <c r="B1872" s="525"/>
      <c r="C1872" s="104" t="s">
        <v>41</v>
      </c>
      <c r="D1872" s="526" t="str">
        <f>IF(B1873="","",VLOOKUP(B1873,SERVIÇOS!B:E,3,0))</f>
        <v>Te, PVC, Soldável, DN 50mm, instalado em ramal ou sub-ramal de água fornecimento e instalação.</v>
      </c>
      <c r="E1872" s="526"/>
      <c r="F1872" s="526"/>
      <c r="G1872" s="526"/>
      <c r="H1872" s="526"/>
      <c r="I1872" s="527"/>
      <c r="J1872" s="105" t="s">
        <v>42</v>
      </c>
    </row>
    <row r="1873" spans="1:11" ht="15" x14ac:dyDescent="0.25">
      <c r="A1873" s="230" t="s">
        <v>4715</v>
      </c>
      <c r="B1873" s="230" t="s">
        <v>5199</v>
      </c>
      <c r="C1873" s="106"/>
      <c r="D1873" s="528"/>
      <c r="E1873" s="528"/>
      <c r="F1873" s="528"/>
      <c r="G1873" s="528"/>
      <c r="H1873" s="528"/>
      <c r="I1873" s="529"/>
      <c r="J1873" s="107" t="str">
        <f>IF(B1873="","",VLOOKUP(B1873,SERVIÇOS!B:E,4,0))</f>
        <v>un</v>
      </c>
    </row>
    <row r="1874" spans="1:11" ht="15" x14ac:dyDescent="0.25">
      <c r="A1874" s="530" t="s">
        <v>4397</v>
      </c>
      <c r="B1874" s="531" t="s">
        <v>11</v>
      </c>
      <c r="C1874" s="533" t="s">
        <v>43</v>
      </c>
      <c r="D1874" s="534"/>
      <c r="E1874" s="530" t="s">
        <v>13</v>
      </c>
      <c r="F1874" s="530" t="s">
        <v>44</v>
      </c>
      <c r="G1874" s="538" t="s">
        <v>45</v>
      </c>
      <c r="H1874" s="108" t="s">
        <v>46</v>
      </c>
      <c r="I1874" s="108"/>
      <c r="J1874" s="108"/>
    </row>
    <row r="1875" spans="1:11" ht="15" x14ac:dyDescent="0.25">
      <c r="A1875" s="530"/>
      <c r="B1875" s="532"/>
      <c r="C1875" s="535"/>
      <c r="D1875" s="536"/>
      <c r="E1875" s="537"/>
      <c r="F1875" s="537"/>
      <c r="G1875" s="539"/>
      <c r="H1875" s="108" t="s">
        <v>47</v>
      </c>
      <c r="I1875" s="108" t="s">
        <v>48</v>
      </c>
      <c r="J1875" s="108" t="s">
        <v>49</v>
      </c>
    </row>
    <row r="1876" spans="1:11" ht="15" x14ac:dyDescent="0.25">
      <c r="A1876" s="109" t="s">
        <v>4398</v>
      </c>
      <c r="B1876" s="110">
        <v>10119</v>
      </c>
      <c r="C1876" s="540" t="str">
        <f>IF(A1876&amp;B1876="","",VLOOKUP(A1876&amp;B1876,INSUMOS!C:G,2,0))</f>
        <v>Ajudante de encanador</v>
      </c>
      <c r="D1876" s="541"/>
      <c r="E1876" s="111" t="str">
        <f>IF(A1876&amp;B1876="","",VLOOKUP(A1876&amp;B1876,INSUMOS!C:G,3,0))</f>
        <v>h</v>
      </c>
      <c r="F1876" s="112">
        <v>0.2</v>
      </c>
      <c r="G1876" s="113">
        <f>IF(A1876&amp;B1876="","",VLOOKUP(A1876&amp;B1876,INSUMOS!C:G,4,0))</f>
        <v>10.985028</v>
      </c>
      <c r="H1876" s="114">
        <f>IF(K1876="MO",TRUNC(F1876*G1876,2),"")</f>
        <v>2.19</v>
      </c>
      <c r="I1876" s="114" t="str">
        <f>IF(K1876="MT",TRUNC(F1876*G1876,2),"")</f>
        <v/>
      </c>
      <c r="J1876" s="115" t="str">
        <f>IF(K1876="EQ",TRUNC(F1876*G1876,2),"")</f>
        <v/>
      </c>
      <c r="K1876" s="102" t="str">
        <f>IF(A1876&amp;B1876="","",VLOOKUP(A1876&amp;B1876,INSUMOS!C:G,5,0))</f>
        <v>MO</v>
      </c>
    </row>
    <row r="1877" spans="1:11" ht="15" x14ac:dyDescent="0.25">
      <c r="A1877" s="109" t="s">
        <v>4398</v>
      </c>
      <c r="B1877" s="116">
        <v>10118</v>
      </c>
      <c r="C1877" s="518" t="str">
        <f>IF(A1877&amp;B1877="","",VLOOKUP(A1877&amp;B1877,INSUMOS!C:G,2,0))</f>
        <v xml:space="preserve">Encanador </v>
      </c>
      <c r="D1877" s="519"/>
      <c r="E1877" s="117" t="str">
        <f>IF(A1877&amp;B1877="","",VLOOKUP(A1877&amp;B1877,INSUMOS!C:G,3,0))</f>
        <v>h</v>
      </c>
      <c r="F1877" s="118">
        <v>0.2</v>
      </c>
      <c r="G1877" s="113">
        <f>IF(A1877&amp;B1877="","",VLOOKUP(A1877&amp;B1877,INSUMOS!C:G,4,0))</f>
        <v>16.906036</v>
      </c>
      <c r="H1877" s="119">
        <f t="shared" ref="H1877:H1888" si="333">IF(K1877="MO",TRUNC(F1877*G1877,2),"")</f>
        <v>3.38</v>
      </c>
      <c r="I1877" s="119" t="str">
        <f t="shared" ref="I1877:I1888" si="334">IF(K1877="MT",TRUNC(F1877*G1877,2),"")</f>
        <v/>
      </c>
      <c r="J1877" s="115" t="str">
        <f t="shared" ref="J1877:J1888" si="335">IF(K1877="EQ",TRUNC(F1877*G1877,2),"")</f>
        <v/>
      </c>
      <c r="K1877" s="102" t="str">
        <f>IF(A1877&amp;B1877="","",VLOOKUP(A1877&amp;B1877,INSUMOS!C:G,5,0))</f>
        <v>MO</v>
      </c>
    </row>
    <row r="1878" spans="1:11" ht="15" x14ac:dyDescent="0.25">
      <c r="A1878" s="109" t="s">
        <v>4398</v>
      </c>
      <c r="B1878" s="116">
        <v>69513</v>
      </c>
      <c r="C1878" s="518" t="str">
        <f>IF(A1878&amp;B1878="","",VLOOKUP(A1878&amp;B1878,INSUMOS!C:G,2,0))</f>
        <v>Adesivo para tubos PVC</v>
      </c>
      <c r="D1878" s="519"/>
      <c r="E1878" s="117" t="str">
        <f>IF(A1878&amp;B1878="","",VLOOKUP(A1878&amp;B1878,INSUMOS!C:G,3,0))</f>
        <v>kg</v>
      </c>
      <c r="F1878" s="118">
        <v>1.0999999999999999E-2</v>
      </c>
      <c r="G1878" s="113">
        <f>IF(A1878&amp;B1878="","",VLOOKUP(A1878&amp;B1878,INSUMOS!C:G,4,0))</f>
        <v>42.49</v>
      </c>
      <c r="H1878" s="119" t="str">
        <f t="shared" si="333"/>
        <v/>
      </c>
      <c r="I1878" s="119">
        <f t="shared" si="334"/>
        <v>0.46</v>
      </c>
      <c r="J1878" s="115" t="str">
        <f t="shared" si="335"/>
        <v/>
      </c>
      <c r="K1878" s="102" t="str">
        <f>IF(A1878&amp;B1878="","",VLOOKUP(A1878&amp;B1878,INSUMOS!C:G,5,0))</f>
        <v>MT</v>
      </c>
    </row>
    <row r="1879" spans="1:11" ht="15" x14ac:dyDescent="0.25">
      <c r="A1879" s="109" t="s">
        <v>4398</v>
      </c>
      <c r="B1879" s="116">
        <v>38040</v>
      </c>
      <c r="C1879" s="518" t="str">
        <f>IF(A1879&amp;B1879="","",VLOOKUP(A1879&amp;B1879,INSUMOS!C:G,2,0))</f>
        <v>Lixa d´água, ref. Norton n° 80, Aquaflex ou equivalente</v>
      </c>
      <c r="D1879" s="519"/>
      <c r="E1879" s="117" t="str">
        <f>IF(A1879&amp;B1879="","",VLOOKUP(A1879&amp;B1879,INSUMOS!C:G,3,0))</f>
        <v>un</v>
      </c>
      <c r="F1879" s="118">
        <v>7.4999999999999997E-2</v>
      </c>
      <c r="G1879" s="113">
        <f>IF(A1879&amp;B1879="","",VLOOKUP(A1879&amp;B1879,INSUMOS!C:G,4,0))</f>
        <v>1.04</v>
      </c>
      <c r="H1879" s="119" t="str">
        <f t="shared" si="333"/>
        <v/>
      </c>
      <c r="I1879" s="119">
        <f t="shared" si="334"/>
        <v>7.0000000000000007E-2</v>
      </c>
      <c r="J1879" s="115" t="str">
        <f t="shared" si="335"/>
        <v/>
      </c>
      <c r="K1879" s="102" t="str">
        <f>IF(A1879&amp;B1879="","",VLOOKUP(A1879&amp;B1879,INSUMOS!C:G,5,0))</f>
        <v>MT</v>
      </c>
    </row>
    <row r="1880" spans="1:11" ht="15" x14ac:dyDescent="0.25">
      <c r="A1880" s="109" t="s">
        <v>4810</v>
      </c>
      <c r="B1880" s="116">
        <v>7142</v>
      </c>
      <c r="C1880" s="518" t="str">
        <f>IF(A1880&amp;B1880="","",VLOOKUP(A1880&amp;B1880,INSUMOS!C:G,2,0))</f>
        <v>Tê soldável,PVC, 90 fraus, 50 mm, para água fria predial (NBR 5648)</v>
      </c>
      <c r="D1880" s="519"/>
      <c r="E1880" s="117" t="str">
        <f>IF(A1880&amp;B1880="","",VLOOKUP(A1880&amp;B1880,INSUMOS!C:G,3,0))</f>
        <v>un</v>
      </c>
      <c r="F1880" s="118">
        <v>1</v>
      </c>
      <c r="G1880" s="113">
        <f>IF(A1880&amp;B1880="","",VLOOKUP(A1880&amp;B1880,INSUMOS!C:G,4,0))</f>
        <v>6.78</v>
      </c>
      <c r="H1880" s="119" t="str">
        <f t="shared" si="333"/>
        <v/>
      </c>
      <c r="I1880" s="119">
        <f t="shared" si="334"/>
        <v>6.78</v>
      </c>
      <c r="J1880" s="115" t="str">
        <f t="shared" si="335"/>
        <v/>
      </c>
      <c r="K1880" s="102" t="str">
        <f>IF(A1880&amp;B1880="","",VLOOKUP(A1880&amp;B1880,INSUMOS!C:G,5,0))</f>
        <v>MT</v>
      </c>
    </row>
    <row r="1881" spans="1:11" ht="15" x14ac:dyDescent="0.25">
      <c r="A1881" s="109" t="s">
        <v>4398</v>
      </c>
      <c r="B1881" s="116">
        <v>69514</v>
      </c>
      <c r="C1881" s="518" t="str">
        <f>IF(A1881&amp;B1881="","",VLOOKUP(A1881&amp;B1881,INSUMOS!C:G,2,0))</f>
        <v>Solução limpadora para PVC</v>
      </c>
      <c r="D1881" s="519"/>
      <c r="E1881" s="117" t="str">
        <f>IF(A1881&amp;B1881="","",VLOOKUP(A1881&amp;B1881,INSUMOS!C:G,3,0))</f>
        <v>l</v>
      </c>
      <c r="F1881" s="118">
        <v>1.2E-2</v>
      </c>
      <c r="G1881" s="113">
        <f>IF(A1881&amp;B1881="","",VLOOKUP(A1881&amp;B1881,INSUMOS!C:G,4,0))</f>
        <v>29.11</v>
      </c>
      <c r="H1881" s="119" t="str">
        <f t="shared" si="333"/>
        <v/>
      </c>
      <c r="I1881" s="119">
        <f t="shared" si="334"/>
        <v>0.34</v>
      </c>
      <c r="J1881" s="115" t="str">
        <f t="shared" si="335"/>
        <v/>
      </c>
      <c r="K1881" s="102" t="str">
        <f>IF(A1881&amp;B1881="","",VLOOKUP(A1881&amp;B1881,INSUMOS!C:G,5,0))</f>
        <v>MT</v>
      </c>
    </row>
    <row r="1882" spans="1:11" ht="15" x14ac:dyDescent="0.25">
      <c r="A1882" s="109"/>
      <c r="B1882" s="116"/>
      <c r="C1882" s="518" t="str">
        <f>IF(A1882&amp;B1882="","",VLOOKUP(A1882&amp;B1882,INSUMOS!C:G,2,0))</f>
        <v/>
      </c>
      <c r="D1882" s="519"/>
      <c r="E1882" s="117" t="str">
        <f>IF(A1882&amp;B1882="","",VLOOKUP(A1882&amp;B1882,INSUMOS!C:G,3,0))</f>
        <v/>
      </c>
      <c r="F1882" s="118"/>
      <c r="G1882" s="113" t="str">
        <f>IF(A1882&amp;B1882="","",VLOOKUP(A1882&amp;B1882,INSUMOS!C:G,4,0))</f>
        <v/>
      </c>
      <c r="H1882" s="119" t="str">
        <f t="shared" si="333"/>
        <v/>
      </c>
      <c r="I1882" s="119" t="str">
        <f t="shared" si="334"/>
        <v/>
      </c>
      <c r="J1882" s="115" t="str">
        <f t="shared" si="335"/>
        <v/>
      </c>
      <c r="K1882" s="102" t="str">
        <f>IF(A1882&amp;B1882="","",VLOOKUP(A1882&amp;B1882,INSUMOS!C:G,5,0))</f>
        <v/>
      </c>
    </row>
    <row r="1883" spans="1:11" ht="15" x14ac:dyDescent="0.25">
      <c r="A1883" s="109"/>
      <c r="B1883" s="116"/>
      <c r="C1883" s="518" t="str">
        <f>IF(A1883&amp;B1883="","",VLOOKUP(A1883&amp;B1883,INSUMOS!C:G,2,0))</f>
        <v/>
      </c>
      <c r="D1883" s="519"/>
      <c r="E1883" s="117" t="str">
        <f>IF(A1883&amp;B1883="","",VLOOKUP(A1883&amp;B1883,INSUMOS!C:G,3,0))</f>
        <v/>
      </c>
      <c r="F1883" s="118"/>
      <c r="G1883" s="113" t="str">
        <f>IF(A1883&amp;B1883="","",VLOOKUP(A1883&amp;B1883,INSUMOS!C:G,4,0))</f>
        <v/>
      </c>
      <c r="H1883" s="119" t="str">
        <f t="shared" si="333"/>
        <v/>
      </c>
      <c r="I1883" s="119" t="str">
        <f t="shared" si="334"/>
        <v/>
      </c>
      <c r="J1883" s="115" t="str">
        <f t="shared" si="335"/>
        <v/>
      </c>
      <c r="K1883" s="102" t="str">
        <f>IF(A1883&amp;B1883="","",VLOOKUP(A1883&amp;B1883,INSUMOS!C:G,5,0))</f>
        <v/>
      </c>
    </row>
    <row r="1884" spans="1:11" ht="15" x14ac:dyDescent="0.25">
      <c r="A1884" s="109"/>
      <c r="B1884" s="116"/>
      <c r="C1884" s="518" t="str">
        <f>IF(A1884&amp;B1884="","",VLOOKUP(A1884&amp;B1884,INSUMOS!C:G,2,0))</f>
        <v/>
      </c>
      <c r="D1884" s="519"/>
      <c r="E1884" s="117" t="str">
        <f>IF(A1884&amp;B1884="","",VLOOKUP(A1884&amp;B1884,INSUMOS!C:G,3,0))</f>
        <v/>
      </c>
      <c r="F1884" s="118"/>
      <c r="G1884" s="113" t="str">
        <f>IF(A1884&amp;B1884="","",VLOOKUP(A1884&amp;B1884,INSUMOS!C:G,4,0))</f>
        <v/>
      </c>
      <c r="H1884" s="119" t="str">
        <f t="shared" si="333"/>
        <v/>
      </c>
      <c r="I1884" s="119" t="str">
        <f t="shared" si="334"/>
        <v/>
      </c>
      <c r="J1884" s="115" t="str">
        <f t="shared" si="335"/>
        <v/>
      </c>
      <c r="K1884" s="102" t="str">
        <f>IF(A1884&amp;B1884="","",VLOOKUP(A1884&amp;B1884,INSUMOS!C:G,5,0))</f>
        <v/>
      </c>
    </row>
    <row r="1885" spans="1:11" ht="15" x14ac:dyDescent="0.25">
      <c r="A1885" s="109"/>
      <c r="B1885" s="116"/>
      <c r="C1885" s="518" t="str">
        <f>IF(A1885&amp;B1885="","",VLOOKUP(A1885&amp;B1885,INSUMOS!C:G,2,0))</f>
        <v/>
      </c>
      <c r="D1885" s="519"/>
      <c r="E1885" s="117" t="str">
        <f>IF(A1885&amp;B1885="","",VLOOKUP(A1885&amp;B1885,INSUMOS!C:G,3,0))</f>
        <v/>
      </c>
      <c r="F1885" s="118"/>
      <c r="G1885" s="113" t="str">
        <f>IF(A1885&amp;B1885="","",VLOOKUP(A1885&amp;B1885,INSUMOS!C:G,4,0))</f>
        <v/>
      </c>
      <c r="H1885" s="119" t="str">
        <f t="shared" si="333"/>
        <v/>
      </c>
      <c r="I1885" s="119" t="str">
        <f t="shared" si="334"/>
        <v/>
      </c>
      <c r="J1885" s="115" t="str">
        <f t="shared" si="335"/>
        <v/>
      </c>
      <c r="K1885" s="102" t="str">
        <f>IF(A1885&amp;B1885="","",VLOOKUP(A1885&amp;B1885,INSUMOS!C:G,5,0))</f>
        <v/>
      </c>
    </row>
    <row r="1886" spans="1:11" ht="15" x14ac:dyDescent="0.25">
      <c r="A1886" s="120"/>
      <c r="B1886" s="121"/>
      <c r="C1886" s="518" t="str">
        <f>IF(A1886&amp;B1886="","",VLOOKUP(A1886&amp;B1886,INSUMOS!C:G,2,0))</f>
        <v/>
      </c>
      <c r="D1886" s="519"/>
      <c r="E1886" s="117" t="str">
        <f>IF(A1886&amp;B1886="","",VLOOKUP(A1886&amp;B1886,INSUMOS!C:G,3,0))</f>
        <v/>
      </c>
      <c r="F1886" s="118"/>
      <c r="G1886" s="122" t="str">
        <f>IF(A1886&amp;B1886="","",VLOOKUP(A1886&amp;B1886,INSUMOS!C:G,4,0))</f>
        <v/>
      </c>
      <c r="H1886" s="119" t="str">
        <f t="shared" si="333"/>
        <v/>
      </c>
      <c r="I1886" s="119" t="str">
        <f t="shared" si="334"/>
        <v/>
      </c>
      <c r="J1886" s="115" t="str">
        <f t="shared" si="335"/>
        <v/>
      </c>
      <c r="K1886" s="102" t="str">
        <f>IF(A1886&amp;B1886="","",VLOOKUP(A1886&amp;B1886,INSUMOS!C:G,5,0))</f>
        <v/>
      </c>
    </row>
    <row r="1887" spans="1:11" ht="15" x14ac:dyDescent="0.25">
      <c r="A1887" s="120"/>
      <c r="B1887" s="121"/>
      <c r="C1887" s="518" t="str">
        <f>IF(A1887&amp;B1887="","",VLOOKUP(A1887&amp;B1887,INSUMOS!C:G,2,0))</f>
        <v/>
      </c>
      <c r="D1887" s="519"/>
      <c r="E1887" s="117" t="str">
        <f>IF(A1887&amp;B1887="","",VLOOKUP(A1887&amp;B1887,INSUMOS!C:G,3,0))</f>
        <v/>
      </c>
      <c r="F1887" s="118"/>
      <c r="G1887" s="122" t="str">
        <f>IF(A1887&amp;B1887="","",VLOOKUP(A1887&amp;B1887,INSUMOS!C:G,4,0))</f>
        <v/>
      </c>
      <c r="H1887" s="119" t="str">
        <f t="shared" si="333"/>
        <v/>
      </c>
      <c r="I1887" s="119" t="str">
        <f t="shared" si="334"/>
        <v/>
      </c>
      <c r="J1887" s="115" t="str">
        <f t="shared" si="335"/>
        <v/>
      </c>
      <c r="K1887" s="102" t="str">
        <f>IF(A1887&amp;B1887="","",VLOOKUP(A1887&amp;B1887,INSUMOS!C:G,5,0))</f>
        <v/>
      </c>
    </row>
    <row r="1888" spans="1:11" ht="15" x14ac:dyDescent="0.25">
      <c r="A1888" s="120"/>
      <c r="B1888" s="121"/>
      <c r="C1888" s="518" t="str">
        <f>IF(A1888&amp;B1888="","",VLOOKUP(A1888&amp;B1888,INSUMOS!C:G,2,0))</f>
        <v/>
      </c>
      <c r="D1888" s="519"/>
      <c r="E1888" s="117" t="str">
        <f>IF(A1888&amp;B1888="","",VLOOKUP(A1888&amp;B1888,INSUMOS!C:G,3,0))</f>
        <v/>
      </c>
      <c r="F1888" s="118"/>
      <c r="G1888" s="122" t="str">
        <f>IF(A1888&amp;B1888="","",VLOOKUP(A1888&amp;B1888,INSUMOS!C:G,4,0))</f>
        <v/>
      </c>
      <c r="H1888" s="119" t="str">
        <f t="shared" si="333"/>
        <v/>
      </c>
      <c r="I1888" s="119" t="str">
        <f t="shared" si="334"/>
        <v/>
      </c>
      <c r="J1888" s="115" t="str">
        <f t="shared" si="335"/>
        <v/>
      </c>
      <c r="K1888" s="102" t="str">
        <f>IF(A1888&amp;B1888="","",VLOOKUP(A1888&amp;B1888,INSUMOS!C:G,5,0))</f>
        <v/>
      </c>
    </row>
    <row r="1889" spans="1:17" ht="15" x14ac:dyDescent="0.25">
      <c r="A1889" s="123" t="s">
        <v>4399</v>
      </c>
      <c r="B1889" s="542" t="s">
        <v>5185</v>
      </c>
      <c r="C1889" s="542"/>
      <c r="D1889" s="542"/>
      <c r="E1889" s="542"/>
      <c r="F1889" s="543"/>
      <c r="G1889" s="124" t="s">
        <v>50</v>
      </c>
      <c r="H1889" s="125">
        <f>SUM(H1876:H1888)</f>
        <v>5.57</v>
      </c>
      <c r="I1889" s="125">
        <f>SUM(I1876:I1888)</f>
        <v>7.65</v>
      </c>
      <c r="J1889" s="126">
        <f>SUM(J1876:J1888)</f>
        <v>0</v>
      </c>
    </row>
    <row r="1890" spans="1:17" ht="15" x14ac:dyDescent="0.25">
      <c r="A1890" s="127" t="s">
        <v>4400</v>
      </c>
      <c r="B1890" s="128"/>
      <c r="C1890" s="128"/>
      <c r="D1890" s="127" t="s">
        <v>51</v>
      </c>
      <c r="E1890" s="128"/>
      <c r="F1890" s="129"/>
      <c r="G1890" s="130" t="s">
        <v>55</v>
      </c>
      <c r="H1890" s="131" t="s">
        <v>52</v>
      </c>
      <c r="I1890" s="132"/>
      <c r="J1890" s="125">
        <f>SUM(H1889:J1889)</f>
        <v>13.22</v>
      </c>
    </row>
    <row r="1891" spans="1:17" ht="15" x14ac:dyDescent="0.25">
      <c r="A1891" s="313" t="str">
        <f>$I$3</f>
        <v>Carlos Wieck</v>
      </c>
      <c r="B1891" s="133"/>
      <c r="C1891" s="133"/>
      <c r="D1891" s="134"/>
      <c r="E1891" s="133"/>
      <c r="F1891" s="135"/>
      <c r="G1891" s="522">
        <f>$J$5</f>
        <v>43040</v>
      </c>
      <c r="H1891" s="136" t="s">
        <v>53</v>
      </c>
      <c r="I1891" s="137"/>
      <c r="J1891" s="125">
        <f>TRUNC(I1891*J1890,2)</f>
        <v>0</v>
      </c>
    </row>
    <row r="1892" spans="1:17" ht="15" x14ac:dyDescent="0.25">
      <c r="A1892" s="314"/>
      <c r="B1892" s="139"/>
      <c r="C1892" s="139"/>
      <c r="D1892" s="138"/>
      <c r="E1892" s="139"/>
      <c r="F1892" s="140"/>
      <c r="G1892" s="523"/>
      <c r="H1892" s="141" t="s">
        <v>54</v>
      </c>
      <c r="I1892" s="142"/>
      <c r="J1892" s="143">
        <f>J1891+J1890</f>
        <v>13.22</v>
      </c>
      <c r="L1892" s="102" t="str">
        <f>A1873</f>
        <v>COMPOSIÇÃO</v>
      </c>
      <c r="M1892" s="144" t="str">
        <f>B1873</f>
        <v>FF-078</v>
      </c>
      <c r="N1892" s="102" t="str">
        <f>L1892&amp;M1892</f>
        <v>COMPOSIÇÃOFF-078</v>
      </c>
      <c r="O1892" s="103" t="str">
        <f>D1872</f>
        <v>Te, PVC, Soldável, DN 50mm, instalado em ramal ou sub-ramal de água fornecimento e instalação.</v>
      </c>
      <c r="P1892" s="145" t="str">
        <f>J1873</f>
        <v>un</v>
      </c>
      <c r="Q1892" s="145">
        <f>J1892</f>
        <v>13.22</v>
      </c>
    </row>
    <row r="1893" spans="1:17" ht="15" customHeight="1" x14ac:dyDescent="0.25">
      <c r="A1893" s="524" t="s">
        <v>40</v>
      </c>
      <c r="B1893" s="525"/>
      <c r="C1893" s="104" t="s">
        <v>41</v>
      </c>
      <c r="D1893" s="526" t="str">
        <f>IF(B1894="","",VLOOKUP(B1894,SERVIÇOS!B:E,3,0))</f>
        <v>Te, PVC, Soldável, DN 60mm, instalado em ramal ou sub-ramal de água fornecimento e instalação.</v>
      </c>
      <c r="E1893" s="526"/>
      <c r="F1893" s="526"/>
      <c r="G1893" s="526"/>
      <c r="H1893" s="526"/>
      <c r="I1893" s="527"/>
      <c r="J1893" s="105" t="s">
        <v>42</v>
      </c>
    </row>
    <row r="1894" spans="1:17" ht="15" x14ac:dyDescent="0.25">
      <c r="A1894" s="230" t="s">
        <v>4715</v>
      </c>
      <c r="B1894" s="230" t="s">
        <v>5200</v>
      </c>
      <c r="C1894" s="106"/>
      <c r="D1894" s="528"/>
      <c r="E1894" s="528"/>
      <c r="F1894" s="528"/>
      <c r="G1894" s="528"/>
      <c r="H1894" s="528"/>
      <c r="I1894" s="529"/>
      <c r="J1894" s="107" t="str">
        <f>IF(B1894="","",VLOOKUP(B1894,SERVIÇOS!B:E,4,0))</f>
        <v>un</v>
      </c>
    </row>
    <row r="1895" spans="1:17" ht="15" x14ac:dyDescent="0.25">
      <c r="A1895" s="530" t="s">
        <v>4397</v>
      </c>
      <c r="B1895" s="531" t="s">
        <v>11</v>
      </c>
      <c r="C1895" s="533" t="s">
        <v>43</v>
      </c>
      <c r="D1895" s="534"/>
      <c r="E1895" s="530" t="s">
        <v>13</v>
      </c>
      <c r="F1895" s="530" t="s">
        <v>44</v>
      </c>
      <c r="G1895" s="538" t="s">
        <v>45</v>
      </c>
      <c r="H1895" s="108" t="s">
        <v>46</v>
      </c>
      <c r="I1895" s="108"/>
      <c r="J1895" s="108"/>
    </row>
    <row r="1896" spans="1:17" ht="15" x14ac:dyDescent="0.25">
      <c r="A1896" s="530"/>
      <c r="B1896" s="532"/>
      <c r="C1896" s="535"/>
      <c r="D1896" s="536"/>
      <c r="E1896" s="537"/>
      <c r="F1896" s="537"/>
      <c r="G1896" s="539"/>
      <c r="H1896" s="108" t="s">
        <v>47</v>
      </c>
      <c r="I1896" s="108" t="s">
        <v>48</v>
      </c>
      <c r="J1896" s="108" t="s">
        <v>49</v>
      </c>
    </row>
    <row r="1897" spans="1:17" ht="15" x14ac:dyDescent="0.25">
      <c r="A1897" s="109" t="s">
        <v>4398</v>
      </c>
      <c r="B1897" s="110">
        <v>10119</v>
      </c>
      <c r="C1897" s="540" t="str">
        <f>IF(A1897&amp;B1897="","",VLOOKUP(A1897&amp;B1897,INSUMOS!C:G,2,0))</f>
        <v>Ajudante de encanador</v>
      </c>
      <c r="D1897" s="541"/>
      <c r="E1897" s="111" t="str">
        <f>IF(A1897&amp;B1897="","",VLOOKUP(A1897&amp;B1897,INSUMOS!C:G,3,0))</f>
        <v>h</v>
      </c>
      <c r="F1897" s="112">
        <v>0.2</v>
      </c>
      <c r="G1897" s="113">
        <f>IF(A1897&amp;B1897="","",VLOOKUP(A1897&amp;B1897,INSUMOS!C:G,4,0))</f>
        <v>10.985028</v>
      </c>
      <c r="H1897" s="114">
        <f>IF(K1897="MO",TRUNC(F1897*G1897,2),"")</f>
        <v>2.19</v>
      </c>
      <c r="I1897" s="114" t="str">
        <f>IF(K1897="MT",TRUNC(F1897*G1897,2),"")</f>
        <v/>
      </c>
      <c r="J1897" s="115" t="str">
        <f>IF(K1897="EQ",TRUNC(F1897*G1897,2),"")</f>
        <v/>
      </c>
      <c r="K1897" s="102" t="str">
        <f>IF(A1897&amp;B1897="","",VLOOKUP(A1897&amp;B1897,INSUMOS!C:G,5,0))</f>
        <v>MO</v>
      </c>
    </row>
    <row r="1898" spans="1:17" ht="15" x14ac:dyDescent="0.25">
      <c r="A1898" s="109" t="s">
        <v>4398</v>
      </c>
      <c r="B1898" s="116">
        <v>10118</v>
      </c>
      <c r="C1898" s="518" t="str">
        <f>IF(A1898&amp;B1898="","",VLOOKUP(A1898&amp;B1898,INSUMOS!C:G,2,0))</f>
        <v xml:space="preserve">Encanador </v>
      </c>
      <c r="D1898" s="519"/>
      <c r="E1898" s="117" t="str">
        <f>IF(A1898&amp;B1898="","",VLOOKUP(A1898&amp;B1898,INSUMOS!C:G,3,0))</f>
        <v>h</v>
      </c>
      <c r="F1898" s="118">
        <v>0.2</v>
      </c>
      <c r="G1898" s="113">
        <f>IF(A1898&amp;B1898="","",VLOOKUP(A1898&amp;B1898,INSUMOS!C:G,4,0))</f>
        <v>16.906036</v>
      </c>
      <c r="H1898" s="119">
        <f t="shared" ref="H1898:H1909" si="336">IF(K1898="MO",TRUNC(F1898*G1898,2),"")</f>
        <v>3.38</v>
      </c>
      <c r="I1898" s="119" t="str">
        <f t="shared" ref="I1898:I1909" si="337">IF(K1898="MT",TRUNC(F1898*G1898,2),"")</f>
        <v/>
      </c>
      <c r="J1898" s="115" t="str">
        <f t="shared" ref="J1898:J1909" si="338">IF(K1898="EQ",TRUNC(F1898*G1898,2),"")</f>
        <v/>
      </c>
      <c r="K1898" s="102" t="str">
        <f>IF(A1898&amp;B1898="","",VLOOKUP(A1898&amp;B1898,INSUMOS!C:G,5,0))</f>
        <v>MO</v>
      </c>
    </row>
    <row r="1899" spans="1:17" ht="15" x14ac:dyDescent="0.25">
      <c r="A1899" s="109" t="s">
        <v>4398</v>
      </c>
      <c r="B1899" s="116">
        <v>69513</v>
      </c>
      <c r="C1899" s="518" t="str">
        <f>IF(A1899&amp;B1899="","",VLOOKUP(A1899&amp;B1899,INSUMOS!C:G,2,0))</f>
        <v>Adesivo para tubos PVC</v>
      </c>
      <c r="D1899" s="519"/>
      <c r="E1899" s="117" t="str">
        <f>IF(A1899&amp;B1899="","",VLOOKUP(A1899&amp;B1899,INSUMOS!C:G,3,0))</f>
        <v>kg</v>
      </c>
      <c r="F1899" s="118">
        <v>1.0999999999999999E-2</v>
      </c>
      <c r="G1899" s="113">
        <f>IF(A1899&amp;B1899="","",VLOOKUP(A1899&amp;B1899,INSUMOS!C:G,4,0))</f>
        <v>42.49</v>
      </c>
      <c r="H1899" s="119" t="str">
        <f t="shared" si="336"/>
        <v/>
      </c>
      <c r="I1899" s="119">
        <f t="shared" si="337"/>
        <v>0.46</v>
      </c>
      <c r="J1899" s="115" t="str">
        <f t="shared" si="338"/>
        <v/>
      </c>
      <c r="K1899" s="102" t="str">
        <f>IF(A1899&amp;B1899="","",VLOOKUP(A1899&amp;B1899,INSUMOS!C:G,5,0))</f>
        <v>MT</v>
      </c>
    </row>
    <row r="1900" spans="1:17" ht="15" x14ac:dyDescent="0.25">
      <c r="A1900" s="109" t="s">
        <v>4398</v>
      </c>
      <c r="B1900" s="116">
        <v>38040</v>
      </c>
      <c r="C1900" s="518" t="str">
        <f>IF(A1900&amp;B1900="","",VLOOKUP(A1900&amp;B1900,INSUMOS!C:G,2,0))</f>
        <v>Lixa d´água, ref. Norton n° 80, Aquaflex ou equivalente</v>
      </c>
      <c r="D1900" s="519"/>
      <c r="E1900" s="117" t="str">
        <f>IF(A1900&amp;B1900="","",VLOOKUP(A1900&amp;B1900,INSUMOS!C:G,3,0))</f>
        <v>un</v>
      </c>
      <c r="F1900" s="118">
        <v>7.4999999999999997E-2</v>
      </c>
      <c r="G1900" s="113">
        <f>IF(A1900&amp;B1900="","",VLOOKUP(A1900&amp;B1900,INSUMOS!C:G,4,0))</f>
        <v>1.04</v>
      </c>
      <c r="H1900" s="119" t="str">
        <f t="shared" si="336"/>
        <v/>
      </c>
      <c r="I1900" s="119">
        <f t="shared" si="337"/>
        <v>7.0000000000000007E-2</v>
      </c>
      <c r="J1900" s="115" t="str">
        <f t="shared" si="338"/>
        <v/>
      </c>
      <c r="K1900" s="102" t="str">
        <f>IF(A1900&amp;B1900="","",VLOOKUP(A1900&amp;B1900,INSUMOS!C:G,5,0))</f>
        <v>MT</v>
      </c>
    </row>
    <row r="1901" spans="1:17" ht="15" x14ac:dyDescent="0.25">
      <c r="A1901" s="109" t="s">
        <v>4810</v>
      </c>
      <c r="B1901" s="116">
        <v>7143</v>
      </c>
      <c r="C1901" s="518" t="str">
        <f>IF(A1901&amp;B1901="","",VLOOKUP(A1901&amp;B1901,INSUMOS!C:G,2,0))</f>
        <v>Tê soldável,PVC, 90 fraus, 60 mm, para água fria predial (NBR 5648)</v>
      </c>
      <c r="D1901" s="519"/>
      <c r="E1901" s="117" t="str">
        <f>IF(A1901&amp;B1901="","",VLOOKUP(A1901&amp;B1901,INSUMOS!C:G,3,0))</f>
        <v>un</v>
      </c>
      <c r="F1901" s="118">
        <v>1</v>
      </c>
      <c r="G1901" s="113">
        <f>IF(A1901&amp;B1901="","",VLOOKUP(A1901&amp;B1901,INSUMOS!C:G,4,0))</f>
        <v>19.440000000000001</v>
      </c>
      <c r="H1901" s="119" t="str">
        <f t="shared" si="336"/>
        <v/>
      </c>
      <c r="I1901" s="119">
        <f t="shared" si="337"/>
        <v>19.440000000000001</v>
      </c>
      <c r="J1901" s="115" t="str">
        <f t="shared" si="338"/>
        <v/>
      </c>
      <c r="K1901" s="102" t="str">
        <f>IF(A1901&amp;B1901="","",VLOOKUP(A1901&amp;B1901,INSUMOS!C:G,5,0))</f>
        <v>MT</v>
      </c>
    </row>
    <row r="1902" spans="1:17" ht="15" x14ac:dyDescent="0.25">
      <c r="A1902" s="109" t="s">
        <v>4398</v>
      </c>
      <c r="B1902" s="116">
        <v>69514</v>
      </c>
      <c r="C1902" s="518" t="str">
        <f>IF(A1902&amp;B1902="","",VLOOKUP(A1902&amp;B1902,INSUMOS!C:G,2,0))</f>
        <v>Solução limpadora para PVC</v>
      </c>
      <c r="D1902" s="519"/>
      <c r="E1902" s="117" t="str">
        <f>IF(A1902&amp;B1902="","",VLOOKUP(A1902&amp;B1902,INSUMOS!C:G,3,0))</f>
        <v>l</v>
      </c>
      <c r="F1902" s="118">
        <v>1.2E-2</v>
      </c>
      <c r="G1902" s="113">
        <f>IF(A1902&amp;B1902="","",VLOOKUP(A1902&amp;B1902,INSUMOS!C:G,4,0))</f>
        <v>29.11</v>
      </c>
      <c r="H1902" s="119" t="str">
        <f t="shared" si="336"/>
        <v/>
      </c>
      <c r="I1902" s="119">
        <f t="shared" si="337"/>
        <v>0.34</v>
      </c>
      <c r="J1902" s="115" t="str">
        <f t="shared" si="338"/>
        <v/>
      </c>
      <c r="K1902" s="102" t="str">
        <f>IF(A1902&amp;B1902="","",VLOOKUP(A1902&amp;B1902,INSUMOS!C:G,5,0))</f>
        <v>MT</v>
      </c>
    </row>
    <row r="1903" spans="1:17" ht="15" x14ac:dyDescent="0.25">
      <c r="A1903" s="109"/>
      <c r="B1903" s="116"/>
      <c r="C1903" s="518" t="str">
        <f>IF(A1903&amp;B1903="","",VLOOKUP(A1903&amp;B1903,INSUMOS!C:G,2,0))</f>
        <v/>
      </c>
      <c r="D1903" s="519"/>
      <c r="E1903" s="117" t="str">
        <f>IF(A1903&amp;B1903="","",VLOOKUP(A1903&amp;B1903,INSUMOS!C:G,3,0))</f>
        <v/>
      </c>
      <c r="F1903" s="118"/>
      <c r="G1903" s="113" t="str">
        <f>IF(A1903&amp;B1903="","",VLOOKUP(A1903&amp;B1903,INSUMOS!C:G,4,0))</f>
        <v/>
      </c>
      <c r="H1903" s="119" t="str">
        <f t="shared" si="336"/>
        <v/>
      </c>
      <c r="I1903" s="119" t="str">
        <f t="shared" si="337"/>
        <v/>
      </c>
      <c r="J1903" s="115" t="str">
        <f t="shared" si="338"/>
        <v/>
      </c>
      <c r="K1903" s="102" t="str">
        <f>IF(A1903&amp;B1903="","",VLOOKUP(A1903&amp;B1903,INSUMOS!C:G,5,0))</f>
        <v/>
      </c>
    </row>
    <row r="1904" spans="1:17" ht="15" x14ac:dyDescent="0.25">
      <c r="A1904" s="109"/>
      <c r="B1904" s="116"/>
      <c r="C1904" s="518" t="str">
        <f>IF(A1904&amp;B1904="","",VLOOKUP(A1904&amp;B1904,INSUMOS!C:G,2,0))</f>
        <v/>
      </c>
      <c r="D1904" s="519"/>
      <c r="E1904" s="117" t="str">
        <f>IF(A1904&amp;B1904="","",VLOOKUP(A1904&amp;B1904,INSUMOS!C:G,3,0))</f>
        <v/>
      </c>
      <c r="F1904" s="118"/>
      <c r="G1904" s="113" t="str">
        <f>IF(A1904&amp;B1904="","",VLOOKUP(A1904&amp;B1904,INSUMOS!C:G,4,0))</f>
        <v/>
      </c>
      <c r="H1904" s="119" t="str">
        <f t="shared" si="336"/>
        <v/>
      </c>
      <c r="I1904" s="119" t="str">
        <f t="shared" si="337"/>
        <v/>
      </c>
      <c r="J1904" s="115" t="str">
        <f t="shared" si="338"/>
        <v/>
      </c>
      <c r="K1904" s="102" t="str">
        <f>IF(A1904&amp;B1904="","",VLOOKUP(A1904&amp;B1904,INSUMOS!C:G,5,0))</f>
        <v/>
      </c>
    </row>
    <row r="1905" spans="1:17" ht="15" x14ac:dyDescent="0.25">
      <c r="A1905" s="109"/>
      <c r="B1905" s="116"/>
      <c r="C1905" s="518" t="str">
        <f>IF(A1905&amp;B1905="","",VLOOKUP(A1905&amp;B1905,INSUMOS!C:G,2,0))</f>
        <v/>
      </c>
      <c r="D1905" s="519"/>
      <c r="E1905" s="117" t="str">
        <f>IF(A1905&amp;B1905="","",VLOOKUP(A1905&amp;B1905,INSUMOS!C:G,3,0))</f>
        <v/>
      </c>
      <c r="F1905" s="118"/>
      <c r="G1905" s="113" t="str">
        <f>IF(A1905&amp;B1905="","",VLOOKUP(A1905&amp;B1905,INSUMOS!C:G,4,0))</f>
        <v/>
      </c>
      <c r="H1905" s="119" t="str">
        <f t="shared" si="336"/>
        <v/>
      </c>
      <c r="I1905" s="119" t="str">
        <f t="shared" si="337"/>
        <v/>
      </c>
      <c r="J1905" s="115" t="str">
        <f t="shared" si="338"/>
        <v/>
      </c>
      <c r="K1905" s="102" t="str">
        <f>IF(A1905&amp;B1905="","",VLOOKUP(A1905&amp;B1905,INSUMOS!C:G,5,0))</f>
        <v/>
      </c>
    </row>
    <row r="1906" spans="1:17" ht="15" x14ac:dyDescent="0.25">
      <c r="A1906" s="109"/>
      <c r="B1906" s="116"/>
      <c r="C1906" s="518" t="str">
        <f>IF(A1906&amp;B1906="","",VLOOKUP(A1906&amp;B1906,INSUMOS!C:G,2,0))</f>
        <v/>
      </c>
      <c r="D1906" s="519"/>
      <c r="E1906" s="117" t="str">
        <f>IF(A1906&amp;B1906="","",VLOOKUP(A1906&amp;B1906,INSUMOS!C:G,3,0))</f>
        <v/>
      </c>
      <c r="F1906" s="118"/>
      <c r="G1906" s="113" t="str">
        <f>IF(A1906&amp;B1906="","",VLOOKUP(A1906&amp;B1906,INSUMOS!C:G,4,0))</f>
        <v/>
      </c>
      <c r="H1906" s="119" t="str">
        <f t="shared" si="336"/>
        <v/>
      </c>
      <c r="I1906" s="119" t="str">
        <f t="shared" si="337"/>
        <v/>
      </c>
      <c r="J1906" s="115" t="str">
        <f t="shared" si="338"/>
        <v/>
      </c>
      <c r="K1906" s="102" t="str">
        <f>IF(A1906&amp;B1906="","",VLOOKUP(A1906&amp;B1906,INSUMOS!C:G,5,0))</f>
        <v/>
      </c>
    </row>
    <row r="1907" spans="1:17" ht="15" x14ac:dyDescent="0.25">
      <c r="A1907" s="120"/>
      <c r="B1907" s="121"/>
      <c r="C1907" s="518" t="str">
        <f>IF(A1907&amp;B1907="","",VLOOKUP(A1907&amp;B1907,INSUMOS!C:G,2,0))</f>
        <v/>
      </c>
      <c r="D1907" s="519"/>
      <c r="E1907" s="117" t="str">
        <f>IF(A1907&amp;B1907="","",VLOOKUP(A1907&amp;B1907,INSUMOS!C:G,3,0))</f>
        <v/>
      </c>
      <c r="F1907" s="118"/>
      <c r="G1907" s="122" t="str">
        <f>IF(A1907&amp;B1907="","",VLOOKUP(A1907&amp;B1907,INSUMOS!C:G,4,0))</f>
        <v/>
      </c>
      <c r="H1907" s="119" t="str">
        <f t="shared" si="336"/>
        <v/>
      </c>
      <c r="I1907" s="119" t="str">
        <f t="shared" si="337"/>
        <v/>
      </c>
      <c r="J1907" s="115" t="str">
        <f t="shared" si="338"/>
        <v/>
      </c>
      <c r="K1907" s="102" t="str">
        <f>IF(A1907&amp;B1907="","",VLOOKUP(A1907&amp;B1907,INSUMOS!C:G,5,0))</f>
        <v/>
      </c>
    </row>
    <row r="1908" spans="1:17" ht="15" x14ac:dyDescent="0.25">
      <c r="A1908" s="120"/>
      <c r="B1908" s="121"/>
      <c r="C1908" s="518" t="str">
        <f>IF(A1908&amp;B1908="","",VLOOKUP(A1908&amp;B1908,INSUMOS!C:G,2,0))</f>
        <v/>
      </c>
      <c r="D1908" s="519"/>
      <c r="E1908" s="117" t="str">
        <f>IF(A1908&amp;B1908="","",VLOOKUP(A1908&amp;B1908,INSUMOS!C:G,3,0))</f>
        <v/>
      </c>
      <c r="F1908" s="118"/>
      <c r="G1908" s="122" t="str">
        <f>IF(A1908&amp;B1908="","",VLOOKUP(A1908&amp;B1908,INSUMOS!C:G,4,0))</f>
        <v/>
      </c>
      <c r="H1908" s="119" t="str">
        <f t="shared" si="336"/>
        <v/>
      </c>
      <c r="I1908" s="119" t="str">
        <f t="shared" si="337"/>
        <v/>
      </c>
      <c r="J1908" s="115" t="str">
        <f t="shared" si="338"/>
        <v/>
      </c>
      <c r="K1908" s="102" t="str">
        <f>IF(A1908&amp;B1908="","",VLOOKUP(A1908&amp;B1908,INSUMOS!C:G,5,0))</f>
        <v/>
      </c>
    </row>
    <row r="1909" spans="1:17" ht="15" x14ac:dyDescent="0.25">
      <c r="A1909" s="120"/>
      <c r="B1909" s="121"/>
      <c r="C1909" s="518" t="str">
        <f>IF(A1909&amp;B1909="","",VLOOKUP(A1909&amp;B1909,INSUMOS!C:G,2,0))</f>
        <v/>
      </c>
      <c r="D1909" s="519"/>
      <c r="E1909" s="117" t="str">
        <f>IF(A1909&amp;B1909="","",VLOOKUP(A1909&amp;B1909,INSUMOS!C:G,3,0))</f>
        <v/>
      </c>
      <c r="F1909" s="118"/>
      <c r="G1909" s="122" t="str">
        <f>IF(A1909&amp;B1909="","",VLOOKUP(A1909&amp;B1909,INSUMOS!C:G,4,0))</f>
        <v/>
      </c>
      <c r="H1909" s="119" t="str">
        <f t="shared" si="336"/>
        <v/>
      </c>
      <c r="I1909" s="119" t="str">
        <f t="shared" si="337"/>
        <v/>
      </c>
      <c r="J1909" s="115" t="str">
        <f t="shared" si="338"/>
        <v/>
      </c>
      <c r="K1909" s="102" t="str">
        <f>IF(A1909&amp;B1909="","",VLOOKUP(A1909&amp;B1909,INSUMOS!C:G,5,0))</f>
        <v/>
      </c>
    </row>
    <row r="1910" spans="1:17" ht="15" x14ac:dyDescent="0.25">
      <c r="A1910" s="123" t="s">
        <v>4399</v>
      </c>
      <c r="B1910" s="542" t="s">
        <v>5185</v>
      </c>
      <c r="C1910" s="542"/>
      <c r="D1910" s="542"/>
      <c r="E1910" s="542"/>
      <c r="F1910" s="543"/>
      <c r="G1910" s="124" t="s">
        <v>50</v>
      </c>
      <c r="H1910" s="125">
        <f>SUM(H1897:H1909)</f>
        <v>5.57</v>
      </c>
      <c r="I1910" s="125">
        <f>SUM(I1897:I1909)</f>
        <v>20.310000000000002</v>
      </c>
      <c r="J1910" s="126">
        <f>SUM(J1897:J1909)</f>
        <v>0</v>
      </c>
    </row>
    <row r="1911" spans="1:17" ht="15" x14ac:dyDescent="0.25">
      <c r="A1911" s="127" t="s">
        <v>4400</v>
      </c>
      <c r="B1911" s="128"/>
      <c r="C1911" s="128"/>
      <c r="D1911" s="127" t="s">
        <v>51</v>
      </c>
      <c r="E1911" s="128"/>
      <c r="F1911" s="129"/>
      <c r="G1911" s="130" t="s">
        <v>55</v>
      </c>
      <c r="H1911" s="131" t="s">
        <v>52</v>
      </c>
      <c r="I1911" s="132"/>
      <c r="J1911" s="125">
        <f>SUM(H1910:J1910)</f>
        <v>25.880000000000003</v>
      </c>
    </row>
    <row r="1912" spans="1:17" ht="15" x14ac:dyDescent="0.25">
      <c r="A1912" s="313" t="str">
        <f>$I$3</f>
        <v>Carlos Wieck</v>
      </c>
      <c r="B1912" s="133"/>
      <c r="C1912" s="133"/>
      <c r="D1912" s="134"/>
      <c r="E1912" s="133"/>
      <c r="F1912" s="135"/>
      <c r="G1912" s="522">
        <f>$J$5</f>
        <v>43040</v>
      </c>
      <c r="H1912" s="136" t="s">
        <v>53</v>
      </c>
      <c r="I1912" s="137"/>
      <c r="J1912" s="125">
        <f>TRUNC(I1912*J1911,2)</f>
        <v>0</v>
      </c>
    </row>
    <row r="1913" spans="1:17" ht="15" x14ac:dyDescent="0.25">
      <c r="A1913" s="314"/>
      <c r="B1913" s="139"/>
      <c r="C1913" s="139"/>
      <c r="D1913" s="138"/>
      <c r="E1913" s="139"/>
      <c r="F1913" s="140"/>
      <c r="G1913" s="523"/>
      <c r="H1913" s="141" t="s">
        <v>54</v>
      </c>
      <c r="I1913" s="142"/>
      <c r="J1913" s="143">
        <f>J1912+J1911</f>
        <v>25.880000000000003</v>
      </c>
      <c r="L1913" s="102" t="str">
        <f>A1894</f>
        <v>COMPOSIÇÃO</v>
      </c>
      <c r="M1913" s="144" t="str">
        <f>B1894</f>
        <v>FF-079</v>
      </c>
      <c r="N1913" s="102" t="str">
        <f>L1913&amp;M1913</f>
        <v>COMPOSIÇÃOFF-079</v>
      </c>
      <c r="O1913" s="103" t="str">
        <f>D1893</f>
        <v>Te, PVC, Soldável, DN 60mm, instalado em ramal ou sub-ramal de água fornecimento e instalação.</v>
      </c>
      <c r="P1913" s="145" t="str">
        <f>J1894</f>
        <v>un</v>
      </c>
      <c r="Q1913" s="145">
        <f>J1913</f>
        <v>25.880000000000003</v>
      </c>
    </row>
    <row r="1914" spans="1:17" ht="15" customHeight="1" x14ac:dyDescent="0.25">
      <c r="A1914" s="524" t="s">
        <v>40</v>
      </c>
      <c r="B1914" s="525"/>
      <c r="C1914" s="104" t="s">
        <v>41</v>
      </c>
      <c r="D1914" s="526" t="str">
        <f>IF(B1915="","",VLOOKUP(B1915,SERVIÇOS!B:E,3,0))</f>
        <v>Joelho 90 graus com bucha de latão, pvc, soldável  DN 25MM, X 3/4 instalado em ramal ou sub-ramal de água fornecimento e instalação.</v>
      </c>
      <c r="E1914" s="526"/>
      <c r="F1914" s="526"/>
      <c r="G1914" s="526"/>
      <c r="H1914" s="526"/>
      <c r="I1914" s="527"/>
      <c r="J1914" s="105" t="s">
        <v>42</v>
      </c>
    </row>
    <row r="1915" spans="1:17" ht="15" x14ac:dyDescent="0.25">
      <c r="A1915" s="230" t="s">
        <v>4715</v>
      </c>
      <c r="B1915" s="230" t="s">
        <v>5205</v>
      </c>
      <c r="C1915" s="106"/>
      <c r="D1915" s="528"/>
      <c r="E1915" s="528"/>
      <c r="F1915" s="528"/>
      <c r="G1915" s="528"/>
      <c r="H1915" s="528"/>
      <c r="I1915" s="529"/>
      <c r="J1915" s="107" t="str">
        <f>IF(B1915="","",VLOOKUP(B1915,SERVIÇOS!B:E,4,0))</f>
        <v>un</v>
      </c>
    </row>
    <row r="1916" spans="1:17" ht="15" x14ac:dyDescent="0.25">
      <c r="A1916" s="530" t="s">
        <v>4397</v>
      </c>
      <c r="B1916" s="531" t="s">
        <v>11</v>
      </c>
      <c r="C1916" s="533" t="s">
        <v>43</v>
      </c>
      <c r="D1916" s="534"/>
      <c r="E1916" s="530" t="s">
        <v>13</v>
      </c>
      <c r="F1916" s="530" t="s">
        <v>44</v>
      </c>
      <c r="G1916" s="538" t="s">
        <v>45</v>
      </c>
      <c r="H1916" s="108" t="s">
        <v>46</v>
      </c>
      <c r="I1916" s="108"/>
      <c r="J1916" s="108"/>
    </row>
    <row r="1917" spans="1:17" ht="15" x14ac:dyDescent="0.25">
      <c r="A1917" s="530"/>
      <c r="B1917" s="532"/>
      <c r="C1917" s="535"/>
      <c r="D1917" s="536"/>
      <c r="E1917" s="537"/>
      <c r="F1917" s="537"/>
      <c r="G1917" s="539"/>
      <c r="H1917" s="108" t="s">
        <v>47</v>
      </c>
      <c r="I1917" s="108" t="s">
        <v>48</v>
      </c>
      <c r="J1917" s="108" t="s">
        <v>49</v>
      </c>
    </row>
    <row r="1918" spans="1:17" ht="15" x14ac:dyDescent="0.25">
      <c r="A1918" s="109" t="s">
        <v>4398</v>
      </c>
      <c r="B1918" s="110">
        <v>10119</v>
      </c>
      <c r="C1918" s="540" t="str">
        <f>IF(A1918&amp;B1918="","",VLOOKUP(A1918&amp;B1918,INSUMOS!C:G,2,0))</f>
        <v>Ajudante de encanador</v>
      </c>
      <c r="D1918" s="541"/>
      <c r="E1918" s="111" t="str">
        <f>IF(A1918&amp;B1918="","",VLOOKUP(A1918&amp;B1918,INSUMOS!C:G,3,0))</f>
        <v>h</v>
      </c>
      <c r="F1918" s="112">
        <v>0.15</v>
      </c>
      <c r="G1918" s="113">
        <f>IF(A1918&amp;B1918="","",VLOOKUP(A1918&amp;B1918,INSUMOS!C:G,4,0))</f>
        <v>10.985028</v>
      </c>
      <c r="H1918" s="114">
        <f>IF(K1918="MO",TRUNC(F1918*G1918,2),"")</f>
        <v>1.64</v>
      </c>
      <c r="I1918" s="114" t="str">
        <f>IF(K1918="MT",TRUNC(F1918*G1918,2),"")</f>
        <v/>
      </c>
      <c r="J1918" s="115" t="str">
        <f>IF(K1918="EQ",TRUNC(F1918*G1918,2),"")</f>
        <v/>
      </c>
      <c r="K1918" s="102" t="str">
        <f>IF(A1918&amp;B1918="","",VLOOKUP(A1918&amp;B1918,INSUMOS!C:G,5,0))</f>
        <v>MO</v>
      </c>
    </row>
    <row r="1919" spans="1:17" ht="15" x14ac:dyDescent="0.25">
      <c r="A1919" s="109" t="s">
        <v>4398</v>
      </c>
      <c r="B1919" s="116">
        <v>10118</v>
      </c>
      <c r="C1919" s="518" t="str">
        <f>IF(A1919&amp;B1919="","",VLOOKUP(A1919&amp;B1919,INSUMOS!C:G,2,0))</f>
        <v xml:space="preserve">Encanador </v>
      </c>
      <c r="D1919" s="519"/>
      <c r="E1919" s="117" t="str">
        <f>IF(A1919&amp;B1919="","",VLOOKUP(A1919&amp;B1919,INSUMOS!C:G,3,0))</f>
        <v>h</v>
      </c>
      <c r="F1919" s="118">
        <v>0.15</v>
      </c>
      <c r="G1919" s="113">
        <f>IF(A1919&amp;B1919="","",VLOOKUP(A1919&amp;B1919,INSUMOS!C:G,4,0))</f>
        <v>16.906036</v>
      </c>
      <c r="H1919" s="119">
        <f t="shared" ref="H1919:H1930" si="339">IF(K1919="MO",TRUNC(F1919*G1919,2),"")</f>
        <v>2.5299999999999998</v>
      </c>
      <c r="I1919" s="119" t="str">
        <f t="shared" ref="I1919:I1930" si="340">IF(K1919="MT",TRUNC(F1919*G1919,2),"")</f>
        <v/>
      </c>
      <c r="J1919" s="115" t="str">
        <f t="shared" ref="J1919:J1930" si="341">IF(K1919="EQ",TRUNC(F1919*G1919,2),"")</f>
        <v/>
      </c>
      <c r="K1919" s="102" t="str">
        <f>IF(A1919&amp;B1919="","",VLOOKUP(A1919&amp;B1919,INSUMOS!C:G,5,0))</f>
        <v>MO</v>
      </c>
    </row>
    <row r="1920" spans="1:17" ht="15" x14ac:dyDescent="0.25">
      <c r="A1920" s="109" t="s">
        <v>4398</v>
      </c>
      <c r="B1920" s="116">
        <v>69513</v>
      </c>
      <c r="C1920" s="518" t="str">
        <f>IF(A1920&amp;B1920="","",VLOOKUP(A1920&amp;B1920,INSUMOS!C:G,2,0))</f>
        <v>Adesivo para tubos PVC</v>
      </c>
      <c r="D1920" s="519"/>
      <c r="E1920" s="117" t="str">
        <f>IF(A1920&amp;B1920="","",VLOOKUP(A1920&amp;B1920,INSUMOS!C:G,3,0))</f>
        <v>kg</v>
      </c>
      <c r="F1920" s="118">
        <v>7.0000000000000001E-3</v>
      </c>
      <c r="G1920" s="113">
        <f>IF(A1920&amp;B1920="","",VLOOKUP(A1920&amp;B1920,INSUMOS!C:G,4,0))</f>
        <v>42.49</v>
      </c>
      <c r="H1920" s="119" t="str">
        <f t="shared" si="339"/>
        <v/>
      </c>
      <c r="I1920" s="119">
        <f t="shared" si="340"/>
        <v>0.28999999999999998</v>
      </c>
      <c r="J1920" s="115" t="str">
        <f t="shared" si="341"/>
        <v/>
      </c>
      <c r="K1920" s="102" t="str">
        <f>IF(A1920&amp;B1920="","",VLOOKUP(A1920&amp;B1920,INSUMOS!C:G,5,0))</f>
        <v>MT</v>
      </c>
    </row>
    <row r="1921" spans="1:17" ht="15" x14ac:dyDescent="0.25">
      <c r="A1921" s="109" t="s">
        <v>4398</v>
      </c>
      <c r="B1921" s="116">
        <v>38040</v>
      </c>
      <c r="C1921" s="518" t="str">
        <f>IF(A1921&amp;B1921="","",VLOOKUP(A1921&amp;B1921,INSUMOS!C:G,2,0))</f>
        <v>Lixa d´água, ref. Norton n° 80, Aquaflex ou equivalente</v>
      </c>
      <c r="D1921" s="519"/>
      <c r="E1921" s="117" t="str">
        <f>IF(A1921&amp;B1921="","",VLOOKUP(A1921&amp;B1921,INSUMOS!C:G,3,0))</f>
        <v>un</v>
      </c>
      <c r="F1921" s="118">
        <v>0.05</v>
      </c>
      <c r="G1921" s="113">
        <f>IF(A1921&amp;B1921="","",VLOOKUP(A1921&amp;B1921,INSUMOS!C:G,4,0))</f>
        <v>1.04</v>
      </c>
      <c r="H1921" s="119" t="str">
        <f t="shared" si="339"/>
        <v/>
      </c>
      <c r="I1921" s="119">
        <f t="shared" si="340"/>
        <v>0.05</v>
      </c>
      <c r="J1921" s="115" t="str">
        <f t="shared" si="341"/>
        <v/>
      </c>
      <c r="K1921" s="102" t="str">
        <f>IF(A1921&amp;B1921="","",VLOOKUP(A1921&amp;B1921,INSUMOS!C:G,5,0))</f>
        <v>MT</v>
      </c>
    </row>
    <row r="1922" spans="1:17" ht="15" x14ac:dyDescent="0.25">
      <c r="A1922" s="109" t="s">
        <v>4810</v>
      </c>
      <c r="B1922" s="116">
        <v>3524</v>
      </c>
      <c r="C1922" s="518" t="str">
        <f>IF(A1922&amp;B1922="","",VLOOKUP(A1922&amp;B1922,INSUMOS!C:G,2,0))</f>
        <v>Joelho PVC sold 90G c/bucha de latão 25mmx3/4"</v>
      </c>
      <c r="D1922" s="519"/>
      <c r="E1922" s="117" t="str">
        <f>IF(A1922&amp;B1922="","",VLOOKUP(A1922&amp;B1922,INSUMOS!C:G,3,0))</f>
        <v>un</v>
      </c>
      <c r="F1922" s="118">
        <v>1</v>
      </c>
      <c r="G1922" s="113">
        <f>IF(A1922&amp;B1922="","",VLOOKUP(A1922&amp;B1922,INSUMOS!C:G,4,0))</f>
        <v>5.6</v>
      </c>
      <c r="H1922" s="119" t="str">
        <f t="shared" si="339"/>
        <v/>
      </c>
      <c r="I1922" s="119">
        <f t="shared" si="340"/>
        <v>5.6</v>
      </c>
      <c r="J1922" s="115" t="str">
        <f t="shared" si="341"/>
        <v/>
      </c>
      <c r="K1922" s="102" t="str">
        <f>IF(A1922&amp;B1922="","",VLOOKUP(A1922&amp;B1922,INSUMOS!C:G,5,0))</f>
        <v>MT</v>
      </c>
    </row>
    <row r="1923" spans="1:17" ht="15" x14ac:dyDescent="0.25">
      <c r="A1923" s="109" t="s">
        <v>4398</v>
      </c>
      <c r="B1923" s="116">
        <v>69514</v>
      </c>
      <c r="C1923" s="518" t="str">
        <f>IF(A1923&amp;B1923="","",VLOOKUP(A1923&amp;B1923,INSUMOS!C:G,2,0))</f>
        <v>Solução limpadora para PVC</v>
      </c>
      <c r="D1923" s="519"/>
      <c r="E1923" s="117" t="str">
        <f>IF(A1923&amp;B1923="","",VLOOKUP(A1923&amp;B1923,INSUMOS!C:G,3,0))</f>
        <v>l</v>
      </c>
      <c r="F1923" s="118">
        <v>8.0000000000000002E-3</v>
      </c>
      <c r="G1923" s="113">
        <f>IF(A1923&amp;B1923="","",VLOOKUP(A1923&amp;B1923,INSUMOS!C:G,4,0))</f>
        <v>29.11</v>
      </c>
      <c r="H1923" s="119" t="str">
        <f t="shared" si="339"/>
        <v/>
      </c>
      <c r="I1923" s="119">
        <f t="shared" si="340"/>
        <v>0.23</v>
      </c>
      <c r="J1923" s="115" t="str">
        <f t="shared" si="341"/>
        <v/>
      </c>
      <c r="K1923" s="102" t="str">
        <f>IF(A1923&amp;B1923="","",VLOOKUP(A1923&amp;B1923,INSUMOS!C:G,5,0))</f>
        <v>MT</v>
      </c>
    </row>
    <row r="1924" spans="1:17" ht="15" x14ac:dyDescent="0.25">
      <c r="A1924" s="109"/>
      <c r="B1924" s="116"/>
      <c r="C1924" s="518" t="str">
        <f>IF(A1924&amp;B1924="","",VLOOKUP(A1924&amp;B1924,INSUMOS!C:G,2,0))</f>
        <v/>
      </c>
      <c r="D1924" s="519"/>
      <c r="E1924" s="117" t="str">
        <f>IF(A1924&amp;B1924="","",VLOOKUP(A1924&amp;B1924,INSUMOS!C:G,3,0))</f>
        <v/>
      </c>
      <c r="F1924" s="118"/>
      <c r="G1924" s="113" t="str">
        <f>IF(A1924&amp;B1924="","",VLOOKUP(A1924&amp;B1924,INSUMOS!C:G,4,0))</f>
        <v/>
      </c>
      <c r="H1924" s="119" t="str">
        <f t="shared" si="339"/>
        <v/>
      </c>
      <c r="I1924" s="119" t="str">
        <f t="shared" si="340"/>
        <v/>
      </c>
      <c r="J1924" s="115" t="str">
        <f t="shared" si="341"/>
        <v/>
      </c>
      <c r="K1924" s="102" t="str">
        <f>IF(A1924&amp;B1924="","",VLOOKUP(A1924&amp;B1924,INSUMOS!C:G,5,0))</f>
        <v/>
      </c>
    </row>
    <row r="1925" spans="1:17" ht="15" x14ac:dyDescent="0.25">
      <c r="A1925" s="109"/>
      <c r="B1925" s="116"/>
      <c r="C1925" s="518" t="str">
        <f>IF(A1925&amp;B1925="","",VLOOKUP(A1925&amp;B1925,INSUMOS!C:G,2,0))</f>
        <v/>
      </c>
      <c r="D1925" s="519"/>
      <c r="E1925" s="117" t="str">
        <f>IF(A1925&amp;B1925="","",VLOOKUP(A1925&amp;B1925,INSUMOS!C:G,3,0))</f>
        <v/>
      </c>
      <c r="F1925" s="118"/>
      <c r="G1925" s="113" t="str">
        <f>IF(A1925&amp;B1925="","",VLOOKUP(A1925&amp;B1925,INSUMOS!C:G,4,0))</f>
        <v/>
      </c>
      <c r="H1925" s="119" t="str">
        <f t="shared" si="339"/>
        <v/>
      </c>
      <c r="I1925" s="119" t="str">
        <f t="shared" si="340"/>
        <v/>
      </c>
      <c r="J1925" s="115" t="str">
        <f t="shared" si="341"/>
        <v/>
      </c>
      <c r="K1925" s="102" t="str">
        <f>IF(A1925&amp;B1925="","",VLOOKUP(A1925&amp;B1925,INSUMOS!C:G,5,0))</f>
        <v/>
      </c>
    </row>
    <row r="1926" spans="1:17" ht="15" x14ac:dyDescent="0.25">
      <c r="A1926" s="109"/>
      <c r="B1926" s="116"/>
      <c r="C1926" s="518" t="str">
        <f>IF(A1926&amp;B1926="","",VLOOKUP(A1926&amp;B1926,INSUMOS!C:G,2,0))</f>
        <v/>
      </c>
      <c r="D1926" s="519"/>
      <c r="E1926" s="117" t="str">
        <f>IF(A1926&amp;B1926="","",VLOOKUP(A1926&amp;B1926,INSUMOS!C:G,3,0))</f>
        <v/>
      </c>
      <c r="F1926" s="118"/>
      <c r="G1926" s="113" t="str">
        <f>IF(A1926&amp;B1926="","",VLOOKUP(A1926&amp;B1926,INSUMOS!C:G,4,0))</f>
        <v/>
      </c>
      <c r="H1926" s="119" t="str">
        <f t="shared" si="339"/>
        <v/>
      </c>
      <c r="I1926" s="119" t="str">
        <f t="shared" si="340"/>
        <v/>
      </c>
      <c r="J1926" s="115" t="str">
        <f t="shared" si="341"/>
        <v/>
      </c>
      <c r="K1926" s="102" t="str">
        <f>IF(A1926&amp;B1926="","",VLOOKUP(A1926&amp;B1926,INSUMOS!C:G,5,0))</f>
        <v/>
      </c>
    </row>
    <row r="1927" spans="1:17" ht="15" x14ac:dyDescent="0.25">
      <c r="A1927" s="109"/>
      <c r="B1927" s="116"/>
      <c r="C1927" s="518" t="str">
        <f>IF(A1927&amp;B1927="","",VLOOKUP(A1927&amp;B1927,INSUMOS!C:G,2,0))</f>
        <v/>
      </c>
      <c r="D1927" s="519"/>
      <c r="E1927" s="117" t="str">
        <f>IF(A1927&amp;B1927="","",VLOOKUP(A1927&amp;B1927,INSUMOS!C:G,3,0))</f>
        <v/>
      </c>
      <c r="F1927" s="118"/>
      <c r="G1927" s="113" t="str">
        <f>IF(A1927&amp;B1927="","",VLOOKUP(A1927&amp;B1927,INSUMOS!C:G,4,0))</f>
        <v/>
      </c>
      <c r="H1927" s="119" t="str">
        <f t="shared" si="339"/>
        <v/>
      </c>
      <c r="I1927" s="119" t="str">
        <f t="shared" si="340"/>
        <v/>
      </c>
      <c r="J1927" s="115" t="str">
        <f t="shared" si="341"/>
        <v/>
      </c>
      <c r="K1927" s="102" t="str">
        <f>IF(A1927&amp;B1927="","",VLOOKUP(A1927&amp;B1927,INSUMOS!C:G,5,0))</f>
        <v/>
      </c>
    </row>
    <row r="1928" spans="1:17" ht="15" x14ac:dyDescent="0.25">
      <c r="A1928" s="120"/>
      <c r="B1928" s="121"/>
      <c r="C1928" s="518" t="str">
        <f>IF(A1928&amp;B1928="","",VLOOKUP(A1928&amp;B1928,INSUMOS!C:G,2,0))</f>
        <v/>
      </c>
      <c r="D1928" s="519"/>
      <c r="E1928" s="117" t="str">
        <f>IF(A1928&amp;B1928="","",VLOOKUP(A1928&amp;B1928,INSUMOS!C:G,3,0))</f>
        <v/>
      </c>
      <c r="F1928" s="118"/>
      <c r="G1928" s="122" t="str">
        <f>IF(A1928&amp;B1928="","",VLOOKUP(A1928&amp;B1928,INSUMOS!C:G,4,0))</f>
        <v/>
      </c>
      <c r="H1928" s="119" t="str">
        <f t="shared" si="339"/>
        <v/>
      </c>
      <c r="I1928" s="119" t="str">
        <f t="shared" si="340"/>
        <v/>
      </c>
      <c r="J1928" s="115" t="str">
        <f t="shared" si="341"/>
        <v/>
      </c>
      <c r="K1928" s="102" t="str">
        <f>IF(A1928&amp;B1928="","",VLOOKUP(A1928&amp;B1928,INSUMOS!C:G,5,0))</f>
        <v/>
      </c>
    </row>
    <row r="1929" spans="1:17" ht="15" x14ac:dyDescent="0.25">
      <c r="A1929" s="120"/>
      <c r="B1929" s="121"/>
      <c r="C1929" s="518" t="str">
        <f>IF(A1929&amp;B1929="","",VLOOKUP(A1929&amp;B1929,INSUMOS!C:G,2,0))</f>
        <v/>
      </c>
      <c r="D1929" s="519"/>
      <c r="E1929" s="117" t="str">
        <f>IF(A1929&amp;B1929="","",VLOOKUP(A1929&amp;B1929,INSUMOS!C:G,3,0))</f>
        <v/>
      </c>
      <c r="F1929" s="118"/>
      <c r="G1929" s="122" t="str">
        <f>IF(A1929&amp;B1929="","",VLOOKUP(A1929&amp;B1929,INSUMOS!C:G,4,0))</f>
        <v/>
      </c>
      <c r="H1929" s="119" t="str">
        <f t="shared" si="339"/>
        <v/>
      </c>
      <c r="I1929" s="119" t="str">
        <f t="shared" si="340"/>
        <v/>
      </c>
      <c r="J1929" s="115" t="str">
        <f t="shared" si="341"/>
        <v/>
      </c>
      <c r="K1929" s="102" t="str">
        <f>IF(A1929&amp;B1929="","",VLOOKUP(A1929&amp;B1929,INSUMOS!C:G,5,0))</f>
        <v/>
      </c>
    </row>
    <row r="1930" spans="1:17" ht="15" x14ac:dyDescent="0.25">
      <c r="A1930" s="120"/>
      <c r="B1930" s="121"/>
      <c r="C1930" s="518" t="str">
        <f>IF(A1930&amp;B1930="","",VLOOKUP(A1930&amp;B1930,INSUMOS!C:G,2,0))</f>
        <v/>
      </c>
      <c r="D1930" s="519"/>
      <c r="E1930" s="117" t="str">
        <f>IF(A1930&amp;B1930="","",VLOOKUP(A1930&amp;B1930,INSUMOS!C:G,3,0))</f>
        <v/>
      </c>
      <c r="F1930" s="118"/>
      <c r="G1930" s="122" t="str">
        <f>IF(A1930&amp;B1930="","",VLOOKUP(A1930&amp;B1930,INSUMOS!C:G,4,0))</f>
        <v/>
      </c>
      <c r="H1930" s="119" t="str">
        <f t="shared" si="339"/>
        <v/>
      </c>
      <c r="I1930" s="119" t="str">
        <f t="shared" si="340"/>
        <v/>
      </c>
      <c r="J1930" s="115" t="str">
        <f t="shared" si="341"/>
        <v/>
      </c>
      <c r="K1930" s="102" t="str">
        <f>IF(A1930&amp;B1930="","",VLOOKUP(A1930&amp;B1930,INSUMOS!C:G,5,0))</f>
        <v/>
      </c>
    </row>
    <row r="1931" spans="1:17" ht="15" x14ac:dyDescent="0.25">
      <c r="A1931" s="123" t="s">
        <v>4399</v>
      </c>
      <c r="B1931" s="542" t="s">
        <v>5207</v>
      </c>
      <c r="C1931" s="542"/>
      <c r="D1931" s="542"/>
      <c r="E1931" s="542"/>
      <c r="F1931" s="543"/>
      <c r="G1931" s="124" t="s">
        <v>50</v>
      </c>
      <c r="H1931" s="125">
        <f>SUM(H1918:H1930)</f>
        <v>4.17</v>
      </c>
      <c r="I1931" s="125">
        <f>SUM(I1918:I1930)</f>
        <v>6.17</v>
      </c>
      <c r="J1931" s="126">
        <f>SUM(J1918:J1930)</f>
        <v>0</v>
      </c>
    </row>
    <row r="1932" spans="1:17" ht="15" x14ac:dyDescent="0.25">
      <c r="A1932" s="127" t="s">
        <v>4400</v>
      </c>
      <c r="B1932" s="128"/>
      <c r="C1932" s="128"/>
      <c r="D1932" s="127" t="s">
        <v>51</v>
      </c>
      <c r="E1932" s="128"/>
      <c r="F1932" s="129"/>
      <c r="G1932" s="130" t="s">
        <v>55</v>
      </c>
      <c r="H1932" s="131" t="s">
        <v>52</v>
      </c>
      <c r="I1932" s="132"/>
      <c r="J1932" s="125">
        <f>SUM(H1931:J1931)</f>
        <v>10.34</v>
      </c>
    </row>
    <row r="1933" spans="1:17" ht="15" x14ac:dyDescent="0.25">
      <c r="A1933" s="313" t="str">
        <f>$I$3</f>
        <v>Carlos Wieck</v>
      </c>
      <c r="B1933" s="133"/>
      <c r="C1933" s="133"/>
      <c r="D1933" s="134"/>
      <c r="E1933" s="133"/>
      <c r="F1933" s="135"/>
      <c r="G1933" s="522">
        <f>$J$5</f>
        <v>43040</v>
      </c>
      <c r="H1933" s="136" t="s">
        <v>53</v>
      </c>
      <c r="I1933" s="137"/>
      <c r="J1933" s="125">
        <f>TRUNC(I1933*J1932,2)</f>
        <v>0</v>
      </c>
    </row>
    <row r="1934" spans="1:17" ht="15" x14ac:dyDescent="0.25">
      <c r="A1934" s="314"/>
      <c r="B1934" s="139"/>
      <c r="C1934" s="139"/>
      <c r="D1934" s="138"/>
      <c r="E1934" s="139"/>
      <c r="F1934" s="140"/>
      <c r="G1934" s="523"/>
      <c r="H1934" s="141" t="s">
        <v>54</v>
      </c>
      <c r="I1934" s="142"/>
      <c r="J1934" s="143">
        <f>J1933+J1932</f>
        <v>10.34</v>
      </c>
      <c r="L1934" s="102" t="str">
        <f>A1915</f>
        <v>COMPOSIÇÃO</v>
      </c>
      <c r="M1934" s="144" t="str">
        <f>B1915</f>
        <v>FF-080</v>
      </c>
      <c r="N1934" s="102" t="str">
        <f>L1934&amp;M1934</f>
        <v>COMPOSIÇÃOFF-080</v>
      </c>
      <c r="O1934" s="103" t="str">
        <f>D1914</f>
        <v>Joelho 90 graus com bucha de latão, pvc, soldável  DN 25MM, X 3/4 instalado em ramal ou sub-ramal de água fornecimento e instalação.</v>
      </c>
      <c r="P1934" s="145" t="str">
        <f>J1915</f>
        <v>un</v>
      </c>
      <c r="Q1934" s="145">
        <f>J1934</f>
        <v>10.34</v>
      </c>
    </row>
    <row r="1935" spans="1:17" ht="15" customHeight="1" x14ac:dyDescent="0.25">
      <c r="A1935" s="524" t="s">
        <v>40</v>
      </c>
      <c r="B1935" s="525"/>
      <c r="C1935" s="104" t="s">
        <v>41</v>
      </c>
      <c r="D1935" s="526" t="str">
        <f>IF(B1936="","",VLOOKUP(B1936,SERVIÇOS!B:E,3,0))</f>
        <v>União PVC, Soldável, 25 mm, para água fria predial instalado em ramal ou sub-ramal de água fornecimento e instalação.</v>
      </c>
      <c r="E1935" s="526"/>
      <c r="F1935" s="526"/>
      <c r="G1935" s="526"/>
      <c r="H1935" s="526"/>
      <c r="I1935" s="527"/>
      <c r="J1935" s="105" t="s">
        <v>42</v>
      </c>
    </row>
    <row r="1936" spans="1:17" ht="15" x14ac:dyDescent="0.25">
      <c r="A1936" s="230" t="s">
        <v>4715</v>
      </c>
      <c r="B1936" s="230" t="s">
        <v>5209</v>
      </c>
      <c r="C1936" s="106"/>
      <c r="D1936" s="528"/>
      <c r="E1936" s="528"/>
      <c r="F1936" s="528"/>
      <c r="G1936" s="528"/>
      <c r="H1936" s="528"/>
      <c r="I1936" s="529"/>
      <c r="J1936" s="107" t="str">
        <f>IF(B1936="","",VLOOKUP(B1936,SERVIÇOS!B:E,4,0))</f>
        <v>un</v>
      </c>
    </row>
    <row r="1937" spans="1:11" ht="15" x14ac:dyDescent="0.25">
      <c r="A1937" s="530" t="s">
        <v>4397</v>
      </c>
      <c r="B1937" s="531" t="s">
        <v>11</v>
      </c>
      <c r="C1937" s="533" t="s">
        <v>43</v>
      </c>
      <c r="D1937" s="534"/>
      <c r="E1937" s="530" t="s">
        <v>13</v>
      </c>
      <c r="F1937" s="530" t="s">
        <v>44</v>
      </c>
      <c r="G1937" s="538" t="s">
        <v>45</v>
      </c>
      <c r="H1937" s="108" t="s">
        <v>46</v>
      </c>
      <c r="I1937" s="108"/>
      <c r="J1937" s="108"/>
    </row>
    <row r="1938" spans="1:11" ht="15" x14ac:dyDescent="0.25">
      <c r="A1938" s="530"/>
      <c r="B1938" s="532"/>
      <c r="C1938" s="535"/>
      <c r="D1938" s="536"/>
      <c r="E1938" s="537"/>
      <c r="F1938" s="537"/>
      <c r="G1938" s="539"/>
      <c r="H1938" s="108" t="s">
        <v>47</v>
      </c>
      <c r="I1938" s="108" t="s">
        <v>48</v>
      </c>
      <c r="J1938" s="108" t="s">
        <v>49</v>
      </c>
    </row>
    <row r="1939" spans="1:11" ht="15" x14ac:dyDescent="0.25">
      <c r="A1939" s="109" t="s">
        <v>4398</v>
      </c>
      <c r="B1939" s="110">
        <v>10119</v>
      </c>
      <c r="C1939" s="540" t="str">
        <f>IF(A1939&amp;B1939="","",VLOOKUP(A1939&amp;B1939,INSUMOS!C:G,2,0))</f>
        <v>Ajudante de encanador</v>
      </c>
      <c r="D1939" s="541"/>
      <c r="E1939" s="111" t="str">
        <f>IF(A1939&amp;B1939="","",VLOOKUP(A1939&amp;B1939,INSUMOS!C:G,3,0))</f>
        <v>h</v>
      </c>
      <c r="F1939" s="112">
        <v>0.1</v>
      </c>
      <c r="G1939" s="113">
        <f>IF(A1939&amp;B1939="","",VLOOKUP(A1939&amp;B1939,INSUMOS!C:G,4,0))</f>
        <v>10.985028</v>
      </c>
      <c r="H1939" s="114">
        <f>IF(K1939="MO",TRUNC(F1939*G1939,2),"")</f>
        <v>1.0900000000000001</v>
      </c>
      <c r="I1939" s="114" t="str">
        <f>IF(K1939="MT",TRUNC(F1939*G1939,2),"")</f>
        <v/>
      </c>
      <c r="J1939" s="115" t="str">
        <f>IF(K1939="EQ",TRUNC(F1939*G1939,2),"")</f>
        <v/>
      </c>
      <c r="K1939" s="102" t="str">
        <f>IF(A1939&amp;B1939="","",VLOOKUP(A1939&amp;B1939,INSUMOS!C:G,5,0))</f>
        <v>MO</v>
      </c>
    </row>
    <row r="1940" spans="1:11" ht="15" x14ac:dyDescent="0.25">
      <c r="A1940" s="109" t="s">
        <v>4398</v>
      </c>
      <c r="B1940" s="116">
        <v>10118</v>
      </c>
      <c r="C1940" s="518" t="str">
        <f>IF(A1940&amp;B1940="","",VLOOKUP(A1940&amp;B1940,INSUMOS!C:G,2,0))</f>
        <v xml:space="preserve">Encanador </v>
      </c>
      <c r="D1940" s="519"/>
      <c r="E1940" s="117" t="str">
        <f>IF(A1940&amp;B1940="","",VLOOKUP(A1940&amp;B1940,INSUMOS!C:G,3,0))</f>
        <v>h</v>
      </c>
      <c r="F1940" s="118">
        <v>0.1</v>
      </c>
      <c r="G1940" s="113">
        <f>IF(A1940&amp;B1940="","",VLOOKUP(A1940&amp;B1940,INSUMOS!C:G,4,0))</f>
        <v>16.906036</v>
      </c>
      <c r="H1940" s="119">
        <f t="shared" ref="H1940:H1951" si="342">IF(K1940="MO",TRUNC(F1940*G1940,2),"")</f>
        <v>1.69</v>
      </c>
      <c r="I1940" s="119" t="str">
        <f t="shared" ref="I1940:I1951" si="343">IF(K1940="MT",TRUNC(F1940*G1940,2),"")</f>
        <v/>
      </c>
      <c r="J1940" s="115" t="str">
        <f t="shared" ref="J1940:J1951" si="344">IF(K1940="EQ",TRUNC(F1940*G1940,2),"")</f>
        <v/>
      </c>
      <c r="K1940" s="102" t="str">
        <f>IF(A1940&amp;B1940="","",VLOOKUP(A1940&amp;B1940,INSUMOS!C:G,5,0))</f>
        <v>MO</v>
      </c>
    </row>
    <row r="1941" spans="1:11" ht="15" x14ac:dyDescent="0.25">
      <c r="A1941" s="109" t="s">
        <v>4398</v>
      </c>
      <c r="B1941" s="116">
        <v>69513</v>
      </c>
      <c r="C1941" s="518" t="str">
        <f>IF(A1941&amp;B1941="","",VLOOKUP(A1941&amp;B1941,INSUMOS!C:G,2,0))</f>
        <v>Adesivo para tubos PVC</v>
      </c>
      <c r="D1941" s="519"/>
      <c r="E1941" s="117" t="str">
        <f>IF(A1941&amp;B1941="","",VLOOKUP(A1941&amp;B1941,INSUMOS!C:G,3,0))</f>
        <v>kg</v>
      </c>
      <c r="F1941" s="118">
        <v>7.0000000000000001E-3</v>
      </c>
      <c r="G1941" s="113">
        <f>IF(A1941&amp;B1941="","",VLOOKUP(A1941&amp;B1941,INSUMOS!C:G,4,0))</f>
        <v>42.49</v>
      </c>
      <c r="H1941" s="119" t="str">
        <f t="shared" si="342"/>
        <v/>
      </c>
      <c r="I1941" s="119">
        <f t="shared" si="343"/>
        <v>0.28999999999999998</v>
      </c>
      <c r="J1941" s="115" t="str">
        <f t="shared" si="344"/>
        <v/>
      </c>
      <c r="K1941" s="102" t="str">
        <f>IF(A1941&amp;B1941="","",VLOOKUP(A1941&amp;B1941,INSUMOS!C:G,5,0))</f>
        <v>MT</v>
      </c>
    </row>
    <row r="1942" spans="1:11" ht="15" x14ac:dyDescent="0.25">
      <c r="A1942" s="109" t="s">
        <v>4398</v>
      </c>
      <c r="B1942" s="116">
        <v>38040</v>
      </c>
      <c r="C1942" s="518" t="str">
        <f>IF(A1942&amp;B1942="","",VLOOKUP(A1942&amp;B1942,INSUMOS!C:G,2,0))</f>
        <v>Lixa d´água, ref. Norton n° 80, Aquaflex ou equivalente</v>
      </c>
      <c r="D1942" s="519"/>
      <c r="E1942" s="117" t="str">
        <f>IF(A1942&amp;B1942="","",VLOOKUP(A1942&amp;B1942,INSUMOS!C:G,3,0))</f>
        <v>un</v>
      </c>
      <c r="F1942" s="118">
        <v>0.05</v>
      </c>
      <c r="G1942" s="113">
        <f>IF(A1942&amp;B1942="","",VLOOKUP(A1942&amp;B1942,INSUMOS!C:G,4,0))</f>
        <v>1.04</v>
      </c>
      <c r="H1942" s="119" t="str">
        <f t="shared" si="342"/>
        <v/>
      </c>
      <c r="I1942" s="119">
        <f t="shared" si="343"/>
        <v>0.05</v>
      </c>
      <c r="J1942" s="115" t="str">
        <f t="shared" si="344"/>
        <v/>
      </c>
      <c r="K1942" s="102" t="str">
        <f>IF(A1942&amp;B1942="","",VLOOKUP(A1942&amp;B1942,INSUMOS!C:G,5,0))</f>
        <v>MT</v>
      </c>
    </row>
    <row r="1943" spans="1:11" ht="15" x14ac:dyDescent="0.25">
      <c r="A1943" s="109" t="s">
        <v>4810</v>
      </c>
      <c r="B1943" s="116">
        <v>9906</v>
      </c>
      <c r="C1943" s="518" t="str">
        <f>IF(A1943&amp;B1943="","",VLOOKUP(A1943&amp;B1943,INSUMOS!C:G,2,0))</f>
        <v>União PVC, Soldável, 25 mm, para água fria predial</v>
      </c>
      <c r="D1943" s="519"/>
      <c r="E1943" s="117" t="str">
        <f>IF(A1943&amp;B1943="","",VLOOKUP(A1943&amp;B1943,INSUMOS!C:G,3,0))</f>
        <v>un</v>
      </c>
      <c r="F1943" s="118">
        <v>1</v>
      </c>
      <c r="G1943" s="113">
        <f>IF(A1943&amp;B1943="","",VLOOKUP(A1943&amp;B1943,INSUMOS!C:G,4,0))</f>
        <v>6.11</v>
      </c>
      <c r="H1943" s="119" t="str">
        <f t="shared" si="342"/>
        <v/>
      </c>
      <c r="I1943" s="119">
        <f t="shared" si="343"/>
        <v>6.11</v>
      </c>
      <c r="J1943" s="115" t="str">
        <f t="shared" si="344"/>
        <v/>
      </c>
      <c r="K1943" s="102" t="str">
        <f>IF(A1943&amp;B1943="","",VLOOKUP(A1943&amp;B1943,INSUMOS!C:G,5,0))</f>
        <v>MT</v>
      </c>
    </row>
    <row r="1944" spans="1:11" ht="15" x14ac:dyDescent="0.25">
      <c r="A1944" s="109" t="s">
        <v>4398</v>
      </c>
      <c r="B1944" s="116">
        <v>69514</v>
      </c>
      <c r="C1944" s="518" t="str">
        <f>IF(A1944&amp;B1944="","",VLOOKUP(A1944&amp;B1944,INSUMOS!C:G,2,0))</f>
        <v>Solução limpadora para PVC</v>
      </c>
      <c r="D1944" s="519"/>
      <c r="E1944" s="117" t="str">
        <f>IF(A1944&amp;B1944="","",VLOOKUP(A1944&amp;B1944,INSUMOS!C:G,3,0))</f>
        <v>l</v>
      </c>
      <c r="F1944" s="118">
        <v>8.0000000000000002E-3</v>
      </c>
      <c r="G1944" s="113">
        <f>IF(A1944&amp;B1944="","",VLOOKUP(A1944&amp;B1944,INSUMOS!C:G,4,0))</f>
        <v>29.11</v>
      </c>
      <c r="H1944" s="119" t="str">
        <f t="shared" si="342"/>
        <v/>
      </c>
      <c r="I1944" s="119">
        <f t="shared" si="343"/>
        <v>0.23</v>
      </c>
      <c r="J1944" s="115" t="str">
        <f t="shared" si="344"/>
        <v/>
      </c>
      <c r="K1944" s="102" t="str">
        <f>IF(A1944&amp;B1944="","",VLOOKUP(A1944&amp;B1944,INSUMOS!C:G,5,0))</f>
        <v>MT</v>
      </c>
    </row>
    <row r="1945" spans="1:11" ht="15" x14ac:dyDescent="0.25">
      <c r="A1945" s="109"/>
      <c r="B1945" s="116"/>
      <c r="C1945" s="518" t="str">
        <f>IF(A1945&amp;B1945="","",VLOOKUP(A1945&amp;B1945,INSUMOS!C:G,2,0))</f>
        <v/>
      </c>
      <c r="D1945" s="519"/>
      <c r="E1945" s="117" t="str">
        <f>IF(A1945&amp;B1945="","",VLOOKUP(A1945&amp;B1945,INSUMOS!C:G,3,0))</f>
        <v/>
      </c>
      <c r="F1945" s="118"/>
      <c r="G1945" s="113" t="str">
        <f>IF(A1945&amp;B1945="","",VLOOKUP(A1945&amp;B1945,INSUMOS!C:G,4,0))</f>
        <v/>
      </c>
      <c r="H1945" s="119" t="str">
        <f t="shared" si="342"/>
        <v/>
      </c>
      <c r="I1945" s="119" t="str">
        <f t="shared" si="343"/>
        <v/>
      </c>
      <c r="J1945" s="115" t="str">
        <f t="shared" si="344"/>
        <v/>
      </c>
      <c r="K1945" s="102" t="str">
        <f>IF(A1945&amp;B1945="","",VLOOKUP(A1945&amp;B1945,INSUMOS!C:G,5,0))</f>
        <v/>
      </c>
    </row>
    <row r="1946" spans="1:11" ht="15" x14ac:dyDescent="0.25">
      <c r="A1946" s="109"/>
      <c r="B1946" s="116"/>
      <c r="C1946" s="518" t="str">
        <f>IF(A1946&amp;B1946="","",VLOOKUP(A1946&amp;B1946,INSUMOS!C:G,2,0))</f>
        <v/>
      </c>
      <c r="D1946" s="519"/>
      <c r="E1946" s="117" t="str">
        <f>IF(A1946&amp;B1946="","",VLOOKUP(A1946&amp;B1946,INSUMOS!C:G,3,0))</f>
        <v/>
      </c>
      <c r="F1946" s="118"/>
      <c r="G1946" s="113" t="str">
        <f>IF(A1946&amp;B1946="","",VLOOKUP(A1946&amp;B1946,INSUMOS!C:G,4,0))</f>
        <v/>
      </c>
      <c r="H1946" s="119" t="str">
        <f t="shared" si="342"/>
        <v/>
      </c>
      <c r="I1946" s="119" t="str">
        <f t="shared" si="343"/>
        <v/>
      </c>
      <c r="J1946" s="115" t="str">
        <f t="shared" si="344"/>
        <v/>
      </c>
      <c r="K1946" s="102" t="str">
        <f>IF(A1946&amp;B1946="","",VLOOKUP(A1946&amp;B1946,INSUMOS!C:G,5,0))</f>
        <v/>
      </c>
    </row>
    <row r="1947" spans="1:11" ht="15" x14ac:dyDescent="0.25">
      <c r="A1947" s="109"/>
      <c r="B1947" s="116"/>
      <c r="C1947" s="518" t="str">
        <f>IF(A1947&amp;B1947="","",VLOOKUP(A1947&amp;B1947,INSUMOS!C:G,2,0))</f>
        <v/>
      </c>
      <c r="D1947" s="519"/>
      <c r="E1947" s="117" t="str">
        <f>IF(A1947&amp;B1947="","",VLOOKUP(A1947&amp;B1947,INSUMOS!C:G,3,0))</f>
        <v/>
      </c>
      <c r="F1947" s="118"/>
      <c r="G1947" s="113" t="str">
        <f>IF(A1947&amp;B1947="","",VLOOKUP(A1947&amp;B1947,INSUMOS!C:G,4,0))</f>
        <v/>
      </c>
      <c r="H1947" s="119" t="str">
        <f t="shared" si="342"/>
        <v/>
      </c>
      <c r="I1947" s="119" t="str">
        <f t="shared" si="343"/>
        <v/>
      </c>
      <c r="J1947" s="115" t="str">
        <f t="shared" si="344"/>
        <v/>
      </c>
      <c r="K1947" s="102" t="str">
        <f>IF(A1947&amp;B1947="","",VLOOKUP(A1947&amp;B1947,INSUMOS!C:G,5,0))</f>
        <v/>
      </c>
    </row>
    <row r="1948" spans="1:11" ht="15" x14ac:dyDescent="0.25">
      <c r="A1948" s="109"/>
      <c r="B1948" s="116"/>
      <c r="C1948" s="518" t="str">
        <f>IF(A1948&amp;B1948="","",VLOOKUP(A1948&amp;B1948,INSUMOS!C:G,2,0))</f>
        <v/>
      </c>
      <c r="D1948" s="519"/>
      <c r="E1948" s="117" t="str">
        <f>IF(A1948&amp;B1948="","",VLOOKUP(A1948&amp;B1948,INSUMOS!C:G,3,0))</f>
        <v/>
      </c>
      <c r="F1948" s="118"/>
      <c r="G1948" s="113" t="str">
        <f>IF(A1948&amp;B1948="","",VLOOKUP(A1948&amp;B1948,INSUMOS!C:G,4,0))</f>
        <v/>
      </c>
      <c r="H1948" s="119" t="str">
        <f t="shared" si="342"/>
        <v/>
      </c>
      <c r="I1948" s="119" t="str">
        <f t="shared" si="343"/>
        <v/>
      </c>
      <c r="J1948" s="115" t="str">
        <f t="shared" si="344"/>
        <v/>
      </c>
      <c r="K1948" s="102" t="str">
        <f>IF(A1948&amp;B1948="","",VLOOKUP(A1948&amp;B1948,INSUMOS!C:G,5,0))</f>
        <v/>
      </c>
    </row>
    <row r="1949" spans="1:11" ht="15" x14ac:dyDescent="0.25">
      <c r="A1949" s="120"/>
      <c r="B1949" s="121"/>
      <c r="C1949" s="518" t="str">
        <f>IF(A1949&amp;B1949="","",VLOOKUP(A1949&amp;B1949,INSUMOS!C:G,2,0))</f>
        <v/>
      </c>
      <c r="D1949" s="519"/>
      <c r="E1949" s="117" t="str">
        <f>IF(A1949&amp;B1949="","",VLOOKUP(A1949&amp;B1949,INSUMOS!C:G,3,0))</f>
        <v/>
      </c>
      <c r="F1949" s="118"/>
      <c r="G1949" s="122" t="str">
        <f>IF(A1949&amp;B1949="","",VLOOKUP(A1949&amp;B1949,INSUMOS!C:G,4,0))</f>
        <v/>
      </c>
      <c r="H1949" s="119" t="str">
        <f t="shared" si="342"/>
        <v/>
      </c>
      <c r="I1949" s="119" t="str">
        <f t="shared" si="343"/>
        <v/>
      </c>
      <c r="J1949" s="115" t="str">
        <f t="shared" si="344"/>
        <v/>
      </c>
      <c r="K1949" s="102" t="str">
        <f>IF(A1949&amp;B1949="","",VLOOKUP(A1949&amp;B1949,INSUMOS!C:G,5,0))</f>
        <v/>
      </c>
    </row>
    <row r="1950" spans="1:11" ht="15" x14ac:dyDescent="0.25">
      <c r="A1950" s="120"/>
      <c r="B1950" s="121"/>
      <c r="C1950" s="518" t="str">
        <f>IF(A1950&amp;B1950="","",VLOOKUP(A1950&amp;B1950,INSUMOS!C:G,2,0))</f>
        <v/>
      </c>
      <c r="D1950" s="519"/>
      <c r="E1950" s="117" t="str">
        <f>IF(A1950&amp;B1950="","",VLOOKUP(A1950&amp;B1950,INSUMOS!C:G,3,0))</f>
        <v/>
      </c>
      <c r="F1950" s="118"/>
      <c r="G1950" s="122" t="str">
        <f>IF(A1950&amp;B1950="","",VLOOKUP(A1950&amp;B1950,INSUMOS!C:G,4,0))</f>
        <v/>
      </c>
      <c r="H1950" s="119" t="str">
        <f t="shared" si="342"/>
        <v/>
      </c>
      <c r="I1950" s="119" t="str">
        <f t="shared" si="343"/>
        <v/>
      </c>
      <c r="J1950" s="115" t="str">
        <f t="shared" si="344"/>
        <v/>
      </c>
      <c r="K1950" s="102" t="str">
        <f>IF(A1950&amp;B1950="","",VLOOKUP(A1950&amp;B1950,INSUMOS!C:G,5,0))</f>
        <v/>
      </c>
    </row>
    <row r="1951" spans="1:11" ht="15" x14ac:dyDescent="0.25">
      <c r="A1951" s="120"/>
      <c r="B1951" s="121"/>
      <c r="C1951" s="518" t="str">
        <f>IF(A1951&amp;B1951="","",VLOOKUP(A1951&amp;B1951,INSUMOS!C:G,2,0))</f>
        <v/>
      </c>
      <c r="D1951" s="519"/>
      <c r="E1951" s="117" t="str">
        <f>IF(A1951&amp;B1951="","",VLOOKUP(A1951&amp;B1951,INSUMOS!C:G,3,0))</f>
        <v/>
      </c>
      <c r="F1951" s="118"/>
      <c r="G1951" s="122" t="str">
        <f>IF(A1951&amp;B1951="","",VLOOKUP(A1951&amp;B1951,INSUMOS!C:G,4,0))</f>
        <v/>
      </c>
      <c r="H1951" s="119" t="str">
        <f t="shared" si="342"/>
        <v/>
      </c>
      <c r="I1951" s="119" t="str">
        <f t="shared" si="343"/>
        <v/>
      </c>
      <c r="J1951" s="115" t="str">
        <f t="shared" si="344"/>
        <v/>
      </c>
      <c r="K1951" s="102" t="str">
        <f>IF(A1951&amp;B1951="","",VLOOKUP(A1951&amp;B1951,INSUMOS!C:G,5,0))</f>
        <v/>
      </c>
    </row>
    <row r="1952" spans="1:11" ht="15" x14ac:dyDescent="0.25">
      <c r="A1952" s="123" t="s">
        <v>4399</v>
      </c>
      <c r="B1952" s="542" t="s">
        <v>5212</v>
      </c>
      <c r="C1952" s="542"/>
      <c r="D1952" s="542"/>
      <c r="E1952" s="542"/>
      <c r="F1952" s="543"/>
      <c r="G1952" s="124" t="s">
        <v>50</v>
      </c>
      <c r="H1952" s="125">
        <f>SUM(H1939:H1951)</f>
        <v>2.7800000000000002</v>
      </c>
      <c r="I1952" s="125">
        <f>SUM(I1939:I1951)</f>
        <v>6.6800000000000006</v>
      </c>
      <c r="J1952" s="126">
        <f>SUM(J1939:J1951)</f>
        <v>0</v>
      </c>
    </row>
    <row r="1953" spans="1:17" ht="15" x14ac:dyDescent="0.25">
      <c r="A1953" s="127" t="s">
        <v>4400</v>
      </c>
      <c r="B1953" s="128"/>
      <c r="C1953" s="128"/>
      <c r="D1953" s="127" t="s">
        <v>51</v>
      </c>
      <c r="E1953" s="128"/>
      <c r="F1953" s="129"/>
      <c r="G1953" s="130" t="s">
        <v>55</v>
      </c>
      <c r="H1953" s="131" t="s">
        <v>52</v>
      </c>
      <c r="I1953" s="132"/>
      <c r="J1953" s="125">
        <f>SUM(H1952:J1952)</f>
        <v>9.4600000000000009</v>
      </c>
    </row>
    <row r="1954" spans="1:17" ht="15" x14ac:dyDescent="0.25">
      <c r="A1954" s="313" t="str">
        <f>$I$3</f>
        <v>Carlos Wieck</v>
      </c>
      <c r="B1954" s="133"/>
      <c r="C1954" s="133"/>
      <c r="D1954" s="134"/>
      <c r="E1954" s="133"/>
      <c r="F1954" s="135"/>
      <c r="G1954" s="522">
        <f>$J$5</f>
        <v>43040</v>
      </c>
      <c r="H1954" s="136" t="s">
        <v>53</v>
      </c>
      <c r="I1954" s="137"/>
      <c r="J1954" s="125">
        <f>TRUNC(I1954*J1953,2)</f>
        <v>0</v>
      </c>
    </row>
    <row r="1955" spans="1:17" ht="15" x14ac:dyDescent="0.25">
      <c r="A1955" s="314"/>
      <c r="B1955" s="139"/>
      <c r="C1955" s="139"/>
      <c r="D1955" s="138"/>
      <c r="E1955" s="139"/>
      <c r="F1955" s="140"/>
      <c r="G1955" s="523"/>
      <c r="H1955" s="141" t="s">
        <v>54</v>
      </c>
      <c r="I1955" s="142"/>
      <c r="J1955" s="143">
        <f>J1954+J1953</f>
        <v>9.4600000000000009</v>
      </c>
      <c r="L1955" s="102" t="str">
        <f>A1936</f>
        <v>COMPOSIÇÃO</v>
      </c>
      <c r="M1955" s="144" t="str">
        <f>B1936</f>
        <v>FF-081</v>
      </c>
      <c r="N1955" s="102" t="str">
        <f>L1955&amp;M1955</f>
        <v>COMPOSIÇÃOFF-081</v>
      </c>
      <c r="O1955" s="103" t="str">
        <f>D1935</f>
        <v>União PVC, Soldável, 25 mm, para água fria predial instalado em ramal ou sub-ramal de água fornecimento e instalação.</v>
      </c>
      <c r="P1955" s="145" t="str">
        <f>J1936</f>
        <v>un</v>
      </c>
      <c r="Q1955" s="145">
        <f>J1955</f>
        <v>9.4600000000000009</v>
      </c>
    </row>
    <row r="1956" spans="1:17" ht="15" customHeight="1" x14ac:dyDescent="0.25">
      <c r="A1956" s="524" t="s">
        <v>40</v>
      </c>
      <c r="B1956" s="525"/>
      <c r="C1956" s="104" t="s">
        <v>41</v>
      </c>
      <c r="D1956" s="526" t="str">
        <f>IF(B1957="","",VLOOKUP(B1957,SERVIÇOS!B:E,3,0))</f>
        <v>Luva de redução soldável, PVC 25 mm X 20 mm, para água fria predial instalado em ramal ou sub-ramal de água fornecimento e instalação.</v>
      </c>
      <c r="E1956" s="526"/>
      <c r="F1956" s="526"/>
      <c r="G1956" s="526"/>
      <c r="H1956" s="526"/>
      <c r="I1956" s="527"/>
      <c r="J1956" s="105" t="s">
        <v>42</v>
      </c>
    </row>
    <row r="1957" spans="1:17" ht="15" x14ac:dyDescent="0.25">
      <c r="A1957" s="230" t="s">
        <v>4715</v>
      </c>
      <c r="B1957" s="230" t="s">
        <v>5214</v>
      </c>
      <c r="C1957" s="106"/>
      <c r="D1957" s="528"/>
      <c r="E1957" s="528"/>
      <c r="F1957" s="528"/>
      <c r="G1957" s="528"/>
      <c r="H1957" s="528"/>
      <c r="I1957" s="529"/>
      <c r="J1957" s="107" t="str">
        <f>IF(B1957="","",VLOOKUP(B1957,SERVIÇOS!B:E,4,0))</f>
        <v>un</v>
      </c>
    </row>
    <row r="1958" spans="1:17" ht="15" x14ac:dyDescent="0.25">
      <c r="A1958" s="530" t="s">
        <v>4397</v>
      </c>
      <c r="B1958" s="531" t="s">
        <v>11</v>
      </c>
      <c r="C1958" s="533" t="s">
        <v>43</v>
      </c>
      <c r="D1958" s="534"/>
      <c r="E1958" s="530" t="s">
        <v>13</v>
      </c>
      <c r="F1958" s="530" t="s">
        <v>44</v>
      </c>
      <c r="G1958" s="538" t="s">
        <v>45</v>
      </c>
      <c r="H1958" s="108" t="s">
        <v>46</v>
      </c>
      <c r="I1958" s="108"/>
      <c r="J1958" s="108"/>
    </row>
    <row r="1959" spans="1:17" ht="15" x14ac:dyDescent="0.25">
      <c r="A1959" s="530"/>
      <c r="B1959" s="532"/>
      <c r="C1959" s="535"/>
      <c r="D1959" s="536"/>
      <c r="E1959" s="537"/>
      <c r="F1959" s="537"/>
      <c r="G1959" s="539"/>
      <c r="H1959" s="108" t="s">
        <v>47</v>
      </c>
      <c r="I1959" s="108" t="s">
        <v>48</v>
      </c>
      <c r="J1959" s="108" t="s">
        <v>49</v>
      </c>
    </row>
    <row r="1960" spans="1:17" ht="15" x14ac:dyDescent="0.25">
      <c r="A1960" s="109" t="s">
        <v>4398</v>
      </c>
      <c r="B1960" s="110">
        <v>10119</v>
      </c>
      <c r="C1960" s="540" t="str">
        <f>IF(A1960&amp;B1960="","",VLOOKUP(A1960&amp;B1960,INSUMOS!C:G,2,0))</f>
        <v>Ajudante de encanador</v>
      </c>
      <c r="D1960" s="541"/>
      <c r="E1960" s="111" t="str">
        <f>IF(A1960&amp;B1960="","",VLOOKUP(A1960&amp;B1960,INSUMOS!C:G,3,0))</f>
        <v>h</v>
      </c>
      <c r="F1960" s="112">
        <v>5.1999999999999998E-2</v>
      </c>
      <c r="G1960" s="113">
        <f>IF(A1960&amp;B1960="","",VLOOKUP(A1960&amp;B1960,INSUMOS!C:G,4,0))</f>
        <v>10.985028</v>
      </c>
      <c r="H1960" s="114">
        <f>IF(K1960="MO",TRUNC(F1960*G1960,2),"")</f>
        <v>0.56999999999999995</v>
      </c>
      <c r="I1960" s="114" t="str">
        <f>IF(K1960="MT",TRUNC(F1960*G1960,2),"")</f>
        <v/>
      </c>
      <c r="J1960" s="115" t="str">
        <f>IF(K1960="EQ",TRUNC(F1960*G1960,2),"")</f>
        <v/>
      </c>
      <c r="K1960" s="102" t="str">
        <f>IF(A1960&amp;B1960="","",VLOOKUP(A1960&amp;B1960,INSUMOS!C:G,5,0))</f>
        <v>MO</v>
      </c>
    </row>
    <row r="1961" spans="1:17" ht="15" x14ac:dyDescent="0.25">
      <c r="A1961" s="109" t="s">
        <v>4398</v>
      </c>
      <c r="B1961" s="116">
        <v>10118</v>
      </c>
      <c r="C1961" s="518" t="str">
        <f>IF(A1961&amp;B1961="","",VLOOKUP(A1961&amp;B1961,INSUMOS!C:G,2,0))</f>
        <v xml:space="preserve">Encanador </v>
      </c>
      <c r="D1961" s="519"/>
      <c r="E1961" s="117" t="str">
        <f>IF(A1961&amp;B1961="","",VLOOKUP(A1961&amp;B1961,INSUMOS!C:G,3,0))</f>
        <v>h</v>
      </c>
      <c r="F1961" s="118">
        <v>5.1999999999999998E-2</v>
      </c>
      <c r="G1961" s="113">
        <f>IF(A1961&amp;B1961="","",VLOOKUP(A1961&amp;B1961,INSUMOS!C:G,4,0))</f>
        <v>16.906036</v>
      </c>
      <c r="H1961" s="119">
        <f t="shared" ref="H1961:H1972" si="345">IF(K1961="MO",TRUNC(F1961*G1961,2),"")</f>
        <v>0.87</v>
      </c>
      <c r="I1961" s="119" t="str">
        <f t="shared" ref="I1961:I1972" si="346">IF(K1961="MT",TRUNC(F1961*G1961,2),"")</f>
        <v/>
      </c>
      <c r="J1961" s="115" t="str">
        <f t="shared" ref="J1961:J1972" si="347">IF(K1961="EQ",TRUNC(F1961*G1961,2),"")</f>
        <v/>
      </c>
      <c r="K1961" s="102" t="str">
        <f>IF(A1961&amp;B1961="","",VLOOKUP(A1961&amp;B1961,INSUMOS!C:G,5,0))</f>
        <v>MO</v>
      </c>
    </row>
    <row r="1962" spans="1:17" ht="15" x14ac:dyDescent="0.25">
      <c r="A1962" s="109" t="s">
        <v>4398</v>
      </c>
      <c r="B1962" s="116">
        <v>69513</v>
      </c>
      <c r="C1962" s="518" t="str">
        <f>IF(A1962&amp;B1962="","",VLOOKUP(A1962&amp;B1962,INSUMOS!C:G,2,0))</f>
        <v>Adesivo para tubos PVC</v>
      </c>
      <c r="D1962" s="519"/>
      <c r="E1962" s="117" t="str">
        <f>IF(A1962&amp;B1962="","",VLOOKUP(A1962&amp;B1962,INSUMOS!C:G,3,0))</f>
        <v>kg</v>
      </c>
      <c r="F1962" s="118">
        <v>6.0000000000000001E-3</v>
      </c>
      <c r="G1962" s="113">
        <f>IF(A1962&amp;B1962="","",VLOOKUP(A1962&amp;B1962,INSUMOS!C:G,4,0))</f>
        <v>42.49</v>
      </c>
      <c r="H1962" s="119" t="str">
        <f t="shared" si="345"/>
        <v/>
      </c>
      <c r="I1962" s="119">
        <f t="shared" si="346"/>
        <v>0.25</v>
      </c>
      <c r="J1962" s="115" t="str">
        <f t="shared" si="347"/>
        <v/>
      </c>
      <c r="K1962" s="102" t="str">
        <f>IF(A1962&amp;B1962="","",VLOOKUP(A1962&amp;B1962,INSUMOS!C:G,5,0))</f>
        <v>MT</v>
      </c>
    </row>
    <row r="1963" spans="1:17" ht="15" x14ac:dyDescent="0.25">
      <c r="A1963" s="109" t="s">
        <v>4398</v>
      </c>
      <c r="B1963" s="116">
        <v>38040</v>
      </c>
      <c r="C1963" s="518" t="str">
        <f>IF(A1963&amp;B1963="","",VLOOKUP(A1963&amp;B1963,INSUMOS!C:G,2,0))</f>
        <v>Lixa d´água, ref. Norton n° 80, Aquaflex ou equivalente</v>
      </c>
      <c r="D1963" s="519"/>
      <c r="E1963" s="117" t="str">
        <f>IF(A1963&amp;B1963="","",VLOOKUP(A1963&amp;B1963,INSUMOS!C:G,3,0))</f>
        <v>un</v>
      </c>
      <c r="F1963" s="118">
        <v>2.5999999999999999E-2</v>
      </c>
      <c r="G1963" s="113">
        <f>IF(A1963&amp;B1963="","",VLOOKUP(A1963&amp;B1963,INSUMOS!C:G,4,0))</f>
        <v>1.04</v>
      </c>
      <c r="H1963" s="119" t="str">
        <f t="shared" si="345"/>
        <v/>
      </c>
      <c r="I1963" s="119">
        <f t="shared" si="346"/>
        <v>0.02</v>
      </c>
      <c r="J1963" s="115" t="str">
        <f t="shared" si="347"/>
        <v/>
      </c>
      <c r="K1963" s="102" t="str">
        <f>IF(A1963&amp;B1963="","",VLOOKUP(A1963&amp;B1963,INSUMOS!C:G,5,0))</f>
        <v>MT</v>
      </c>
    </row>
    <row r="1964" spans="1:17" ht="15" x14ac:dyDescent="0.25">
      <c r="A1964" s="109" t="s">
        <v>4810</v>
      </c>
      <c r="B1964" s="116">
        <v>3868</v>
      </c>
      <c r="C1964" s="518" t="str">
        <f>IF(A1964&amp;B1964="","",VLOOKUP(A1964&amp;B1964,INSUMOS!C:G,2,0))</f>
        <v>Luva de redução soldável, PVC 25 mm X 20 mm, para água fria predial</v>
      </c>
      <c r="D1964" s="519"/>
      <c r="E1964" s="117" t="str">
        <f>IF(A1964&amp;B1964="","",VLOOKUP(A1964&amp;B1964,INSUMOS!C:G,3,0))</f>
        <v>un</v>
      </c>
      <c r="F1964" s="118">
        <v>1</v>
      </c>
      <c r="G1964" s="113">
        <f>IF(A1964&amp;B1964="","",VLOOKUP(A1964&amp;B1964,INSUMOS!C:G,4,0))</f>
        <v>0.63</v>
      </c>
      <c r="H1964" s="119" t="str">
        <f t="shared" si="345"/>
        <v/>
      </c>
      <c r="I1964" s="119">
        <f t="shared" si="346"/>
        <v>0.63</v>
      </c>
      <c r="J1964" s="115" t="str">
        <f t="shared" si="347"/>
        <v/>
      </c>
      <c r="K1964" s="102" t="str">
        <f>IF(A1964&amp;B1964="","",VLOOKUP(A1964&amp;B1964,INSUMOS!C:G,5,0))</f>
        <v>MT</v>
      </c>
    </row>
    <row r="1965" spans="1:17" ht="15" x14ac:dyDescent="0.25">
      <c r="A1965" s="109" t="s">
        <v>4398</v>
      </c>
      <c r="B1965" s="116">
        <v>69514</v>
      </c>
      <c r="C1965" s="518" t="str">
        <f>IF(A1965&amp;B1965="","",VLOOKUP(A1965&amp;B1965,INSUMOS!C:G,2,0))</f>
        <v>Solução limpadora para PVC</v>
      </c>
      <c r="D1965" s="519"/>
      <c r="E1965" s="117" t="str">
        <f>IF(A1965&amp;B1965="","",VLOOKUP(A1965&amp;B1965,INSUMOS!C:G,3,0))</f>
        <v>l</v>
      </c>
      <c r="F1965" s="118">
        <v>6.0000000000000001E-3</v>
      </c>
      <c r="G1965" s="113">
        <f>IF(A1965&amp;B1965="","",VLOOKUP(A1965&amp;B1965,INSUMOS!C:G,4,0))</f>
        <v>29.11</v>
      </c>
      <c r="H1965" s="119" t="str">
        <f t="shared" si="345"/>
        <v/>
      </c>
      <c r="I1965" s="119">
        <f t="shared" si="346"/>
        <v>0.17</v>
      </c>
      <c r="J1965" s="115" t="str">
        <f t="shared" si="347"/>
        <v/>
      </c>
      <c r="K1965" s="102" t="str">
        <f>IF(A1965&amp;B1965="","",VLOOKUP(A1965&amp;B1965,INSUMOS!C:G,5,0))</f>
        <v>MT</v>
      </c>
    </row>
    <row r="1966" spans="1:17" ht="15" x14ac:dyDescent="0.25">
      <c r="A1966" s="109"/>
      <c r="B1966" s="116"/>
      <c r="C1966" s="518" t="str">
        <f>IF(A1966&amp;B1966="","",VLOOKUP(A1966&amp;B1966,INSUMOS!C:G,2,0))</f>
        <v/>
      </c>
      <c r="D1966" s="519"/>
      <c r="E1966" s="117" t="str">
        <f>IF(A1966&amp;B1966="","",VLOOKUP(A1966&amp;B1966,INSUMOS!C:G,3,0))</f>
        <v/>
      </c>
      <c r="F1966" s="118"/>
      <c r="G1966" s="113" t="str">
        <f>IF(A1966&amp;B1966="","",VLOOKUP(A1966&amp;B1966,INSUMOS!C:G,4,0))</f>
        <v/>
      </c>
      <c r="H1966" s="119" t="str">
        <f t="shared" si="345"/>
        <v/>
      </c>
      <c r="I1966" s="119" t="str">
        <f t="shared" si="346"/>
        <v/>
      </c>
      <c r="J1966" s="115" t="str">
        <f t="shared" si="347"/>
        <v/>
      </c>
      <c r="K1966" s="102" t="str">
        <f>IF(A1966&amp;B1966="","",VLOOKUP(A1966&amp;B1966,INSUMOS!C:G,5,0))</f>
        <v/>
      </c>
    </row>
    <row r="1967" spans="1:17" ht="15" x14ac:dyDescent="0.25">
      <c r="A1967" s="109"/>
      <c r="B1967" s="116"/>
      <c r="C1967" s="518" t="str">
        <f>IF(A1967&amp;B1967="","",VLOOKUP(A1967&amp;B1967,INSUMOS!C:G,2,0))</f>
        <v/>
      </c>
      <c r="D1967" s="519"/>
      <c r="E1967" s="117" t="str">
        <f>IF(A1967&amp;B1967="","",VLOOKUP(A1967&amp;B1967,INSUMOS!C:G,3,0))</f>
        <v/>
      </c>
      <c r="F1967" s="118"/>
      <c r="G1967" s="113" t="str">
        <f>IF(A1967&amp;B1967="","",VLOOKUP(A1967&amp;B1967,INSUMOS!C:G,4,0))</f>
        <v/>
      </c>
      <c r="H1967" s="119" t="str">
        <f t="shared" si="345"/>
        <v/>
      </c>
      <c r="I1967" s="119" t="str">
        <f t="shared" si="346"/>
        <v/>
      </c>
      <c r="J1967" s="115" t="str">
        <f t="shared" si="347"/>
        <v/>
      </c>
      <c r="K1967" s="102" t="str">
        <f>IF(A1967&amp;B1967="","",VLOOKUP(A1967&amp;B1967,INSUMOS!C:G,5,0))</f>
        <v/>
      </c>
    </row>
    <row r="1968" spans="1:17" ht="15" x14ac:dyDescent="0.25">
      <c r="A1968" s="109"/>
      <c r="B1968" s="116"/>
      <c r="C1968" s="518" t="str">
        <f>IF(A1968&amp;B1968="","",VLOOKUP(A1968&amp;B1968,INSUMOS!C:G,2,0))</f>
        <v/>
      </c>
      <c r="D1968" s="519"/>
      <c r="E1968" s="117" t="str">
        <f>IF(A1968&amp;B1968="","",VLOOKUP(A1968&amp;B1968,INSUMOS!C:G,3,0))</f>
        <v/>
      </c>
      <c r="F1968" s="118"/>
      <c r="G1968" s="113" t="str">
        <f>IF(A1968&amp;B1968="","",VLOOKUP(A1968&amp;B1968,INSUMOS!C:G,4,0))</f>
        <v/>
      </c>
      <c r="H1968" s="119" t="str">
        <f t="shared" si="345"/>
        <v/>
      </c>
      <c r="I1968" s="119" t="str">
        <f t="shared" si="346"/>
        <v/>
      </c>
      <c r="J1968" s="115" t="str">
        <f t="shared" si="347"/>
        <v/>
      </c>
      <c r="K1968" s="102" t="str">
        <f>IF(A1968&amp;B1968="","",VLOOKUP(A1968&amp;B1968,INSUMOS!C:G,5,0))</f>
        <v/>
      </c>
    </row>
    <row r="1969" spans="1:17" ht="15" x14ac:dyDescent="0.25">
      <c r="A1969" s="109"/>
      <c r="B1969" s="116"/>
      <c r="C1969" s="518" t="str">
        <f>IF(A1969&amp;B1969="","",VLOOKUP(A1969&amp;B1969,INSUMOS!C:G,2,0))</f>
        <v/>
      </c>
      <c r="D1969" s="519"/>
      <c r="E1969" s="117" t="str">
        <f>IF(A1969&amp;B1969="","",VLOOKUP(A1969&amp;B1969,INSUMOS!C:G,3,0))</f>
        <v/>
      </c>
      <c r="F1969" s="118"/>
      <c r="G1969" s="113" t="str">
        <f>IF(A1969&amp;B1969="","",VLOOKUP(A1969&amp;B1969,INSUMOS!C:G,4,0))</f>
        <v/>
      </c>
      <c r="H1969" s="119" t="str">
        <f t="shared" si="345"/>
        <v/>
      </c>
      <c r="I1969" s="119" t="str">
        <f t="shared" si="346"/>
        <v/>
      </c>
      <c r="J1969" s="115" t="str">
        <f t="shared" si="347"/>
        <v/>
      </c>
      <c r="K1969" s="102" t="str">
        <f>IF(A1969&amp;B1969="","",VLOOKUP(A1969&amp;B1969,INSUMOS!C:G,5,0))</f>
        <v/>
      </c>
    </row>
    <row r="1970" spans="1:17" ht="15" x14ac:dyDescent="0.25">
      <c r="A1970" s="120"/>
      <c r="B1970" s="121"/>
      <c r="C1970" s="518" t="str">
        <f>IF(A1970&amp;B1970="","",VLOOKUP(A1970&amp;B1970,INSUMOS!C:G,2,0))</f>
        <v/>
      </c>
      <c r="D1970" s="519"/>
      <c r="E1970" s="117" t="str">
        <f>IF(A1970&amp;B1970="","",VLOOKUP(A1970&amp;B1970,INSUMOS!C:G,3,0))</f>
        <v/>
      </c>
      <c r="F1970" s="118"/>
      <c r="G1970" s="122" t="str">
        <f>IF(A1970&amp;B1970="","",VLOOKUP(A1970&amp;B1970,INSUMOS!C:G,4,0))</f>
        <v/>
      </c>
      <c r="H1970" s="119" t="str">
        <f t="shared" si="345"/>
        <v/>
      </c>
      <c r="I1970" s="119" t="str">
        <f t="shared" si="346"/>
        <v/>
      </c>
      <c r="J1970" s="115" t="str">
        <f t="shared" si="347"/>
        <v/>
      </c>
      <c r="K1970" s="102" t="str">
        <f>IF(A1970&amp;B1970="","",VLOOKUP(A1970&amp;B1970,INSUMOS!C:G,5,0))</f>
        <v/>
      </c>
    </row>
    <row r="1971" spans="1:17" ht="15" x14ac:dyDescent="0.25">
      <c r="A1971" s="120"/>
      <c r="B1971" s="121"/>
      <c r="C1971" s="518" t="str">
        <f>IF(A1971&amp;B1971="","",VLOOKUP(A1971&amp;B1971,INSUMOS!C:G,2,0))</f>
        <v/>
      </c>
      <c r="D1971" s="519"/>
      <c r="E1971" s="117" t="str">
        <f>IF(A1971&amp;B1971="","",VLOOKUP(A1971&amp;B1971,INSUMOS!C:G,3,0))</f>
        <v/>
      </c>
      <c r="F1971" s="118"/>
      <c r="G1971" s="122" t="str">
        <f>IF(A1971&amp;B1971="","",VLOOKUP(A1971&amp;B1971,INSUMOS!C:G,4,0))</f>
        <v/>
      </c>
      <c r="H1971" s="119" t="str">
        <f t="shared" si="345"/>
        <v/>
      </c>
      <c r="I1971" s="119" t="str">
        <f t="shared" si="346"/>
        <v/>
      </c>
      <c r="J1971" s="115" t="str">
        <f t="shared" si="347"/>
        <v/>
      </c>
      <c r="K1971" s="102" t="str">
        <f>IF(A1971&amp;B1971="","",VLOOKUP(A1971&amp;B1971,INSUMOS!C:G,5,0))</f>
        <v/>
      </c>
    </row>
    <row r="1972" spans="1:17" ht="15" x14ac:dyDescent="0.25">
      <c r="A1972" s="120"/>
      <c r="B1972" s="121"/>
      <c r="C1972" s="518" t="str">
        <f>IF(A1972&amp;B1972="","",VLOOKUP(A1972&amp;B1972,INSUMOS!C:G,2,0))</f>
        <v/>
      </c>
      <c r="D1972" s="519"/>
      <c r="E1972" s="117" t="str">
        <f>IF(A1972&amp;B1972="","",VLOOKUP(A1972&amp;B1972,INSUMOS!C:G,3,0))</f>
        <v/>
      </c>
      <c r="F1972" s="118"/>
      <c r="G1972" s="122" t="str">
        <f>IF(A1972&amp;B1972="","",VLOOKUP(A1972&amp;B1972,INSUMOS!C:G,4,0))</f>
        <v/>
      </c>
      <c r="H1972" s="119" t="str">
        <f t="shared" si="345"/>
        <v/>
      </c>
      <c r="I1972" s="119" t="str">
        <f t="shared" si="346"/>
        <v/>
      </c>
      <c r="J1972" s="115" t="str">
        <f t="shared" si="347"/>
        <v/>
      </c>
      <c r="K1972" s="102" t="str">
        <f>IF(A1972&amp;B1972="","",VLOOKUP(A1972&amp;B1972,INSUMOS!C:G,5,0))</f>
        <v/>
      </c>
    </row>
    <row r="1973" spans="1:17" ht="15" x14ac:dyDescent="0.25">
      <c r="A1973" s="123" t="s">
        <v>4399</v>
      </c>
      <c r="B1973" s="542" t="s">
        <v>5228</v>
      </c>
      <c r="C1973" s="542"/>
      <c r="D1973" s="542"/>
      <c r="E1973" s="542"/>
      <c r="F1973" s="543"/>
      <c r="G1973" s="124" t="s">
        <v>50</v>
      </c>
      <c r="H1973" s="125">
        <f>SUM(H1960:H1972)</f>
        <v>1.44</v>
      </c>
      <c r="I1973" s="125">
        <f>SUM(I1960:I1972)</f>
        <v>1.07</v>
      </c>
      <c r="J1973" s="126">
        <f>SUM(J1960:J1972)</f>
        <v>0</v>
      </c>
    </row>
    <row r="1974" spans="1:17" ht="15" x14ac:dyDescent="0.25">
      <c r="A1974" s="127" t="s">
        <v>4400</v>
      </c>
      <c r="B1974" s="128"/>
      <c r="C1974" s="128"/>
      <c r="D1974" s="127" t="s">
        <v>51</v>
      </c>
      <c r="E1974" s="128"/>
      <c r="F1974" s="129"/>
      <c r="G1974" s="130" t="s">
        <v>55</v>
      </c>
      <c r="H1974" s="131" t="s">
        <v>52</v>
      </c>
      <c r="I1974" s="132"/>
      <c r="J1974" s="125">
        <f>SUM(H1973:J1973)</f>
        <v>2.5099999999999998</v>
      </c>
    </row>
    <row r="1975" spans="1:17" ht="15" x14ac:dyDescent="0.25">
      <c r="A1975" s="313" t="str">
        <f>$I$3</f>
        <v>Carlos Wieck</v>
      </c>
      <c r="B1975" s="133"/>
      <c r="C1975" s="133"/>
      <c r="D1975" s="134"/>
      <c r="E1975" s="133"/>
      <c r="F1975" s="135"/>
      <c r="G1975" s="522">
        <f>$J$5</f>
        <v>43040</v>
      </c>
      <c r="H1975" s="136" t="s">
        <v>53</v>
      </c>
      <c r="I1975" s="137"/>
      <c r="J1975" s="125">
        <f>TRUNC(I1975*J1974,2)</f>
        <v>0</v>
      </c>
    </row>
    <row r="1976" spans="1:17" ht="15" x14ac:dyDescent="0.25">
      <c r="A1976" s="314"/>
      <c r="B1976" s="139"/>
      <c r="C1976" s="139"/>
      <c r="D1976" s="138"/>
      <c r="E1976" s="139"/>
      <c r="F1976" s="140"/>
      <c r="G1976" s="523"/>
      <c r="H1976" s="141" t="s">
        <v>54</v>
      </c>
      <c r="I1976" s="142"/>
      <c r="J1976" s="143">
        <f>J1975+J1974</f>
        <v>2.5099999999999998</v>
      </c>
      <c r="L1976" s="102" t="str">
        <f>A1957</f>
        <v>COMPOSIÇÃO</v>
      </c>
      <c r="M1976" s="144" t="str">
        <f>B1957</f>
        <v>FF-082</v>
      </c>
      <c r="N1976" s="102" t="str">
        <f>L1976&amp;M1976</f>
        <v>COMPOSIÇÃOFF-082</v>
      </c>
      <c r="O1976" s="103" t="str">
        <f>D1956</f>
        <v>Luva de redução soldável, PVC 25 mm X 20 mm, para água fria predial instalado em ramal ou sub-ramal de água fornecimento e instalação.</v>
      </c>
      <c r="P1976" s="145" t="str">
        <f>J1957</f>
        <v>un</v>
      </c>
      <c r="Q1976" s="145">
        <f>J1976</f>
        <v>2.5099999999999998</v>
      </c>
    </row>
    <row r="1977" spans="1:17" ht="15" customHeight="1" x14ac:dyDescent="0.25">
      <c r="A1977" s="524" t="s">
        <v>40</v>
      </c>
      <c r="B1977" s="525"/>
      <c r="C1977" s="104" t="s">
        <v>41</v>
      </c>
      <c r="D1977" s="526" t="str">
        <f>IF(B1978="","",VLOOKUP(B1978,SERVIÇOS!B:E,3,0))</f>
        <v>Luva soldável, PVC 25mm, para água fria predial instalado em ramal ou sub-ramal de água fornecimento e instalação.</v>
      </c>
      <c r="E1977" s="526"/>
      <c r="F1977" s="526"/>
      <c r="G1977" s="526"/>
      <c r="H1977" s="526"/>
      <c r="I1977" s="527"/>
      <c r="J1977" s="105" t="s">
        <v>42</v>
      </c>
    </row>
    <row r="1978" spans="1:17" ht="15" x14ac:dyDescent="0.25">
      <c r="A1978" s="230" t="s">
        <v>4715</v>
      </c>
      <c r="B1978" s="230" t="s">
        <v>5215</v>
      </c>
      <c r="C1978" s="106"/>
      <c r="D1978" s="528"/>
      <c r="E1978" s="528"/>
      <c r="F1978" s="528"/>
      <c r="G1978" s="528"/>
      <c r="H1978" s="528"/>
      <c r="I1978" s="529"/>
      <c r="J1978" s="107" t="str">
        <f>IF(B1978="","",VLOOKUP(B1978,SERVIÇOS!B:E,4,0))</f>
        <v>un</v>
      </c>
    </row>
    <row r="1979" spans="1:17" ht="15" x14ac:dyDescent="0.25">
      <c r="A1979" s="530" t="s">
        <v>4397</v>
      </c>
      <c r="B1979" s="531" t="s">
        <v>11</v>
      </c>
      <c r="C1979" s="533" t="s">
        <v>43</v>
      </c>
      <c r="D1979" s="534"/>
      <c r="E1979" s="530" t="s">
        <v>13</v>
      </c>
      <c r="F1979" s="530" t="s">
        <v>44</v>
      </c>
      <c r="G1979" s="538" t="s">
        <v>45</v>
      </c>
      <c r="H1979" s="108" t="s">
        <v>46</v>
      </c>
      <c r="I1979" s="108"/>
      <c r="J1979" s="108"/>
    </row>
    <row r="1980" spans="1:17" ht="15" x14ac:dyDescent="0.25">
      <c r="A1980" s="530"/>
      <c r="B1980" s="532"/>
      <c r="C1980" s="535"/>
      <c r="D1980" s="536"/>
      <c r="E1980" s="537"/>
      <c r="F1980" s="537"/>
      <c r="G1980" s="539"/>
      <c r="H1980" s="108" t="s">
        <v>47</v>
      </c>
      <c r="I1980" s="108" t="s">
        <v>48</v>
      </c>
      <c r="J1980" s="108" t="s">
        <v>49</v>
      </c>
    </row>
    <row r="1981" spans="1:17" ht="15" x14ac:dyDescent="0.25">
      <c r="A1981" s="109" t="s">
        <v>4398</v>
      </c>
      <c r="B1981" s="110">
        <v>10119</v>
      </c>
      <c r="C1981" s="540" t="str">
        <f>IF(A1981&amp;B1981="","",VLOOKUP(A1981&amp;B1981,INSUMOS!C:G,2,0))</f>
        <v>Ajudante de encanador</v>
      </c>
      <c r="D1981" s="541"/>
      <c r="E1981" s="111" t="str">
        <f>IF(A1981&amp;B1981="","",VLOOKUP(A1981&amp;B1981,INSUMOS!C:G,3,0))</f>
        <v>h</v>
      </c>
      <c r="F1981" s="112">
        <v>0.06</v>
      </c>
      <c r="G1981" s="113">
        <f>IF(A1981&amp;B1981="","",VLOOKUP(A1981&amp;B1981,INSUMOS!C:G,4,0))</f>
        <v>10.985028</v>
      </c>
      <c r="H1981" s="114">
        <f>IF(K1981="MO",TRUNC(F1981*G1981,2),"")</f>
        <v>0.65</v>
      </c>
      <c r="I1981" s="114" t="str">
        <f>IF(K1981="MT",TRUNC(F1981*G1981,2),"")</f>
        <v/>
      </c>
      <c r="J1981" s="115" t="str">
        <f>IF(K1981="EQ",TRUNC(F1981*G1981,2),"")</f>
        <v/>
      </c>
      <c r="K1981" s="102" t="str">
        <f>IF(A1981&amp;B1981="","",VLOOKUP(A1981&amp;B1981,INSUMOS!C:G,5,0))</f>
        <v>MO</v>
      </c>
    </row>
    <row r="1982" spans="1:17" ht="15" x14ac:dyDescent="0.25">
      <c r="A1982" s="109" t="s">
        <v>4398</v>
      </c>
      <c r="B1982" s="116">
        <v>10118</v>
      </c>
      <c r="C1982" s="518" t="str">
        <f>IF(A1982&amp;B1982="","",VLOOKUP(A1982&amp;B1982,INSUMOS!C:G,2,0))</f>
        <v xml:space="preserve">Encanador </v>
      </c>
      <c r="D1982" s="519"/>
      <c r="E1982" s="117" t="str">
        <f>IF(A1982&amp;B1982="","",VLOOKUP(A1982&amp;B1982,INSUMOS!C:G,3,0))</f>
        <v>h</v>
      </c>
      <c r="F1982" s="118">
        <v>0.06</v>
      </c>
      <c r="G1982" s="113">
        <f>IF(A1982&amp;B1982="","",VLOOKUP(A1982&amp;B1982,INSUMOS!C:G,4,0))</f>
        <v>16.906036</v>
      </c>
      <c r="H1982" s="119">
        <f t="shared" ref="H1982:H1993" si="348">IF(K1982="MO",TRUNC(F1982*G1982,2),"")</f>
        <v>1.01</v>
      </c>
      <c r="I1982" s="119" t="str">
        <f t="shared" ref="I1982:I1993" si="349">IF(K1982="MT",TRUNC(F1982*G1982,2),"")</f>
        <v/>
      </c>
      <c r="J1982" s="115" t="str">
        <f t="shared" ref="J1982:J1993" si="350">IF(K1982="EQ",TRUNC(F1982*G1982,2),"")</f>
        <v/>
      </c>
      <c r="K1982" s="102" t="str">
        <f>IF(A1982&amp;B1982="","",VLOOKUP(A1982&amp;B1982,INSUMOS!C:G,5,0))</f>
        <v>MO</v>
      </c>
    </row>
    <row r="1983" spans="1:17" ht="15" x14ac:dyDescent="0.25">
      <c r="A1983" s="109" t="s">
        <v>4398</v>
      </c>
      <c r="B1983" s="116">
        <v>69513</v>
      </c>
      <c r="C1983" s="518" t="str">
        <f>IF(A1983&amp;B1983="","",VLOOKUP(A1983&amp;B1983,INSUMOS!C:G,2,0))</f>
        <v>Adesivo para tubos PVC</v>
      </c>
      <c r="D1983" s="519"/>
      <c r="E1983" s="117" t="str">
        <f>IF(A1983&amp;B1983="","",VLOOKUP(A1983&amp;B1983,INSUMOS!C:G,3,0))</f>
        <v>kg</v>
      </c>
      <c r="F1983" s="118">
        <v>7.0000000000000001E-3</v>
      </c>
      <c r="G1983" s="113">
        <f>IF(A1983&amp;B1983="","",VLOOKUP(A1983&amp;B1983,INSUMOS!C:G,4,0))</f>
        <v>42.49</v>
      </c>
      <c r="H1983" s="119" t="str">
        <f t="shared" si="348"/>
        <v/>
      </c>
      <c r="I1983" s="119">
        <f t="shared" si="349"/>
        <v>0.28999999999999998</v>
      </c>
      <c r="J1983" s="115" t="str">
        <f t="shared" si="350"/>
        <v/>
      </c>
      <c r="K1983" s="102" t="str">
        <f>IF(A1983&amp;B1983="","",VLOOKUP(A1983&amp;B1983,INSUMOS!C:G,5,0))</f>
        <v>MT</v>
      </c>
    </row>
    <row r="1984" spans="1:17" ht="15" x14ac:dyDescent="0.25">
      <c r="A1984" s="109" t="s">
        <v>4398</v>
      </c>
      <c r="B1984" s="116">
        <v>38040</v>
      </c>
      <c r="C1984" s="518" t="str">
        <f>IF(A1984&amp;B1984="","",VLOOKUP(A1984&amp;B1984,INSUMOS!C:G,2,0))</f>
        <v>Lixa d´água, ref. Norton n° 80, Aquaflex ou equivalente</v>
      </c>
      <c r="D1984" s="519"/>
      <c r="E1984" s="117" t="str">
        <f>IF(A1984&amp;B1984="","",VLOOKUP(A1984&amp;B1984,INSUMOS!C:G,3,0))</f>
        <v>un</v>
      </c>
      <c r="F1984" s="118">
        <v>0.03</v>
      </c>
      <c r="G1984" s="113">
        <f>IF(A1984&amp;B1984="","",VLOOKUP(A1984&amp;B1984,INSUMOS!C:G,4,0))</f>
        <v>1.04</v>
      </c>
      <c r="H1984" s="119" t="str">
        <f t="shared" si="348"/>
        <v/>
      </c>
      <c r="I1984" s="119">
        <f t="shared" si="349"/>
        <v>0.03</v>
      </c>
      <c r="J1984" s="115" t="str">
        <f t="shared" si="350"/>
        <v/>
      </c>
      <c r="K1984" s="102" t="str">
        <f>IF(A1984&amp;B1984="","",VLOOKUP(A1984&amp;B1984,INSUMOS!C:G,5,0))</f>
        <v>MT</v>
      </c>
    </row>
    <row r="1985" spans="1:17" ht="15" x14ac:dyDescent="0.25">
      <c r="A1985" s="109" t="s">
        <v>4810</v>
      </c>
      <c r="B1985" s="116">
        <v>3904</v>
      </c>
      <c r="C1985" s="518" t="str">
        <f>IF(A1985&amp;B1985="","",VLOOKUP(A1985&amp;B1985,INSUMOS!C:G,2,0))</f>
        <v>Luva PVC soldável, 25 mm, para água fria predial</v>
      </c>
      <c r="D1985" s="519"/>
      <c r="E1985" s="117" t="str">
        <f>IF(A1985&amp;B1985="","",VLOOKUP(A1985&amp;B1985,INSUMOS!C:G,3,0))</f>
        <v>un</v>
      </c>
      <c r="F1985" s="118">
        <v>1</v>
      </c>
      <c r="G1985" s="113">
        <f>IF(A1985&amp;B1985="","",VLOOKUP(A1985&amp;B1985,INSUMOS!C:G,4,0))</f>
        <v>0.4</v>
      </c>
      <c r="H1985" s="119" t="str">
        <f t="shared" si="348"/>
        <v/>
      </c>
      <c r="I1985" s="119">
        <f t="shared" si="349"/>
        <v>0.4</v>
      </c>
      <c r="J1985" s="115" t="str">
        <f t="shared" si="350"/>
        <v/>
      </c>
      <c r="K1985" s="102" t="str">
        <f>IF(A1985&amp;B1985="","",VLOOKUP(A1985&amp;B1985,INSUMOS!C:G,5,0))</f>
        <v>MT</v>
      </c>
    </row>
    <row r="1986" spans="1:17" ht="15" x14ac:dyDescent="0.25">
      <c r="A1986" s="109" t="s">
        <v>4398</v>
      </c>
      <c r="B1986" s="116">
        <v>69514</v>
      </c>
      <c r="C1986" s="518" t="str">
        <f>IF(A1986&amp;B1986="","",VLOOKUP(A1986&amp;B1986,INSUMOS!C:G,2,0))</f>
        <v>Solução limpadora para PVC</v>
      </c>
      <c r="D1986" s="519"/>
      <c r="E1986" s="117" t="str">
        <f>IF(A1986&amp;B1986="","",VLOOKUP(A1986&amp;B1986,INSUMOS!C:G,3,0))</f>
        <v>l</v>
      </c>
      <c r="F1986" s="118">
        <v>8.0000000000000002E-3</v>
      </c>
      <c r="G1986" s="113">
        <f>IF(A1986&amp;B1986="","",VLOOKUP(A1986&amp;B1986,INSUMOS!C:G,4,0))</f>
        <v>29.11</v>
      </c>
      <c r="H1986" s="119" t="str">
        <f t="shared" si="348"/>
        <v/>
      </c>
      <c r="I1986" s="119">
        <f t="shared" si="349"/>
        <v>0.23</v>
      </c>
      <c r="J1986" s="115" t="str">
        <f t="shared" si="350"/>
        <v/>
      </c>
      <c r="K1986" s="102" t="str">
        <f>IF(A1986&amp;B1986="","",VLOOKUP(A1986&amp;B1986,INSUMOS!C:G,5,0))</f>
        <v>MT</v>
      </c>
    </row>
    <row r="1987" spans="1:17" ht="15" x14ac:dyDescent="0.25">
      <c r="A1987" s="109"/>
      <c r="B1987" s="116"/>
      <c r="C1987" s="518" t="str">
        <f>IF(A1987&amp;B1987="","",VLOOKUP(A1987&amp;B1987,INSUMOS!C:G,2,0))</f>
        <v/>
      </c>
      <c r="D1987" s="519"/>
      <c r="E1987" s="117" t="str">
        <f>IF(A1987&amp;B1987="","",VLOOKUP(A1987&amp;B1987,INSUMOS!C:G,3,0))</f>
        <v/>
      </c>
      <c r="F1987" s="118"/>
      <c r="G1987" s="113" t="str">
        <f>IF(A1987&amp;B1987="","",VLOOKUP(A1987&amp;B1987,INSUMOS!C:G,4,0))</f>
        <v/>
      </c>
      <c r="H1987" s="119" t="str">
        <f t="shared" si="348"/>
        <v/>
      </c>
      <c r="I1987" s="119" t="str">
        <f t="shared" si="349"/>
        <v/>
      </c>
      <c r="J1987" s="115" t="str">
        <f t="shared" si="350"/>
        <v/>
      </c>
      <c r="K1987" s="102" t="str">
        <f>IF(A1987&amp;B1987="","",VLOOKUP(A1987&amp;B1987,INSUMOS!C:G,5,0))</f>
        <v/>
      </c>
    </row>
    <row r="1988" spans="1:17" ht="15" x14ac:dyDescent="0.25">
      <c r="A1988" s="109"/>
      <c r="B1988" s="116"/>
      <c r="C1988" s="518" t="str">
        <f>IF(A1988&amp;B1988="","",VLOOKUP(A1988&amp;B1988,INSUMOS!C:G,2,0))</f>
        <v/>
      </c>
      <c r="D1988" s="519"/>
      <c r="E1988" s="117" t="str">
        <f>IF(A1988&amp;B1988="","",VLOOKUP(A1988&amp;B1988,INSUMOS!C:G,3,0))</f>
        <v/>
      </c>
      <c r="F1988" s="118"/>
      <c r="G1988" s="113" t="str">
        <f>IF(A1988&amp;B1988="","",VLOOKUP(A1988&amp;B1988,INSUMOS!C:G,4,0))</f>
        <v/>
      </c>
      <c r="H1988" s="119" t="str">
        <f t="shared" si="348"/>
        <v/>
      </c>
      <c r="I1988" s="119" t="str">
        <f t="shared" si="349"/>
        <v/>
      </c>
      <c r="J1988" s="115" t="str">
        <f t="shared" si="350"/>
        <v/>
      </c>
      <c r="K1988" s="102" t="str">
        <f>IF(A1988&amp;B1988="","",VLOOKUP(A1988&amp;B1988,INSUMOS!C:G,5,0))</f>
        <v/>
      </c>
    </row>
    <row r="1989" spans="1:17" ht="15" x14ac:dyDescent="0.25">
      <c r="A1989" s="109"/>
      <c r="B1989" s="116"/>
      <c r="C1989" s="518" t="str">
        <f>IF(A1989&amp;B1989="","",VLOOKUP(A1989&amp;B1989,INSUMOS!C:G,2,0))</f>
        <v/>
      </c>
      <c r="D1989" s="519"/>
      <c r="E1989" s="117" t="str">
        <f>IF(A1989&amp;B1989="","",VLOOKUP(A1989&amp;B1989,INSUMOS!C:G,3,0))</f>
        <v/>
      </c>
      <c r="F1989" s="118"/>
      <c r="G1989" s="113" t="str">
        <f>IF(A1989&amp;B1989="","",VLOOKUP(A1989&amp;B1989,INSUMOS!C:G,4,0))</f>
        <v/>
      </c>
      <c r="H1989" s="119" t="str">
        <f t="shared" si="348"/>
        <v/>
      </c>
      <c r="I1989" s="119" t="str">
        <f t="shared" si="349"/>
        <v/>
      </c>
      <c r="J1989" s="115" t="str">
        <f t="shared" si="350"/>
        <v/>
      </c>
      <c r="K1989" s="102" t="str">
        <f>IF(A1989&amp;B1989="","",VLOOKUP(A1989&amp;B1989,INSUMOS!C:G,5,0))</f>
        <v/>
      </c>
    </row>
    <row r="1990" spans="1:17" ht="15" x14ac:dyDescent="0.25">
      <c r="A1990" s="109"/>
      <c r="B1990" s="116"/>
      <c r="C1990" s="518" t="str">
        <f>IF(A1990&amp;B1990="","",VLOOKUP(A1990&amp;B1990,INSUMOS!C:G,2,0))</f>
        <v/>
      </c>
      <c r="D1990" s="519"/>
      <c r="E1990" s="117" t="str">
        <f>IF(A1990&amp;B1990="","",VLOOKUP(A1990&amp;B1990,INSUMOS!C:G,3,0))</f>
        <v/>
      </c>
      <c r="F1990" s="118"/>
      <c r="G1990" s="113" t="str">
        <f>IF(A1990&amp;B1990="","",VLOOKUP(A1990&amp;B1990,INSUMOS!C:G,4,0))</f>
        <v/>
      </c>
      <c r="H1990" s="119" t="str">
        <f t="shared" si="348"/>
        <v/>
      </c>
      <c r="I1990" s="119" t="str">
        <f t="shared" si="349"/>
        <v/>
      </c>
      <c r="J1990" s="115" t="str">
        <f t="shared" si="350"/>
        <v/>
      </c>
      <c r="K1990" s="102" t="str">
        <f>IF(A1990&amp;B1990="","",VLOOKUP(A1990&amp;B1990,INSUMOS!C:G,5,0))</f>
        <v/>
      </c>
    </row>
    <row r="1991" spans="1:17" ht="15" x14ac:dyDescent="0.25">
      <c r="A1991" s="120"/>
      <c r="B1991" s="121"/>
      <c r="C1991" s="518" t="str">
        <f>IF(A1991&amp;B1991="","",VLOOKUP(A1991&amp;B1991,INSUMOS!C:G,2,0))</f>
        <v/>
      </c>
      <c r="D1991" s="519"/>
      <c r="E1991" s="117" t="str">
        <f>IF(A1991&amp;B1991="","",VLOOKUP(A1991&amp;B1991,INSUMOS!C:G,3,0))</f>
        <v/>
      </c>
      <c r="F1991" s="118"/>
      <c r="G1991" s="122" t="str">
        <f>IF(A1991&amp;B1991="","",VLOOKUP(A1991&amp;B1991,INSUMOS!C:G,4,0))</f>
        <v/>
      </c>
      <c r="H1991" s="119" t="str">
        <f t="shared" si="348"/>
        <v/>
      </c>
      <c r="I1991" s="119" t="str">
        <f t="shared" si="349"/>
        <v/>
      </c>
      <c r="J1991" s="115" t="str">
        <f t="shared" si="350"/>
        <v/>
      </c>
      <c r="K1991" s="102" t="str">
        <f>IF(A1991&amp;B1991="","",VLOOKUP(A1991&amp;B1991,INSUMOS!C:G,5,0))</f>
        <v/>
      </c>
    </row>
    <row r="1992" spans="1:17" ht="15" x14ac:dyDescent="0.25">
      <c r="A1992" s="120"/>
      <c r="B1992" s="121"/>
      <c r="C1992" s="518" t="str">
        <f>IF(A1992&amp;B1992="","",VLOOKUP(A1992&amp;B1992,INSUMOS!C:G,2,0))</f>
        <v/>
      </c>
      <c r="D1992" s="519"/>
      <c r="E1992" s="117" t="str">
        <f>IF(A1992&amp;B1992="","",VLOOKUP(A1992&amp;B1992,INSUMOS!C:G,3,0))</f>
        <v/>
      </c>
      <c r="F1992" s="118"/>
      <c r="G1992" s="122" t="str">
        <f>IF(A1992&amp;B1992="","",VLOOKUP(A1992&amp;B1992,INSUMOS!C:G,4,0))</f>
        <v/>
      </c>
      <c r="H1992" s="119" t="str">
        <f t="shared" si="348"/>
        <v/>
      </c>
      <c r="I1992" s="119" t="str">
        <f t="shared" si="349"/>
        <v/>
      </c>
      <c r="J1992" s="115" t="str">
        <f t="shared" si="350"/>
        <v/>
      </c>
      <c r="K1992" s="102" t="str">
        <f>IF(A1992&amp;B1992="","",VLOOKUP(A1992&amp;B1992,INSUMOS!C:G,5,0))</f>
        <v/>
      </c>
    </row>
    <row r="1993" spans="1:17" ht="15" x14ac:dyDescent="0.25">
      <c r="A1993" s="120"/>
      <c r="B1993" s="121"/>
      <c r="C1993" s="518" t="str">
        <f>IF(A1993&amp;B1993="","",VLOOKUP(A1993&amp;B1993,INSUMOS!C:G,2,0))</f>
        <v/>
      </c>
      <c r="D1993" s="519"/>
      <c r="E1993" s="117" t="str">
        <f>IF(A1993&amp;B1993="","",VLOOKUP(A1993&amp;B1993,INSUMOS!C:G,3,0))</f>
        <v/>
      </c>
      <c r="F1993" s="118"/>
      <c r="G1993" s="122" t="str">
        <f>IF(A1993&amp;B1993="","",VLOOKUP(A1993&amp;B1993,INSUMOS!C:G,4,0))</f>
        <v/>
      </c>
      <c r="H1993" s="119" t="str">
        <f t="shared" si="348"/>
        <v/>
      </c>
      <c r="I1993" s="119" t="str">
        <f t="shared" si="349"/>
        <v/>
      </c>
      <c r="J1993" s="115" t="str">
        <f t="shared" si="350"/>
        <v/>
      </c>
      <c r="K1993" s="102" t="str">
        <f>IF(A1993&amp;B1993="","",VLOOKUP(A1993&amp;B1993,INSUMOS!C:G,5,0))</f>
        <v/>
      </c>
    </row>
    <row r="1994" spans="1:17" ht="15" x14ac:dyDescent="0.25">
      <c r="A1994" s="123" t="s">
        <v>4399</v>
      </c>
      <c r="B1994" s="542" t="s">
        <v>5237</v>
      </c>
      <c r="C1994" s="542"/>
      <c r="D1994" s="542"/>
      <c r="E1994" s="542"/>
      <c r="F1994" s="543"/>
      <c r="G1994" s="124" t="s">
        <v>50</v>
      </c>
      <c r="H1994" s="125">
        <f>SUM(H1981:H1993)</f>
        <v>1.6600000000000001</v>
      </c>
      <c r="I1994" s="125">
        <f>SUM(I1981:I1993)</f>
        <v>0.95</v>
      </c>
      <c r="J1994" s="126">
        <f>SUM(J1981:J1993)</f>
        <v>0</v>
      </c>
    </row>
    <row r="1995" spans="1:17" ht="15" x14ac:dyDescent="0.25">
      <c r="A1995" s="127" t="s">
        <v>4400</v>
      </c>
      <c r="B1995" s="128"/>
      <c r="C1995" s="128"/>
      <c r="D1995" s="127" t="s">
        <v>51</v>
      </c>
      <c r="E1995" s="128"/>
      <c r="F1995" s="129"/>
      <c r="G1995" s="130" t="s">
        <v>55</v>
      </c>
      <c r="H1995" s="131" t="s">
        <v>52</v>
      </c>
      <c r="I1995" s="132"/>
      <c r="J1995" s="125">
        <f>SUM(H1994:J1994)</f>
        <v>2.6100000000000003</v>
      </c>
    </row>
    <row r="1996" spans="1:17" ht="15" x14ac:dyDescent="0.25">
      <c r="A1996" s="313" t="str">
        <f>$I$3</f>
        <v>Carlos Wieck</v>
      </c>
      <c r="B1996" s="133"/>
      <c r="C1996" s="133"/>
      <c r="D1996" s="134"/>
      <c r="E1996" s="133"/>
      <c r="F1996" s="135"/>
      <c r="G1996" s="522">
        <f>$J$5</f>
        <v>43040</v>
      </c>
      <c r="H1996" s="136" t="s">
        <v>53</v>
      </c>
      <c r="I1996" s="137"/>
      <c r="J1996" s="125">
        <f>TRUNC(I1996*J1995,2)</f>
        <v>0</v>
      </c>
    </row>
    <row r="1997" spans="1:17" ht="15" x14ac:dyDescent="0.25">
      <c r="A1997" s="314"/>
      <c r="B1997" s="139"/>
      <c r="C1997" s="139"/>
      <c r="D1997" s="138"/>
      <c r="E1997" s="139"/>
      <c r="F1997" s="140"/>
      <c r="G1997" s="523"/>
      <c r="H1997" s="141" t="s">
        <v>54</v>
      </c>
      <c r="I1997" s="142"/>
      <c r="J1997" s="143">
        <f>J1996+J1995</f>
        <v>2.6100000000000003</v>
      </c>
      <c r="L1997" s="102" t="str">
        <f>A1978</f>
        <v>COMPOSIÇÃO</v>
      </c>
      <c r="M1997" s="144" t="str">
        <f>B1978</f>
        <v>FF-083</v>
      </c>
      <c r="N1997" s="102" t="str">
        <f>L1997&amp;M1997</f>
        <v>COMPOSIÇÃOFF-083</v>
      </c>
      <c r="O1997" s="103" t="str">
        <f>D1977</f>
        <v>Luva soldável, PVC 25mm, para água fria predial instalado em ramal ou sub-ramal de água fornecimento e instalação.</v>
      </c>
      <c r="P1997" s="145" t="str">
        <f>J1978</f>
        <v>un</v>
      </c>
      <c r="Q1997" s="145">
        <f>J1997</f>
        <v>2.6100000000000003</v>
      </c>
    </row>
    <row r="1998" spans="1:17" ht="15" customHeight="1" x14ac:dyDescent="0.25">
      <c r="A1998" s="524" t="s">
        <v>40</v>
      </c>
      <c r="B1998" s="525"/>
      <c r="C1998" s="104" t="s">
        <v>41</v>
      </c>
      <c r="D1998" s="526" t="str">
        <f>IF(B1999="","",VLOOKUP(B1999,SERVIÇOS!B:E,3,0))</f>
        <v>Luva soldável, PVC 32mm, para água fria predial instalado em ramal ou sub-ramal de água fornecimento e instalação.</v>
      </c>
      <c r="E1998" s="526"/>
      <c r="F1998" s="526"/>
      <c r="G1998" s="526"/>
      <c r="H1998" s="526"/>
      <c r="I1998" s="527"/>
      <c r="J1998" s="105" t="s">
        <v>42</v>
      </c>
    </row>
    <row r="1999" spans="1:17" ht="15" x14ac:dyDescent="0.25">
      <c r="A1999" s="230" t="s">
        <v>4715</v>
      </c>
      <c r="B1999" s="230" t="s">
        <v>5216</v>
      </c>
      <c r="C1999" s="106"/>
      <c r="D1999" s="528"/>
      <c r="E1999" s="528"/>
      <c r="F1999" s="528"/>
      <c r="G1999" s="528"/>
      <c r="H1999" s="528"/>
      <c r="I1999" s="529"/>
      <c r="J1999" s="107" t="str">
        <f>IF(B1999="","",VLOOKUP(B1999,SERVIÇOS!B:E,4,0))</f>
        <v>un</v>
      </c>
    </row>
    <row r="2000" spans="1:17" ht="15" x14ac:dyDescent="0.25">
      <c r="A2000" s="530" t="s">
        <v>4397</v>
      </c>
      <c r="B2000" s="531" t="s">
        <v>11</v>
      </c>
      <c r="C2000" s="533" t="s">
        <v>43</v>
      </c>
      <c r="D2000" s="534"/>
      <c r="E2000" s="530" t="s">
        <v>13</v>
      </c>
      <c r="F2000" s="530" t="s">
        <v>44</v>
      </c>
      <c r="G2000" s="538" t="s">
        <v>45</v>
      </c>
      <c r="H2000" s="108" t="s">
        <v>46</v>
      </c>
      <c r="I2000" s="108"/>
      <c r="J2000" s="108"/>
    </row>
    <row r="2001" spans="1:11" ht="15" x14ac:dyDescent="0.25">
      <c r="A2001" s="530"/>
      <c r="B2001" s="532"/>
      <c r="C2001" s="535"/>
      <c r="D2001" s="536"/>
      <c r="E2001" s="537"/>
      <c r="F2001" s="537"/>
      <c r="G2001" s="539"/>
      <c r="H2001" s="108" t="s">
        <v>47</v>
      </c>
      <c r="I2001" s="108" t="s">
        <v>48</v>
      </c>
      <c r="J2001" s="108" t="s">
        <v>49</v>
      </c>
    </row>
    <row r="2002" spans="1:11" ht="15" x14ac:dyDescent="0.25">
      <c r="A2002" s="109" t="s">
        <v>4398</v>
      </c>
      <c r="B2002" s="110">
        <v>10119</v>
      </c>
      <c r="C2002" s="540" t="str">
        <f>IF(A2002&amp;B2002="","",VLOOKUP(A2002&amp;B2002,INSUMOS!C:G,2,0))</f>
        <v>Ajudante de encanador</v>
      </c>
      <c r="D2002" s="541"/>
      <c r="E2002" s="111" t="str">
        <f>IF(A2002&amp;B2002="","",VLOOKUP(A2002&amp;B2002,INSUMOS!C:G,3,0))</f>
        <v>h</v>
      </c>
      <c r="F2002" s="112">
        <v>0.06</v>
      </c>
      <c r="G2002" s="113">
        <f>IF(A2002&amp;B2002="","",VLOOKUP(A2002&amp;B2002,INSUMOS!C:G,4,0))</f>
        <v>10.985028</v>
      </c>
      <c r="H2002" s="114">
        <f>IF(K2002="MO",TRUNC(F2002*G2002,2),"")</f>
        <v>0.65</v>
      </c>
      <c r="I2002" s="114" t="str">
        <f>IF(K2002="MT",TRUNC(F2002*G2002,2),"")</f>
        <v/>
      </c>
      <c r="J2002" s="115" t="str">
        <f>IF(K2002="EQ",TRUNC(F2002*G2002,2),"")</f>
        <v/>
      </c>
      <c r="K2002" s="102" t="str">
        <f>IF(A2002&amp;B2002="","",VLOOKUP(A2002&amp;B2002,INSUMOS!C:G,5,0))</f>
        <v>MO</v>
      </c>
    </row>
    <row r="2003" spans="1:11" ht="15" x14ac:dyDescent="0.25">
      <c r="A2003" s="109" t="s">
        <v>4398</v>
      </c>
      <c r="B2003" s="116">
        <v>10118</v>
      </c>
      <c r="C2003" s="518" t="str">
        <f>IF(A2003&amp;B2003="","",VLOOKUP(A2003&amp;B2003,INSUMOS!C:G,2,0))</f>
        <v xml:space="preserve">Encanador </v>
      </c>
      <c r="D2003" s="519"/>
      <c r="E2003" s="117" t="str">
        <f>IF(A2003&amp;B2003="","",VLOOKUP(A2003&amp;B2003,INSUMOS!C:G,3,0))</f>
        <v>h</v>
      </c>
      <c r="F2003" s="118">
        <v>0.06</v>
      </c>
      <c r="G2003" s="113">
        <f>IF(A2003&amp;B2003="","",VLOOKUP(A2003&amp;B2003,INSUMOS!C:G,4,0))</f>
        <v>16.906036</v>
      </c>
      <c r="H2003" s="119">
        <f t="shared" ref="H2003:H2014" si="351">IF(K2003="MO",TRUNC(F2003*G2003,2),"")</f>
        <v>1.01</v>
      </c>
      <c r="I2003" s="119" t="str">
        <f t="shared" ref="I2003:I2014" si="352">IF(K2003="MT",TRUNC(F2003*G2003,2),"")</f>
        <v/>
      </c>
      <c r="J2003" s="115" t="str">
        <f t="shared" ref="J2003:J2014" si="353">IF(K2003="EQ",TRUNC(F2003*G2003,2),"")</f>
        <v/>
      </c>
      <c r="K2003" s="102" t="str">
        <f>IF(A2003&amp;B2003="","",VLOOKUP(A2003&amp;B2003,INSUMOS!C:G,5,0))</f>
        <v>MO</v>
      </c>
    </row>
    <row r="2004" spans="1:11" ht="15" x14ac:dyDescent="0.25">
      <c r="A2004" s="109" t="s">
        <v>4398</v>
      </c>
      <c r="B2004" s="116">
        <v>69513</v>
      </c>
      <c r="C2004" s="518" t="str">
        <f>IF(A2004&amp;B2004="","",VLOOKUP(A2004&amp;B2004,INSUMOS!C:G,2,0))</f>
        <v>Adesivo para tubos PVC</v>
      </c>
      <c r="D2004" s="519"/>
      <c r="E2004" s="117" t="str">
        <f>IF(A2004&amp;B2004="","",VLOOKUP(A2004&amp;B2004,INSUMOS!C:G,3,0))</f>
        <v>kg</v>
      </c>
      <c r="F2004" s="118">
        <v>7.0000000000000001E-3</v>
      </c>
      <c r="G2004" s="113">
        <f>IF(A2004&amp;B2004="","",VLOOKUP(A2004&amp;B2004,INSUMOS!C:G,4,0))</f>
        <v>42.49</v>
      </c>
      <c r="H2004" s="119" t="str">
        <f t="shared" si="351"/>
        <v/>
      </c>
      <c r="I2004" s="119">
        <f t="shared" si="352"/>
        <v>0.28999999999999998</v>
      </c>
      <c r="J2004" s="115" t="str">
        <f t="shared" si="353"/>
        <v/>
      </c>
      <c r="K2004" s="102" t="str">
        <f>IF(A2004&amp;B2004="","",VLOOKUP(A2004&amp;B2004,INSUMOS!C:G,5,0))</f>
        <v>MT</v>
      </c>
    </row>
    <row r="2005" spans="1:11" ht="15" x14ac:dyDescent="0.25">
      <c r="A2005" s="109" t="s">
        <v>4398</v>
      </c>
      <c r="B2005" s="116">
        <v>38040</v>
      </c>
      <c r="C2005" s="518" t="str">
        <f>IF(A2005&amp;B2005="","",VLOOKUP(A2005&amp;B2005,INSUMOS!C:G,2,0))</f>
        <v>Lixa d´água, ref. Norton n° 80, Aquaflex ou equivalente</v>
      </c>
      <c r="D2005" s="519"/>
      <c r="E2005" s="117" t="str">
        <f>IF(A2005&amp;B2005="","",VLOOKUP(A2005&amp;B2005,INSUMOS!C:G,3,0))</f>
        <v>un</v>
      </c>
      <c r="F2005" s="118">
        <v>0.03</v>
      </c>
      <c r="G2005" s="113">
        <f>IF(A2005&amp;B2005="","",VLOOKUP(A2005&amp;B2005,INSUMOS!C:G,4,0))</f>
        <v>1.04</v>
      </c>
      <c r="H2005" s="119" t="str">
        <f t="shared" si="351"/>
        <v/>
      </c>
      <c r="I2005" s="119">
        <f t="shared" si="352"/>
        <v>0.03</v>
      </c>
      <c r="J2005" s="115" t="str">
        <f t="shared" si="353"/>
        <v/>
      </c>
      <c r="K2005" s="102" t="str">
        <f>IF(A2005&amp;B2005="","",VLOOKUP(A2005&amp;B2005,INSUMOS!C:G,5,0))</f>
        <v>MT</v>
      </c>
    </row>
    <row r="2006" spans="1:11" ht="15" x14ac:dyDescent="0.25">
      <c r="A2006" s="109" t="s">
        <v>4810</v>
      </c>
      <c r="B2006" s="116">
        <v>3903</v>
      </c>
      <c r="C2006" s="518" t="str">
        <f>IF(A2006&amp;B2006="","",VLOOKUP(A2006&amp;B2006,INSUMOS!C:G,2,0))</f>
        <v>Luva PVC soldável, 32 mm, para água fria predial</v>
      </c>
      <c r="D2006" s="519"/>
      <c r="E2006" s="117" t="str">
        <f>IF(A2006&amp;B2006="","",VLOOKUP(A2006&amp;B2006,INSUMOS!C:G,3,0))</f>
        <v>un</v>
      </c>
      <c r="F2006" s="118">
        <v>1</v>
      </c>
      <c r="G2006" s="113">
        <f>IF(A2006&amp;B2006="","",VLOOKUP(A2006&amp;B2006,INSUMOS!C:G,4,0))</f>
        <v>0.85</v>
      </c>
      <c r="H2006" s="119" t="str">
        <f t="shared" si="351"/>
        <v/>
      </c>
      <c r="I2006" s="119">
        <f t="shared" si="352"/>
        <v>0.85</v>
      </c>
      <c r="J2006" s="115" t="str">
        <f t="shared" si="353"/>
        <v/>
      </c>
      <c r="K2006" s="102" t="str">
        <f>IF(A2006&amp;B2006="","",VLOOKUP(A2006&amp;B2006,INSUMOS!C:G,5,0))</f>
        <v>MT</v>
      </c>
    </row>
    <row r="2007" spans="1:11" ht="15" x14ac:dyDescent="0.25">
      <c r="A2007" s="109" t="s">
        <v>4398</v>
      </c>
      <c r="B2007" s="116">
        <v>69514</v>
      </c>
      <c r="C2007" s="518" t="str">
        <f>IF(A2007&amp;B2007="","",VLOOKUP(A2007&amp;B2007,INSUMOS!C:G,2,0))</f>
        <v>Solução limpadora para PVC</v>
      </c>
      <c r="D2007" s="519"/>
      <c r="E2007" s="117" t="str">
        <f>IF(A2007&amp;B2007="","",VLOOKUP(A2007&amp;B2007,INSUMOS!C:G,3,0))</f>
        <v>l</v>
      </c>
      <c r="F2007" s="118">
        <v>8.0000000000000002E-3</v>
      </c>
      <c r="G2007" s="113">
        <f>IF(A2007&amp;B2007="","",VLOOKUP(A2007&amp;B2007,INSUMOS!C:G,4,0))</f>
        <v>29.11</v>
      </c>
      <c r="H2007" s="119" t="str">
        <f t="shared" si="351"/>
        <v/>
      </c>
      <c r="I2007" s="119">
        <f t="shared" si="352"/>
        <v>0.23</v>
      </c>
      <c r="J2007" s="115" t="str">
        <f t="shared" si="353"/>
        <v/>
      </c>
      <c r="K2007" s="102" t="str">
        <f>IF(A2007&amp;B2007="","",VLOOKUP(A2007&amp;B2007,INSUMOS!C:G,5,0))</f>
        <v>MT</v>
      </c>
    </row>
    <row r="2008" spans="1:11" ht="15" x14ac:dyDescent="0.25">
      <c r="A2008" s="109"/>
      <c r="B2008" s="116"/>
      <c r="C2008" s="518" t="str">
        <f>IF(A2008&amp;B2008="","",VLOOKUP(A2008&amp;B2008,INSUMOS!C:G,2,0))</f>
        <v/>
      </c>
      <c r="D2008" s="519"/>
      <c r="E2008" s="117" t="str">
        <f>IF(A2008&amp;B2008="","",VLOOKUP(A2008&amp;B2008,INSUMOS!C:G,3,0))</f>
        <v/>
      </c>
      <c r="F2008" s="118"/>
      <c r="G2008" s="113" t="str">
        <f>IF(A2008&amp;B2008="","",VLOOKUP(A2008&amp;B2008,INSUMOS!C:G,4,0))</f>
        <v/>
      </c>
      <c r="H2008" s="119" t="str">
        <f t="shared" si="351"/>
        <v/>
      </c>
      <c r="I2008" s="119" t="str">
        <f t="shared" si="352"/>
        <v/>
      </c>
      <c r="J2008" s="115" t="str">
        <f t="shared" si="353"/>
        <v/>
      </c>
      <c r="K2008" s="102" t="str">
        <f>IF(A2008&amp;B2008="","",VLOOKUP(A2008&amp;B2008,INSUMOS!C:G,5,0))</f>
        <v/>
      </c>
    </row>
    <row r="2009" spans="1:11" ht="15" x14ac:dyDescent="0.25">
      <c r="A2009" s="109"/>
      <c r="B2009" s="116"/>
      <c r="C2009" s="518" t="str">
        <f>IF(A2009&amp;B2009="","",VLOOKUP(A2009&amp;B2009,INSUMOS!C:G,2,0))</f>
        <v/>
      </c>
      <c r="D2009" s="519"/>
      <c r="E2009" s="117" t="str">
        <f>IF(A2009&amp;B2009="","",VLOOKUP(A2009&amp;B2009,INSUMOS!C:G,3,0))</f>
        <v/>
      </c>
      <c r="F2009" s="118"/>
      <c r="G2009" s="113" t="str">
        <f>IF(A2009&amp;B2009="","",VLOOKUP(A2009&amp;B2009,INSUMOS!C:G,4,0))</f>
        <v/>
      </c>
      <c r="H2009" s="119" t="str">
        <f t="shared" si="351"/>
        <v/>
      </c>
      <c r="I2009" s="119" t="str">
        <f t="shared" si="352"/>
        <v/>
      </c>
      <c r="J2009" s="115" t="str">
        <f t="shared" si="353"/>
        <v/>
      </c>
      <c r="K2009" s="102" t="str">
        <f>IF(A2009&amp;B2009="","",VLOOKUP(A2009&amp;B2009,INSUMOS!C:G,5,0))</f>
        <v/>
      </c>
    </row>
    <row r="2010" spans="1:11" ht="15" x14ac:dyDescent="0.25">
      <c r="A2010" s="109"/>
      <c r="B2010" s="116"/>
      <c r="C2010" s="518" t="str">
        <f>IF(A2010&amp;B2010="","",VLOOKUP(A2010&amp;B2010,INSUMOS!C:G,2,0))</f>
        <v/>
      </c>
      <c r="D2010" s="519"/>
      <c r="E2010" s="117" t="str">
        <f>IF(A2010&amp;B2010="","",VLOOKUP(A2010&amp;B2010,INSUMOS!C:G,3,0))</f>
        <v/>
      </c>
      <c r="F2010" s="118"/>
      <c r="G2010" s="113" t="str">
        <f>IF(A2010&amp;B2010="","",VLOOKUP(A2010&amp;B2010,INSUMOS!C:G,4,0))</f>
        <v/>
      </c>
      <c r="H2010" s="119" t="str">
        <f t="shared" si="351"/>
        <v/>
      </c>
      <c r="I2010" s="119" t="str">
        <f t="shared" si="352"/>
        <v/>
      </c>
      <c r="J2010" s="115" t="str">
        <f t="shared" si="353"/>
        <v/>
      </c>
      <c r="K2010" s="102" t="str">
        <f>IF(A2010&amp;B2010="","",VLOOKUP(A2010&amp;B2010,INSUMOS!C:G,5,0))</f>
        <v/>
      </c>
    </row>
    <row r="2011" spans="1:11" ht="15" x14ac:dyDescent="0.25">
      <c r="A2011" s="109"/>
      <c r="B2011" s="116"/>
      <c r="C2011" s="518" t="str">
        <f>IF(A2011&amp;B2011="","",VLOOKUP(A2011&amp;B2011,INSUMOS!C:G,2,0))</f>
        <v/>
      </c>
      <c r="D2011" s="519"/>
      <c r="E2011" s="117" t="str">
        <f>IF(A2011&amp;B2011="","",VLOOKUP(A2011&amp;B2011,INSUMOS!C:G,3,0))</f>
        <v/>
      </c>
      <c r="F2011" s="118"/>
      <c r="G2011" s="113" t="str">
        <f>IF(A2011&amp;B2011="","",VLOOKUP(A2011&amp;B2011,INSUMOS!C:G,4,0))</f>
        <v/>
      </c>
      <c r="H2011" s="119" t="str">
        <f t="shared" si="351"/>
        <v/>
      </c>
      <c r="I2011" s="119" t="str">
        <f t="shared" si="352"/>
        <v/>
      </c>
      <c r="J2011" s="115" t="str">
        <f t="shared" si="353"/>
        <v/>
      </c>
      <c r="K2011" s="102" t="str">
        <f>IF(A2011&amp;B2011="","",VLOOKUP(A2011&amp;B2011,INSUMOS!C:G,5,0))</f>
        <v/>
      </c>
    </row>
    <row r="2012" spans="1:11" ht="15" x14ac:dyDescent="0.25">
      <c r="A2012" s="120"/>
      <c r="B2012" s="121"/>
      <c r="C2012" s="518" t="str">
        <f>IF(A2012&amp;B2012="","",VLOOKUP(A2012&amp;B2012,INSUMOS!C:G,2,0))</f>
        <v/>
      </c>
      <c r="D2012" s="519"/>
      <c r="E2012" s="117" t="str">
        <f>IF(A2012&amp;B2012="","",VLOOKUP(A2012&amp;B2012,INSUMOS!C:G,3,0))</f>
        <v/>
      </c>
      <c r="F2012" s="118"/>
      <c r="G2012" s="122" t="str">
        <f>IF(A2012&amp;B2012="","",VLOOKUP(A2012&amp;B2012,INSUMOS!C:G,4,0))</f>
        <v/>
      </c>
      <c r="H2012" s="119" t="str">
        <f t="shared" si="351"/>
        <v/>
      </c>
      <c r="I2012" s="119" t="str">
        <f t="shared" si="352"/>
        <v/>
      </c>
      <c r="J2012" s="115" t="str">
        <f t="shared" si="353"/>
        <v/>
      </c>
      <c r="K2012" s="102" t="str">
        <f>IF(A2012&amp;B2012="","",VLOOKUP(A2012&amp;B2012,INSUMOS!C:G,5,0))</f>
        <v/>
      </c>
    </row>
    <row r="2013" spans="1:11" ht="15" x14ac:dyDescent="0.25">
      <c r="A2013" s="120"/>
      <c r="B2013" s="121"/>
      <c r="C2013" s="518" t="str">
        <f>IF(A2013&amp;B2013="","",VLOOKUP(A2013&amp;B2013,INSUMOS!C:G,2,0))</f>
        <v/>
      </c>
      <c r="D2013" s="519"/>
      <c r="E2013" s="117" t="str">
        <f>IF(A2013&amp;B2013="","",VLOOKUP(A2013&amp;B2013,INSUMOS!C:G,3,0))</f>
        <v/>
      </c>
      <c r="F2013" s="118"/>
      <c r="G2013" s="122" t="str">
        <f>IF(A2013&amp;B2013="","",VLOOKUP(A2013&amp;B2013,INSUMOS!C:G,4,0))</f>
        <v/>
      </c>
      <c r="H2013" s="119" t="str">
        <f t="shared" si="351"/>
        <v/>
      </c>
      <c r="I2013" s="119" t="str">
        <f t="shared" si="352"/>
        <v/>
      </c>
      <c r="J2013" s="115" t="str">
        <f t="shared" si="353"/>
        <v/>
      </c>
      <c r="K2013" s="102" t="str">
        <f>IF(A2013&amp;B2013="","",VLOOKUP(A2013&amp;B2013,INSUMOS!C:G,5,0))</f>
        <v/>
      </c>
    </row>
    <row r="2014" spans="1:11" ht="15" x14ac:dyDescent="0.25">
      <c r="A2014" s="120"/>
      <c r="B2014" s="121"/>
      <c r="C2014" s="518" t="str">
        <f>IF(A2014&amp;B2014="","",VLOOKUP(A2014&amp;B2014,INSUMOS!C:G,2,0))</f>
        <v/>
      </c>
      <c r="D2014" s="519"/>
      <c r="E2014" s="117" t="str">
        <f>IF(A2014&amp;B2014="","",VLOOKUP(A2014&amp;B2014,INSUMOS!C:G,3,0))</f>
        <v/>
      </c>
      <c r="F2014" s="118"/>
      <c r="G2014" s="122" t="str">
        <f>IF(A2014&amp;B2014="","",VLOOKUP(A2014&amp;B2014,INSUMOS!C:G,4,0))</f>
        <v/>
      </c>
      <c r="H2014" s="119" t="str">
        <f t="shared" si="351"/>
        <v/>
      </c>
      <c r="I2014" s="119" t="str">
        <f t="shared" si="352"/>
        <v/>
      </c>
      <c r="J2014" s="115" t="str">
        <f t="shared" si="353"/>
        <v/>
      </c>
      <c r="K2014" s="102" t="str">
        <f>IF(A2014&amp;B2014="","",VLOOKUP(A2014&amp;B2014,INSUMOS!C:G,5,0))</f>
        <v/>
      </c>
    </row>
    <row r="2015" spans="1:11" ht="15" x14ac:dyDescent="0.25">
      <c r="A2015" s="123" t="s">
        <v>4399</v>
      </c>
      <c r="B2015" s="542" t="s">
        <v>5237</v>
      </c>
      <c r="C2015" s="542"/>
      <c r="D2015" s="542"/>
      <c r="E2015" s="542"/>
      <c r="F2015" s="543"/>
      <c r="G2015" s="124" t="s">
        <v>50</v>
      </c>
      <c r="H2015" s="125">
        <f>SUM(H2002:H2014)</f>
        <v>1.6600000000000001</v>
      </c>
      <c r="I2015" s="125">
        <f>SUM(I2002:I2014)</f>
        <v>1.4</v>
      </c>
      <c r="J2015" s="126">
        <f>SUM(J2002:J2014)</f>
        <v>0</v>
      </c>
    </row>
    <row r="2016" spans="1:11" ht="15" x14ac:dyDescent="0.25">
      <c r="A2016" s="127" t="s">
        <v>4400</v>
      </c>
      <c r="B2016" s="128"/>
      <c r="C2016" s="128"/>
      <c r="D2016" s="127" t="s">
        <v>51</v>
      </c>
      <c r="E2016" s="128"/>
      <c r="F2016" s="129"/>
      <c r="G2016" s="130" t="s">
        <v>55</v>
      </c>
      <c r="H2016" s="131" t="s">
        <v>52</v>
      </c>
      <c r="I2016" s="132"/>
      <c r="J2016" s="125">
        <f>SUM(H2015:J2015)</f>
        <v>3.06</v>
      </c>
    </row>
    <row r="2017" spans="1:17" ht="15" x14ac:dyDescent="0.25">
      <c r="A2017" s="313" t="str">
        <f>$I$3</f>
        <v>Carlos Wieck</v>
      </c>
      <c r="B2017" s="133"/>
      <c r="C2017" s="133"/>
      <c r="D2017" s="134"/>
      <c r="E2017" s="133"/>
      <c r="F2017" s="135"/>
      <c r="G2017" s="522">
        <f>$J$5</f>
        <v>43040</v>
      </c>
      <c r="H2017" s="136" t="s">
        <v>53</v>
      </c>
      <c r="I2017" s="137"/>
      <c r="J2017" s="125">
        <f>TRUNC(I2017*J2016,2)</f>
        <v>0</v>
      </c>
    </row>
    <row r="2018" spans="1:17" ht="15" x14ac:dyDescent="0.25">
      <c r="A2018" s="314"/>
      <c r="B2018" s="139"/>
      <c r="C2018" s="139"/>
      <c r="D2018" s="138"/>
      <c r="E2018" s="139"/>
      <c r="F2018" s="140"/>
      <c r="G2018" s="523"/>
      <c r="H2018" s="141" t="s">
        <v>54</v>
      </c>
      <c r="I2018" s="142"/>
      <c r="J2018" s="143">
        <f>J2017+J2016</f>
        <v>3.06</v>
      </c>
      <c r="L2018" s="102" t="str">
        <f>A1999</f>
        <v>COMPOSIÇÃO</v>
      </c>
      <c r="M2018" s="144" t="str">
        <f>B1999</f>
        <v>FF-084</v>
      </c>
      <c r="N2018" s="102" t="str">
        <f>L2018&amp;M2018</f>
        <v>COMPOSIÇÃOFF-084</v>
      </c>
      <c r="O2018" s="103" t="str">
        <f>D1998</f>
        <v>Luva soldável, PVC 32mm, para água fria predial instalado em ramal ou sub-ramal de água fornecimento e instalação.</v>
      </c>
      <c r="P2018" s="145" t="str">
        <f>J1999</f>
        <v>un</v>
      </c>
      <c r="Q2018" s="145">
        <f>J2018</f>
        <v>3.06</v>
      </c>
    </row>
    <row r="2019" spans="1:17" ht="15" customHeight="1" x14ac:dyDescent="0.25">
      <c r="A2019" s="524" t="s">
        <v>40</v>
      </c>
      <c r="B2019" s="525"/>
      <c r="C2019" s="104" t="s">
        <v>41</v>
      </c>
      <c r="D2019" s="526" t="str">
        <f>IF(B2020="","",VLOOKUP(B2020,SERVIÇOS!B:E,3,0))</f>
        <v>Luva soldável, PVC 50mm, para água fria predial instalado em ramal ou sub-ramal de água fornecimento e instalação.</v>
      </c>
      <c r="E2019" s="526"/>
      <c r="F2019" s="526"/>
      <c r="G2019" s="526"/>
      <c r="H2019" s="526"/>
      <c r="I2019" s="527"/>
      <c r="J2019" s="105" t="s">
        <v>42</v>
      </c>
    </row>
    <row r="2020" spans="1:17" ht="15" x14ac:dyDescent="0.25">
      <c r="A2020" s="230" t="s">
        <v>4715</v>
      </c>
      <c r="B2020" s="230" t="s">
        <v>5217</v>
      </c>
      <c r="C2020" s="106"/>
      <c r="D2020" s="528"/>
      <c r="E2020" s="528"/>
      <c r="F2020" s="528"/>
      <c r="G2020" s="528"/>
      <c r="H2020" s="528"/>
      <c r="I2020" s="529"/>
      <c r="J2020" s="107" t="str">
        <f>IF(B2020="","",VLOOKUP(B2020,SERVIÇOS!B:E,4,0))</f>
        <v>un</v>
      </c>
    </row>
    <row r="2021" spans="1:17" ht="15" x14ac:dyDescent="0.25">
      <c r="A2021" s="530" t="s">
        <v>4397</v>
      </c>
      <c r="B2021" s="531" t="s">
        <v>11</v>
      </c>
      <c r="C2021" s="533" t="s">
        <v>43</v>
      </c>
      <c r="D2021" s="534"/>
      <c r="E2021" s="530" t="s">
        <v>13</v>
      </c>
      <c r="F2021" s="530" t="s">
        <v>44</v>
      </c>
      <c r="G2021" s="538" t="s">
        <v>45</v>
      </c>
      <c r="H2021" s="108" t="s">
        <v>46</v>
      </c>
      <c r="I2021" s="108"/>
      <c r="J2021" s="108"/>
    </row>
    <row r="2022" spans="1:17" ht="15" x14ac:dyDescent="0.25">
      <c r="A2022" s="530"/>
      <c r="B2022" s="532"/>
      <c r="C2022" s="535"/>
      <c r="D2022" s="536"/>
      <c r="E2022" s="537"/>
      <c r="F2022" s="537"/>
      <c r="G2022" s="539"/>
      <c r="H2022" s="108" t="s">
        <v>47</v>
      </c>
      <c r="I2022" s="108" t="s">
        <v>48</v>
      </c>
      <c r="J2022" s="108" t="s">
        <v>49</v>
      </c>
    </row>
    <row r="2023" spans="1:17" ht="15" x14ac:dyDescent="0.25">
      <c r="A2023" s="109" t="s">
        <v>4398</v>
      </c>
      <c r="B2023" s="110">
        <v>10119</v>
      </c>
      <c r="C2023" s="540" t="str">
        <f>IF(A2023&amp;B2023="","",VLOOKUP(A2023&amp;B2023,INSUMOS!C:G,2,0))</f>
        <v>Ajudante de encanador</v>
      </c>
      <c r="D2023" s="541"/>
      <c r="E2023" s="111" t="str">
        <f>IF(A2023&amp;B2023="","",VLOOKUP(A2023&amp;B2023,INSUMOS!C:G,3,0))</f>
        <v>h</v>
      </c>
      <c r="F2023" s="112">
        <v>0.06</v>
      </c>
      <c r="G2023" s="113">
        <f>IF(A2023&amp;B2023="","",VLOOKUP(A2023&amp;B2023,INSUMOS!C:G,4,0))</f>
        <v>10.985028</v>
      </c>
      <c r="H2023" s="114">
        <f>IF(K2023="MO",TRUNC(F2023*G2023,2),"")</f>
        <v>0.65</v>
      </c>
      <c r="I2023" s="114" t="str">
        <f>IF(K2023="MT",TRUNC(F2023*G2023,2),"")</f>
        <v/>
      </c>
      <c r="J2023" s="115" t="str">
        <f>IF(K2023="EQ",TRUNC(F2023*G2023,2),"")</f>
        <v/>
      </c>
      <c r="K2023" s="102" t="str">
        <f>IF(A2023&amp;B2023="","",VLOOKUP(A2023&amp;B2023,INSUMOS!C:G,5,0))</f>
        <v>MO</v>
      </c>
    </row>
    <row r="2024" spans="1:17" ht="15" x14ac:dyDescent="0.25">
      <c r="A2024" s="109" t="s">
        <v>4398</v>
      </c>
      <c r="B2024" s="116">
        <v>10118</v>
      </c>
      <c r="C2024" s="518" t="str">
        <f>IF(A2024&amp;B2024="","",VLOOKUP(A2024&amp;B2024,INSUMOS!C:G,2,0))</f>
        <v xml:space="preserve">Encanador </v>
      </c>
      <c r="D2024" s="519"/>
      <c r="E2024" s="117" t="str">
        <f>IF(A2024&amp;B2024="","",VLOOKUP(A2024&amp;B2024,INSUMOS!C:G,3,0))</f>
        <v>h</v>
      </c>
      <c r="F2024" s="118">
        <v>0.06</v>
      </c>
      <c r="G2024" s="113">
        <f>IF(A2024&amp;B2024="","",VLOOKUP(A2024&amp;B2024,INSUMOS!C:G,4,0))</f>
        <v>16.906036</v>
      </c>
      <c r="H2024" s="119">
        <f t="shared" ref="H2024:H2035" si="354">IF(K2024="MO",TRUNC(F2024*G2024,2),"")</f>
        <v>1.01</v>
      </c>
      <c r="I2024" s="119" t="str">
        <f t="shared" ref="I2024:I2035" si="355">IF(K2024="MT",TRUNC(F2024*G2024,2),"")</f>
        <v/>
      </c>
      <c r="J2024" s="115" t="str">
        <f t="shared" ref="J2024:J2035" si="356">IF(K2024="EQ",TRUNC(F2024*G2024,2),"")</f>
        <v/>
      </c>
      <c r="K2024" s="102" t="str">
        <f>IF(A2024&amp;B2024="","",VLOOKUP(A2024&amp;B2024,INSUMOS!C:G,5,0))</f>
        <v>MO</v>
      </c>
    </row>
    <row r="2025" spans="1:17" ht="15" x14ac:dyDescent="0.25">
      <c r="A2025" s="109" t="s">
        <v>4398</v>
      </c>
      <c r="B2025" s="116">
        <v>69513</v>
      </c>
      <c r="C2025" s="518" t="str">
        <f>IF(A2025&amp;B2025="","",VLOOKUP(A2025&amp;B2025,INSUMOS!C:G,2,0))</f>
        <v>Adesivo para tubos PVC</v>
      </c>
      <c r="D2025" s="519"/>
      <c r="E2025" s="117" t="str">
        <f>IF(A2025&amp;B2025="","",VLOOKUP(A2025&amp;B2025,INSUMOS!C:G,3,0))</f>
        <v>kg</v>
      </c>
      <c r="F2025" s="118">
        <v>7.0000000000000001E-3</v>
      </c>
      <c r="G2025" s="113">
        <f>IF(A2025&amp;B2025="","",VLOOKUP(A2025&amp;B2025,INSUMOS!C:G,4,0))</f>
        <v>42.49</v>
      </c>
      <c r="H2025" s="119" t="str">
        <f t="shared" si="354"/>
        <v/>
      </c>
      <c r="I2025" s="119">
        <f t="shared" si="355"/>
        <v>0.28999999999999998</v>
      </c>
      <c r="J2025" s="115" t="str">
        <f t="shared" si="356"/>
        <v/>
      </c>
      <c r="K2025" s="102" t="str">
        <f>IF(A2025&amp;B2025="","",VLOOKUP(A2025&amp;B2025,INSUMOS!C:G,5,0))</f>
        <v>MT</v>
      </c>
    </row>
    <row r="2026" spans="1:17" ht="15" x14ac:dyDescent="0.25">
      <c r="A2026" s="109" t="s">
        <v>4398</v>
      </c>
      <c r="B2026" s="116">
        <v>38040</v>
      </c>
      <c r="C2026" s="518" t="str">
        <f>IF(A2026&amp;B2026="","",VLOOKUP(A2026&amp;B2026,INSUMOS!C:G,2,0))</f>
        <v>Lixa d´água, ref. Norton n° 80, Aquaflex ou equivalente</v>
      </c>
      <c r="D2026" s="519"/>
      <c r="E2026" s="117" t="str">
        <f>IF(A2026&amp;B2026="","",VLOOKUP(A2026&amp;B2026,INSUMOS!C:G,3,0))</f>
        <v>un</v>
      </c>
      <c r="F2026" s="118">
        <v>0.03</v>
      </c>
      <c r="G2026" s="113">
        <f>IF(A2026&amp;B2026="","",VLOOKUP(A2026&amp;B2026,INSUMOS!C:G,4,0))</f>
        <v>1.04</v>
      </c>
      <c r="H2026" s="119" t="str">
        <f t="shared" si="354"/>
        <v/>
      </c>
      <c r="I2026" s="119">
        <f t="shared" si="355"/>
        <v>0.03</v>
      </c>
      <c r="J2026" s="115" t="str">
        <f t="shared" si="356"/>
        <v/>
      </c>
      <c r="K2026" s="102" t="str">
        <f>IF(A2026&amp;B2026="","",VLOOKUP(A2026&amp;B2026,INSUMOS!C:G,5,0))</f>
        <v>MT</v>
      </c>
    </row>
    <row r="2027" spans="1:17" ht="15" x14ac:dyDescent="0.25">
      <c r="A2027" s="109" t="s">
        <v>4810</v>
      </c>
      <c r="B2027" s="116">
        <v>3863</v>
      </c>
      <c r="C2027" s="518" t="str">
        <f>IF(A2027&amp;B2027="","",VLOOKUP(A2027&amp;B2027,INSUMOS!C:G,2,0))</f>
        <v>Luva PVC soldável, 50 mm, para água fria predial</v>
      </c>
      <c r="D2027" s="519"/>
      <c r="E2027" s="117" t="str">
        <f>IF(A2027&amp;B2027="","",VLOOKUP(A2027&amp;B2027,INSUMOS!C:G,3,0))</f>
        <v>un</v>
      </c>
      <c r="F2027" s="118">
        <v>1</v>
      </c>
      <c r="G2027" s="113">
        <f>IF(A2027&amp;B2027="","",VLOOKUP(A2027&amp;B2027,INSUMOS!C:G,4,0))</f>
        <v>2.21</v>
      </c>
      <c r="H2027" s="119" t="str">
        <f t="shared" si="354"/>
        <v/>
      </c>
      <c r="I2027" s="119">
        <f t="shared" si="355"/>
        <v>2.21</v>
      </c>
      <c r="J2027" s="115" t="str">
        <f t="shared" si="356"/>
        <v/>
      </c>
      <c r="K2027" s="102" t="str">
        <f>IF(A2027&amp;B2027="","",VLOOKUP(A2027&amp;B2027,INSUMOS!C:G,5,0))</f>
        <v>MT</v>
      </c>
    </row>
    <row r="2028" spans="1:17" ht="15" x14ac:dyDescent="0.25">
      <c r="A2028" s="109" t="s">
        <v>4398</v>
      </c>
      <c r="B2028" s="116">
        <v>69514</v>
      </c>
      <c r="C2028" s="518" t="str">
        <f>IF(A2028&amp;B2028="","",VLOOKUP(A2028&amp;B2028,INSUMOS!C:G,2,0))</f>
        <v>Solução limpadora para PVC</v>
      </c>
      <c r="D2028" s="519"/>
      <c r="E2028" s="117" t="str">
        <f>IF(A2028&amp;B2028="","",VLOOKUP(A2028&amp;B2028,INSUMOS!C:G,3,0))</f>
        <v>l</v>
      </c>
      <c r="F2028" s="118">
        <v>8.0000000000000002E-3</v>
      </c>
      <c r="G2028" s="113">
        <f>IF(A2028&amp;B2028="","",VLOOKUP(A2028&amp;B2028,INSUMOS!C:G,4,0))</f>
        <v>29.11</v>
      </c>
      <c r="H2028" s="119" t="str">
        <f t="shared" si="354"/>
        <v/>
      </c>
      <c r="I2028" s="119">
        <f t="shared" si="355"/>
        <v>0.23</v>
      </c>
      <c r="J2028" s="115" t="str">
        <f t="shared" si="356"/>
        <v/>
      </c>
      <c r="K2028" s="102" t="str">
        <f>IF(A2028&amp;B2028="","",VLOOKUP(A2028&amp;B2028,INSUMOS!C:G,5,0))</f>
        <v>MT</v>
      </c>
    </row>
    <row r="2029" spans="1:17" ht="15" x14ac:dyDescent="0.25">
      <c r="A2029" s="109"/>
      <c r="B2029" s="116"/>
      <c r="C2029" s="518" t="str">
        <f>IF(A2029&amp;B2029="","",VLOOKUP(A2029&amp;B2029,INSUMOS!C:G,2,0))</f>
        <v/>
      </c>
      <c r="D2029" s="519"/>
      <c r="E2029" s="117" t="str">
        <f>IF(A2029&amp;B2029="","",VLOOKUP(A2029&amp;B2029,INSUMOS!C:G,3,0))</f>
        <v/>
      </c>
      <c r="F2029" s="118"/>
      <c r="G2029" s="113" t="str">
        <f>IF(A2029&amp;B2029="","",VLOOKUP(A2029&amp;B2029,INSUMOS!C:G,4,0))</f>
        <v/>
      </c>
      <c r="H2029" s="119" t="str">
        <f t="shared" si="354"/>
        <v/>
      </c>
      <c r="I2029" s="119" t="str">
        <f t="shared" si="355"/>
        <v/>
      </c>
      <c r="J2029" s="115" t="str">
        <f t="shared" si="356"/>
        <v/>
      </c>
      <c r="K2029" s="102" t="str">
        <f>IF(A2029&amp;B2029="","",VLOOKUP(A2029&amp;B2029,INSUMOS!C:G,5,0))</f>
        <v/>
      </c>
    </row>
    <row r="2030" spans="1:17" ht="15" x14ac:dyDescent="0.25">
      <c r="A2030" s="109"/>
      <c r="B2030" s="116"/>
      <c r="C2030" s="518" t="str">
        <f>IF(A2030&amp;B2030="","",VLOOKUP(A2030&amp;B2030,INSUMOS!C:G,2,0))</f>
        <v/>
      </c>
      <c r="D2030" s="519"/>
      <c r="E2030" s="117" t="str">
        <f>IF(A2030&amp;B2030="","",VLOOKUP(A2030&amp;B2030,INSUMOS!C:G,3,0))</f>
        <v/>
      </c>
      <c r="F2030" s="118"/>
      <c r="G2030" s="113" t="str">
        <f>IF(A2030&amp;B2030="","",VLOOKUP(A2030&amp;B2030,INSUMOS!C:G,4,0))</f>
        <v/>
      </c>
      <c r="H2030" s="119" t="str">
        <f t="shared" si="354"/>
        <v/>
      </c>
      <c r="I2030" s="119" t="str">
        <f t="shared" si="355"/>
        <v/>
      </c>
      <c r="J2030" s="115" t="str">
        <f t="shared" si="356"/>
        <v/>
      </c>
      <c r="K2030" s="102" t="str">
        <f>IF(A2030&amp;B2030="","",VLOOKUP(A2030&amp;B2030,INSUMOS!C:G,5,0))</f>
        <v/>
      </c>
    </row>
    <row r="2031" spans="1:17" ht="15" x14ac:dyDescent="0.25">
      <c r="A2031" s="109"/>
      <c r="B2031" s="116"/>
      <c r="C2031" s="518" t="str">
        <f>IF(A2031&amp;B2031="","",VLOOKUP(A2031&amp;B2031,INSUMOS!C:G,2,0))</f>
        <v/>
      </c>
      <c r="D2031" s="519"/>
      <c r="E2031" s="117" t="str">
        <f>IF(A2031&amp;B2031="","",VLOOKUP(A2031&amp;B2031,INSUMOS!C:G,3,0))</f>
        <v/>
      </c>
      <c r="F2031" s="118"/>
      <c r="G2031" s="113" t="str">
        <f>IF(A2031&amp;B2031="","",VLOOKUP(A2031&amp;B2031,INSUMOS!C:G,4,0))</f>
        <v/>
      </c>
      <c r="H2031" s="119" t="str">
        <f t="shared" si="354"/>
        <v/>
      </c>
      <c r="I2031" s="119" t="str">
        <f t="shared" si="355"/>
        <v/>
      </c>
      <c r="J2031" s="115" t="str">
        <f t="shared" si="356"/>
        <v/>
      </c>
      <c r="K2031" s="102" t="str">
        <f>IF(A2031&amp;B2031="","",VLOOKUP(A2031&amp;B2031,INSUMOS!C:G,5,0))</f>
        <v/>
      </c>
    </row>
    <row r="2032" spans="1:17" ht="15" x14ac:dyDescent="0.25">
      <c r="A2032" s="109"/>
      <c r="B2032" s="116"/>
      <c r="C2032" s="518" t="str">
        <f>IF(A2032&amp;B2032="","",VLOOKUP(A2032&amp;B2032,INSUMOS!C:G,2,0))</f>
        <v/>
      </c>
      <c r="D2032" s="519"/>
      <c r="E2032" s="117" t="str">
        <f>IF(A2032&amp;B2032="","",VLOOKUP(A2032&amp;B2032,INSUMOS!C:G,3,0))</f>
        <v/>
      </c>
      <c r="F2032" s="118"/>
      <c r="G2032" s="113" t="str">
        <f>IF(A2032&amp;B2032="","",VLOOKUP(A2032&amp;B2032,INSUMOS!C:G,4,0))</f>
        <v/>
      </c>
      <c r="H2032" s="119" t="str">
        <f t="shared" si="354"/>
        <v/>
      </c>
      <c r="I2032" s="119" t="str">
        <f t="shared" si="355"/>
        <v/>
      </c>
      <c r="J2032" s="115" t="str">
        <f t="shared" si="356"/>
        <v/>
      </c>
      <c r="K2032" s="102" t="str">
        <f>IF(A2032&amp;B2032="","",VLOOKUP(A2032&amp;B2032,INSUMOS!C:G,5,0))</f>
        <v/>
      </c>
    </row>
    <row r="2033" spans="1:17" ht="15" x14ac:dyDescent="0.25">
      <c r="A2033" s="120"/>
      <c r="B2033" s="121"/>
      <c r="C2033" s="518" t="str">
        <f>IF(A2033&amp;B2033="","",VLOOKUP(A2033&amp;B2033,INSUMOS!C:G,2,0))</f>
        <v/>
      </c>
      <c r="D2033" s="519"/>
      <c r="E2033" s="117" t="str">
        <f>IF(A2033&amp;B2033="","",VLOOKUP(A2033&amp;B2033,INSUMOS!C:G,3,0))</f>
        <v/>
      </c>
      <c r="F2033" s="118"/>
      <c r="G2033" s="122" t="str">
        <f>IF(A2033&amp;B2033="","",VLOOKUP(A2033&amp;B2033,INSUMOS!C:G,4,0))</f>
        <v/>
      </c>
      <c r="H2033" s="119" t="str">
        <f t="shared" si="354"/>
        <v/>
      </c>
      <c r="I2033" s="119" t="str">
        <f t="shared" si="355"/>
        <v/>
      </c>
      <c r="J2033" s="115" t="str">
        <f t="shared" si="356"/>
        <v/>
      </c>
      <c r="K2033" s="102" t="str">
        <f>IF(A2033&amp;B2033="","",VLOOKUP(A2033&amp;B2033,INSUMOS!C:G,5,0))</f>
        <v/>
      </c>
    </row>
    <row r="2034" spans="1:17" ht="15" x14ac:dyDescent="0.25">
      <c r="A2034" s="120"/>
      <c r="B2034" s="121"/>
      <c r="C2034" s="518" t="str">
        <f>IF(A2034&amp;B2034="","",VLOOKUP(A2034&amp;B2034,INSUMOS!C:G,2,0))</f>
        <v/>
      </c>
      <c r="D2034" s="519"/>
      <c r="E2034" s="117" t="str">
        <f>IF(A2034&amp;B2034="","",VLOOKUP(A2034&amp;B2034,INSUMOS!C:G,3,0))</f>
        <v/>
      </c>
      <c r="F2034" s="118"/>
      <c r="G2034" s="122" t="str">
        <f>IF(A2034&amp;B2034="","",VLOOKUP(A2034&amp;B2034,INSUMOS!C:G,4,0))</f>
        <v/>
      </c>
      <c r="H2034" s="119" t="str">
        <f t="shared" si="354"/>
        <v/>
      </c>
      <c r="I2034" s="119" t="str">
        <f t="shared" si="355"/>
        <v/>
      </c>
      <c r="J2034" s="115" t="str">
        <f t="shared" si="356"/>
        <v/>
      </c>
      <c r="K2034" s="102" t="str">
        <f>IF(A2034&amp;B2034="","",VLOOKUP(A2034&amp;B2034,INSUMOS!C:G,5,0))</f>
        <v/>
      </c>
    </row>
    <row r="2035" spans="1:17" ht="15" x14ac:dyDescent="0.25">
      <c r="A2035" s="120"/>
      <c r="B2035" s="121"/>
      <c r="C2035" s="518" t="str">
        <f>IF(A2035&amp;B2035="","",VLOOKUP(A2035&amp;B2035,INSUMOS!C:G,2,0))</f>
        <v/>
      </c>
      <c r="D2035" s="519"/>
      <c r="E2035" s="117" t="str">
        <f>IF(A2035&amp;B2035="","",VLOOKUP(A2035&amp;B2035,INSUMOS!C:G,3,0))</f>
        <v/>
      </c>
      <c r="F2035" s="118"/>
      <c r="G2035" s="122" t="str">
        <f>IF(A2035&amp;B2035="","",VLOOKUP(A2035&amp;B2035,INSUMOS!C:G,4,0))</f>
        <v/>
      </c>
      <c r="H2035" s="119" t="str">
        <f t="shared" si="354"/>
        <v/>
      </c>
      <c r="I2035" s="119" t="str">
        <f t="shared" si="355"/>
        <v/>
      </c>
      <c r="J2035" s="115" t="str">
        <f t="shared" si="356"/>
        <v/>
      </c>
      <c r="K2035" s="102" t="str">
        <f>IF(A2035&amp;B2035="","",VLOOKUP(A2035&amp;B2035,INSUMOS!C:G,5,0))</f>
        <v/>
      </c>
    </row>
    <row r="2036" spans="1:17" ht="15" x14ac:dyDescent="0.25">
      <c r="A2036" s="123" t="s">
        <v>4399</v>
      </c>
      <c r="B2036" s="542" t="s">
        <v>5237</v>
      </c>
      <c r="C2036" s="542"/>
      <c r="D2036" s="542"/>
      <c r="E2036" s="542"/>
      <c r="F2036" s="543"/>
      <c r="G2036" s="124" t="s">
        <v>50</v>
      </c>
      <c r="H2036" s="125">
        <f>SUM(H2023:H2035)</f>
        <v>1.6600000000000001</v>
      </c>
      <c r="I2036" s="125">
        <f>SUM(I2023:I2035)</f>
        <v>2.76</v>
      </c>
      <c r="J2036" s="126">
        <f>SUM(J2023:J2035)</f>
        <v>0</v>
      </c>
    </row>
    <row r="2037" spans="1:17" ht="15" x14ac:dyDescent="0.25">
      <c r="A2037" s="127" t="s">
        <v>4400</v>
      </c>
      <c r="B2037" s="128"/>
      <c r="C2037" s="128"/>
      <c r="D2037" s="127" t="s">
        <v>51</v>
      </c>
      <c r="E2037" s="128"/>
      <c r="F2037" s="129"/>
      <c r="G2037" s="130" t="s">
        <v>55</v>
      </c>
      <c r="H2037" s="131" t="s">
        <v>52</v>
      </c>
      <c r="I2037" s="132"/>
      <c r="J2037" s="125">
        <f>SUM(H2036:J2036)</f>
        <v>4.42</v>
      </c>
    </row>
    <row r="2038" spans="1:17" ht="15" x14ac:dyDescent="0.25">
      <c r="A2038" s="313" t="str">
        <f>$I$3</f>
        <v>Carlos Wieck</v>
      </c>
      <c r="B2038" s="133"/>
      <c r="C2038" s="133"/>
      <c r="D2038" s="134"/>
      <c r="E2038" s="133"/>
      <c r="F2038" s="135"/>
      <c r="G2038" s="522">
        <f>$J$5</f>
        <v>43040</v>
      </c>
      <c r="H2038" s="136" t="s">
        <v>53</v>
      </c>
      <c r="I2038" s="137"/>
      <c r="J2038" s="125">
        <f>TRUNC(I2038*J2037,2)</f>
        <v>0</v>
      </c>
    </row>
    <row r="2039" spans="1:17" ht="15" x14ac:dyDescent="0.25">
      <c r="A2039" s="314"/>
      <c r="B2039" s="139"/>
      <c r="C2039" s="139"/>
      <c r="D2039" s="138"/>
      <c r="E2039" s="139"/>
      <c r="F2039" s="140"/>
      <c r="G2039" s="523"/>
      <c r="H2039" s="141" t="s">
        <v>54</v>
      </c>
      <c r="I2039" s="142"/>
      <c r="J2039" s="143">
        <f>J2038+J2037</f>
        <v>4.42</v>
      </c>
      <c r="L2039" s="102" t="str">
        <f>A2020</f>
        <v>COMPOSIÇÃO</v>
      </c>
      <c r="M2039" s="144" t="str">
        <f>B2020</f>
        <v>FF-085</v>
      </c>
      <c r="N2039" s="102" t="str">
        <f>L2039&amp;M2039</f>
        <v>COMPOSIÇÃOFF-085</v>
      </c>
      <c r="O2039" s="103" t="str">
        <f>D2019</f>
        <v>Luva soldável, PVC 50mm, para água fria predial instalado em ramal ou sub-ramal de água fornecimento e instalação.</v>
      </c>
      <c r="P2039" s="145" t="str">
        <f>J2020</f>
        <v>un</v>
      </c>
      <c r="Q2039" s="145">
        <f>J2039</f>
        <v>4.42</v>
      </c>
    </row>
    <row r="2040" spans="1:17" ht="15" customHeight="1" x14ac:dyDescent="0.25">
      <c r="A2040" s="524" t="s">
        <v>40</v>
      </c>
      <c r="B2040" s="525"/>
      <c r="C2040" s="104" t="s">
        <v>41</v>
      </c>
      <c r="D2040" s="526" t="str">
        <f>IF(B2041="","",VLOOKUP(B2041,SERVIÇOS!B:E,3,0))</f>
        <v>Luva soldável, PVC 60mm, para água fria predial instalado em ramal ou sub-ramal de água fornecimento e instalação.</v>
      </c>
      <c r="E2040" s="526"/>
      <c r="F2040" s="526"/>
      <c r="G2040" s="526"/>
      <c r="H2040" s="526"/>
      <c r="I2040" s="527"/>
      <c r="J2040" s="105" t="s">
        <v>42</v>
      </c>
    </row>
    <row r="2041" spans="1:17" ht="15" x14ac:dyDescent="0.25">
      <c r="A2041" s="230" t="s">
        <v>4715</v>
      </c>
      <c r="B2041" s="230" t="s">
        <v>5218</v>
      </c>
      <c r="C2041" s="106"/>
      <c r="D2041" s="528"/>
      <c r="E2041" s="528"/>
      <c r="F2041" s="528"/>
      <c r="G2041" s="528"/>
      <c r="H2041" s="528"/>
      <c r="I2041" s="529"/>
      <c r="J2041" s="107" t="str">
        <f>IF(B2041="","",VLOOKUP(B2041,SERVIÇOS!B:E,4,0))</f>
        <v>un</v>
      </c>
    </row>
    <row r="2042" spans="1:17" ht="15" x14ac:dyDescent="0.25">
      <c r="A2042" s="530" t="s">
        <v>4397</v>
      </c>
      <c r="B2042" s="531" t="s">
        <v>11</v>
      </c>
      <c r="C2042" s="533" t="s">
        <v>43</v>
      </c>
      <c r="D2042" s="534"/>
      <c r="E2042" s="530" t="s">
        <v>13</v>
      </c>
      <c r="F2042" s="530" t="s">
        <v>44</v>
      </c>
      <c r="G2042" s="538" t="s">
        <v>45</v>
      </c>
      <c r="H2042" s="108" t="s">
        <v>46</v>
      </c>
      <c r="I2042" s="108"/>
      <c r="J2042" s="108"/>
    </row>
    <row r="2043" spans="1:17" ht="15" x14ac:dyDescent="0.25">
      <c r="A2043" s="530"/>
      <c r="B2043" s="532"/>
      <c r="C2043" s="535"/>
      <c r="D2043" s="536"/>
      <c r="E2043" s="537"/>
      <c r="F2043" s="537"/>
      <c r="G2043" s="539"/>
      <c r="H2043" s="108" t="s">
        <v>47</v>
      </c>
      <c r="I2043" s="108" t="s">
        <v>48</v>
      </c>
      <c r="J2043" s="108" t="s">
        <v>49</v>
      </c>
    </row>
    <row r="2044" spans="1:17" ht="15" x14ac:dyDescent="0.25">
      <c r="A2044" s="109" t="s">
        <v>4398</v>
      </c>
      <c r="B2044" s="110">
        <v>10119</v>
      </c>
      <c r="C2044" s="540" t="str">
        <f>IF(A2044&amp;B2044="","",VLOOKUP(A2044&amp;B2044,INSUMOS!C:G,2,0))</f>
        <v>Ajudante de encanador</v>
      </c>
      <c r="D2044" s="541"/>
      <c r="E2044" s="111" t="str">
        <f>IF(A2044&amp;B2044="","",VLOOKUP(A2044&amp;B2044,INSUMOS!C:G,3,0))</f>
        <v>h</v>
      </c>
      <c r="F2044" s="112">
        <v>0.06</v>
      </c>
      <c r="G2044" s="113">
        <f>IF(A2044&amp;B2044="","",VLOOKUP(A2044&amp;B2044,INSUMOS!C:G,4,0))</f>
        <v>10.985028</v>
      </c>
      <c r="H2044" s="114">
        <f>IF(K2044="MO",TRUNC(F2044*G2044,2),"")</f>
        <v>0.65</v>
      </c>
      <c r="I2044" s="114" t="str">
        <f>IF(K2044="MT",TRUNC(F2044*G2044,2),"")</f>
        <v/>
      </c>
      <c r="J2044" s="115" t="str">
        <f>IF(K2044="EQ",TRUNC(F2044*G2044,2),"")</f>
        <v/>
      </c>
      <c r="K2044" s="102" t="str">
        <f>IF(A2044&amp;B2044="","",VLOOKUP(A2044&amp;B2044,INSUMOS!C:G,5,0))</f>
        <v>MO</v>
      </c>
    </row>
    <row r="2045" spans="1:17" ht="15" x14ac:dyDescent="0.25">
      <c r="A2045" s="109" t="s">
        <v>4398</v>
      </c>
      <c r="B2045" s="116">
        <v>10118</v>
      </c>
      <c r="C2045" s="518" t="str">
        <f>IF(A2045&amp;B2045="","",VLOOKUP(A2045&amp;B2045,INSUMOS!C:G,2,0))</f>
        <v xml:space="preserve">Encanador </v>
      </c>
      <c r="D2045" s="519"/>
      <c r="E2045" s="117" t="str">
        <f>IF(A2045&amp;B2045="","",VLOOKUP(A2045&amp;B2045,INSUMOS!C:G,3,0))</f>
        <v>h</v>
      </c>
      <c r="F2045" s="118">
        <v>0.06</v>
      </c>
      <c r="G2045" s="113">
        <f>IF(A2045&amp;B2045="","",VLOOKUP(A2045&amp;B2045,INSUMOS!C:G,4,0))</f>
        <v>16.906036</v>
      </c>
      <c r="H2045" s="119">
        <f t="shared" ref="H2045:H2056" si="357">IF(K2045="MO",TRUNC(F2045*G2045,2),"")</f>
        <v>1.01</v>
      </c>
      <c r="I2045" s="119" t="str">
        <f t="shared" ref="I2045:I2056" si="358">IF(K2045="MT",TRUNC(F2045*G2045,2),"")</f>
        <v/>
      </c>
      <c r="J2045" s="115" t="str">
        <f t="shared" ref="J2045:J2056" si="359">IF(K2045="EQ",TRUNC(F2045*G2045,2),"")</f>
        <v/>
      </c>
      <c r="K2045" s="102" t="str">
        <f>IF(A2045&amp;B2045="","",VLOOKUP(A2045&amp;B2045,INSUMOS!C:G,5,0))</f>
        <v>MO</v>
      </c>
    </row>
    <row r="2046" spans="1:17" ht="15" x14ac:dyDescent="0.25">
      <c r="A2046" s="109" t="s">
        <v>4398</v>
      </c>
      <c r="B2046" s="116">
        <v>69513</v>
      </c>
      <c r="C2046" s="518" t="str">
        <f>IF(A2046&amp;B2046="","",VLOOKUP(A2046&amp;B2046,INSUMOS!C:G,2,0))</f>
        <v>Adesivo para tubos PVC</v>
      </c>
      <c r="D2046" s="519"/>
      <c r="E2046" s="117" t="str">
        <f>IF(A2046&amp;B2046="","",VLOOKUP(A2046&amp;B2046,INSUMOS!C:G,3,0))</f>
        <v>kg</v>
      </c>
      <c r="F2046" s="118">
        <v>7.0000000000000001E-3</v>
      </c>
      <c r="G2046" s="113">
        <f>IF(A2046&amp;B2046="","",VLOOKUP(A2046&amp;B2046,INSUMOS!C:G,4,0))</f>
        <v>42.49</v>
      </c>
      <c r="H2046" s="119" t="str">
        <f t="shared" si="357"/>
        <v/>
      </c>
      <c r="I2046" s="119">
        <f t="shared" si="358"/>
        <v>0.28999999999999998</v>
      </c>
      <c r="J2046" s="115" t="str">
        <f t="shared" si="359"/>
        <v/>
      </c>
      <c r="K2046" s="102" t="str">
        <f>IF(A2046&amp;B2046="","",VLOOKUP(A2046&amp;B2046,INSUMOS!C:G,5,0))</f>
        <v>MT</v>
      </c>
    </row>
    <row r="2047" spans="1:17" ht="15" x14ac:dyDescent="0.25">
      <c r="A2047" s="109" t="s">
        <v>4398</v>
      </c>
      <c r="B2047" s="116">
        <v>38040</v>
      </c>
      <c r="C2047" s="518" t="str">
        <f>IF(A2047&amp;B2047="","",VLOOKUP(A2047&amp;B2047,INSUMOS!C:G,2,0))</f>
        <v>Lixa d´água, ref. Norton n° 80, Aquaflex ou equivalente</v>
      </c>
      <c r="D2047" s="519"/>
      <c r="E2047" s="117" t="str">
        <f>IF(A2047&amp;B2047="","",VLOOKUP(A2047&amp;B2047,INSUMOS!C:G,3,0))</f>
        <v>un</v>
      </c>
      <c r="F2047" s="118">
        <v>0.03</v>
      </c>
      <c r="G2047" s="113">
        <f>IF(A2047&amp;B2047="","",VLOOKUP(A2047&amp;B2047,INSUMOS!C:G,4,0))</f>
        <v>1.04</v>
      </c>
      <c r="H2047" s="119" t="str">
        <f t="shared" si="357"/>
        <v/>
      </c>
      <c r="I2047" s="119">
        <f t="shared" si="358"/>
        <v>0.03</v>
      </c>
      <c r="J2047" s="115" t="str">
        <f t="shared" si="359"/>
        <v/>
      </c>
      <c r="K2047" s="102" t="str">
        <f>IF(A2047&amp;B2047="","",VLOOKUP(A2047&amp;B2047,INSUMOS!C:G,5,0))</f>
        <v>MT</v>
      </c>
    </row>
    <row r="2048" spans="1:17" ht="15" x14ac:dyDescent="0.25">
      <c r="A2048" s="109" t="s">
        <v>4810</v>
      </c>
      <c r="B2048" s="116">
        <v>3864</v>
      </c>
      <c r="C2048" s="518" t="str">
        <f>IF(A2048&amp;B2048="","",VLOOKUP(A2048&amp;B2048,INSUMOS!C:G,2,0))</f>
        <v>Luva PVC soldável, 60 mm, para água fria predial</v>
      </c>
      <c r="D2048" s="519"/>
      <c r="E2048" s="117" t="str">
        <f>IF(A2048&amp;B2048="","",VLOOKUP(A2048&amp;B2048,INSUMOS!C:G,3,0))</f>
        <v>un</v>
      </c>
      <c r="F2048" s="118">
        <v>1</v>
      </c>
      <c r="G2048" s="113">
        <f>IF(A2048&amp;B2048="","",VLOOKUP(A2048&amp;B2048,INSUMOS!C:G,4,0))</f>
        <v>6.05</v>
      </c>
      <c r="H2048" s="119" t="str">
        <f t="shared" si="357"/>
        <v/>
      </c>
      <c r="I2048" s="119">
        <f t="shared" si="358"/>
        <v>6.05</v>
      </c>
      <c r="J2048" s="115" t="str">
        <f t="shared" si="359"/>
        <v/>
      </c>
      <c r="K2048" s="102" t="str">
        <f>IF(A2048&amp;B2048="","",VLOOKUP(A2048&amp;B2048,INSUMOS!C:G,5,0))</f>
        <v>MT</v>
      </c>
    </row>
    <row r="2049" spans="1:17" ht="15" x14ac:dyDescent="0.25">
      <c r="A2049" s="109" t="s">
        <v>4398</v>
      </c>
      <c r="B2049" s="116">
        <v>69514</v>
      </c>
      <c r="C2049" s="518" t="str">
        <f>IF(A2049&amp;B2049="","",VLOOKUP(A2049&amp;B2049,INSUMOS!C:G,2,0))</f>
        <v>Solução limpadora para PVC</v>
      </c>
      <c r="D2049" s="519"/>
      <c r="E2049" s="117" t="str">
        <f>IF(A2049&amp;B2049="","",VLOOKUP(A2049&amp;B2049,INSUMOS!C:G,3,0))</f>
        <v>l</v>
      </c>
      <c r="F2049" s="118">
        <v>8.0000000000000002E-3</v>
      </c>
      <c r="G2049" s="113">
        <f>IF(A2049&amp;B2049="","",VLOOKUP(A2049&amp;B2049,INSUMOS!C:G,4,0))</f>
        <v>29.11</v>
      </c>
      <c r="H2049" s="119" t="str">
        <f t="shared" si="357"/>
        <v/>
      </c>
      <c r="I2049" s="119">
        <f t="shared" si="358"/>
        <v>0.23</v>
      </c>
      <c r="J2049" s="115" t="str">
        <f t="shared" si="359"/>
        <v/>
      </c>
      <c r="K2049" s="102" t="str">
        <f>IF(A2049&amp;B2049="","",VLOOKUP(A2049&amp;B2049,INSUMOS!C:G,5,0))</f>
        <v>MT</v>
      </c>
    </row>
    <row r="2050" spans="1:17" ht="15" x14ac:dyDescent="0.25">
      <c r="A2050" s="109"/>
      <c r="B2050" s="116"/>
      <c r="C2050" s="518" t="str">
        <f>IF(A2050&amp;B2050="","",VLOOKUP(A2050&amp;B2050,INSUMOS!C:G,2,0))</f>
        <v/>
      </c>
      <c r="D2050" s="519"/>
      <c r="E2050" s="117" t="str">
        <f>IF(A2050&amp;B2050="","",VLOOKUP(A2050&amp;B2050,INSUMOS!C:G,3,0))</f>
        <v/>
      </c>
      <c r="F2050" s="118"/>
      <c r="G2050" s="113" t="str">
        <f>IF(A2050&amp;B2050="","",VLOOKUP(A2050&amp;B2050,INSUMOS!C:G,4,0))</f>
        <v/>
      </c>
      <c r="H2050" s="119" t="str">
        <f t="shared" si="357"/>
        <v/>
      </c>
      <c r="I2050" s="119" t="str">
        <f t="shared" si="358"/>
        <v/>
      </c>
      <c r="J2050" s="115" t="str">
        <f t="shared" si="359"/>
        <v/>
      </c>
      <c r="K2050" s="102" t="str">
        <f>IF(A2050&amp;B2050="","",VLOOKUP(A2050&amp;B2050,INSUMOS!C:G,5,0))</f>
        <v/>
      </c>
    </row>
    <row r="2051" spans="1:17" ht="15" x14ac:dyDescent="0.25">
      <c r="A2051" s="109"/>
      <c r="B2051" s="116"/>
      <c r="C2051" s="518" t="str">
        <f>IF(A2051&amp;B2051="","",VLOOKUP(A2051&amp;B2051,INSUMOS!C:G,2,0))</f>
        <v/>
      </c>
      <c r="D2051" s="519"/>
      <c r="E2051" s="117" t="str">
        <f>IF(A2051&amp;B2051="","",VLOOKUP(A2051&amp;B2051,INSUMOS!C:G,3,0))</f>
        <v/>
      </c>
      <c r="F2051" s="118"/>
      <c r="G2051" s="113" t="str">
        <f>IF(A2051&amp;B2051="","",VLOOKUP(A2051&amp;B2051,INSUMOS!C:G,4,0))</f>
        <v/>
      </c>
      <c r="H2051" s="119" t="str">
        <f t="shared" si="357"/>
        <v/>
      </c>
      <c r="I2051" s="119" t="str">
        <f t="shared" si="358"/>
        <v/>
      </c>
      <c r="J2051" s="115" t="str">
        <f t="shared" si="359"/>
        <v/>
      </c>
      <c r="K2051" s="102" t="str">
        <f>IF(A2051&amp;B2051="","",VLOOKUP(A2051&amp;B2051,INSUMOS!C:G,5,0))</f>
        <v/>
      </c>
    </row>
    <row r="2052" spans="1:17" ht="15" x14ac:dyDescent="0.25">
      <c r="A2052" s="109"/>
      <c r="B2052" s="116"/>
      <c r="C2052" s="518" t="str">
        <f>IF(A2052&amp;B2052="","",VLOOKUP(A2052&amp;B2052,INSUMOS!C:G,2,0))</f>
        <v/>
      </c>
      <c r="D2052" s="519"/>
      <c r="E2052" s="117" t="str">
        <f>IF(A2052&amp;B2052="","",VLOOKUP(A2052&amp;B2052,INSUMOS!C:G,3,0))</f>
        <v/>
      </c>
      <c r="F2052" s="118"/>
      <c r="G2052" s="113" t="str">
        <f>IF(A2052&amp;B2052="","",VLOOKUP(A2052&amp;B2052,INSUMOS!C:G,4,0))</f>
        <v/>
      </c>
      <c r="H2052" s="119" t="str">
        <f t="shared" si="357"/>
        <v/>
      </c>
      <c r="I2052" s="119" t="str">
        <f t="shared" si="358"/>
        <v/>
      </c>
      <c r="J2052" s="115" t="str">
        <f t="shared" si="359"/>
        <v/>
      </c>
      <c r="K2052" s="102" t="str">
        <f>IF(A2052&amp;B2052="","",VLOOKUP(A2052&amp;B2052,INSUMOS!C:G,5,0))</f>
        <v/>
      </c>
    </row>
    <row r="2053" spans="1:17" ht="15" x14ac:dyDescent="0.25">
      <c r="A2053" s="109"/>
      <c r="B2053" s="116"/>
      <c r="C2053" s="518" t="str">
        <f>IF(A2053&amp;B2053="","",VLOOKUP(A2053&amp;B2053,INSUMOS!C:G,2,0))</f>
        <v/>
      </c>
      <c r="D2053" s="519"/>
      <c r="E2053" s="117" t="str">
        <f>IF(A2053&amp;B2053="","",VLOOKUP(A2053&amp;B2053,INSUMOS!C:G,3,0))</f>
        <v/>
      </c>
      <c r="F2053" s="118"/>
      <c r="G2053" s="113" t="str">
        <f>IF(A2053&amp;B2053="","",VLOOKUP(A2053&amp;B2053,INSUMOS!C:G,4,0))</f>
        <v/>
      </c>
      <c r="H2053" s="119" t="str">
        <f t="shared" si="357"/>
        <v/>
      </c>
      <c r="I2053" s="119" t="str">
        <f t="shared" si="358"/>
        <v/>
      </c>
      <c r="J2053" s="115" t="str">
        <f t="shared" si="359"/>
        <v/>
      </c>
      <c r="K2053" s="102" t="str">
        <f>IF(A2053&amp;B2053="","",VLOOKUP(A2053&amp;B2053,INSUMOS!C:G,5,0))</f>
        <v/>
      </c>
    </row>
    <row r="2054" spans="1:17" ht="15" x14ac:dyDescent="0.25">
      <c r="A2054" s="120"/>
      <c r="B2054" s="121"/>
      <c r="C2054" s="518" t="str">
        <f>IF(A2054&amp;B2054="","",VLOOKUP(A2054&amp;B2054,INSUMOS!C:G,2,0))</f>
        <v/>
      </c>
      <c r="D2054" s="519"/>
      <c r="E2054" s="117" t="str">
        <f>IF(A2054&amp;B2054="","",VLOOKUP(A2054&amp;B2054,INSUMOS!C:G,3,0))</f>
        <v/>
      </c>
      <c r="F2054" s="118"/>
      <c r="G2054" s="122" t="str">
        <f>IF(A2054&amp;B2054="","",VLOOKUP(A2054&amp;B2054,INSUMOS!C:G,4,0))</f>
        <v/>
      </c>
      <c r="H2054" s="119" t="str">
        <f t="shared" si="357"/>
        <v/>
      </c>
      <c r="I2054" s="119" t="str">
        <f t="shared" si="358"/>
        <v/>
      </c>
      <c r="J2054" s="115" t="str">
        <f t="shared" si="359"/>
        <v/>
      </c>
      <c r="K2054" s="102" t="str">
        <f>IF(A2054&amp;B2054="","",VLOOKUP(A2054&amp;B2054,INSUMOS!C:G,5,0))</f>
        <v/>
      </c>
    </row>
    <row r="2055" spans="1:17" ht="15" x14ac:dyDescent="0.25">
      <c r="A2055" s="120"/>
      <c r="B2055" s="121"/>
      <c r="C2055" s="518" t="str">
        <f>IF(A2055&amp;B2055="","",VLOOKUP(A2055&amp;B2055,INSUMOS!C:G,2,0))</f>
        <v/>
      </c>
      <c r="D2055" s="519"/>
      <c r="E2055" s="117" t="str">
        <f>IF(A2055&amp;B2055="","",VLOOKUP(A2055&amp;B2055,INSUMOS!C:G,3,0))</f>
        <v/>
      </c>
      <c r="F2055" s="118"/>
      <c r="G2055" s="122" t="str">
        <f>IF(A2055&amp;B2055="","",VLOOKUP(A2055&amp;B2055,INSUMOS!C:G,4,0))</f>
        <v/>
      </c>
      <c r="H2055" s="119" t="str">
        <f t="shared" si="357"/>
        <v/>
      </c>
      <c r="I2055" s="119" t="str">
        <f t="shared" si="358"/>
        <v/>
      </c>
      <c r="J2055" s="115" t="str">
        <f t="shared" si="359"/>
        <v/>
      </c>
      <c r="K2055" s="102" t="str">
        <f>IF(A2055&amp;B2055="","",VLOOKUP(A2055&amp;B2055,INSUMOS!C:G,5,0))</f>
        <v/>
      </c>
    </row>
    <row r="2056" spans="1:17" ht="15" x14ac:dyDescent="0.25">
      <c r="A2056" s="120"/>
      <c r="B2056" s="121"/>
      <c r="C2056" s="518" t="str">
        <f>IF(A2056&amp;B2056="","",VLOOKUP(A2056&amp;B2056,INSUMOS!C:G,2,0))</f>
        <v/>
      </c>
      <c r="D2056" s="519"/>
      <c r="E2056" s="117" t="str">
        <f>IF(A2056&amp;B2056="","",VLOOKUP(A2056&amp;B2056,INSUMOS!C:G,3,0))</f>
        <v/>
      </c>
      <c r="F2056" s="118"/>
      <c r="G2056" s="122" t="str">
        <f>IF(A2056&amp;B2056="","",VLOOKUP(A2056&amp;B2056,INSUMOS!C:G,4,0))</f>
        <v/>
      </c>
      <c r="H2056" s="119" t="str">
        <f t="shared" si="357"/>
        <v/>
      </c>
      <c r="I2056" s="119" t="str">
        <f t="shared" si="358"/>
        <v/>
      </c>
      <c r="J2056" s="115" t="str">
        <f t="shared" si="359"/>
        <v/>
      </c>
      <c r="K2056" s="102" t="str">
        <f>IF(A2056&amp;B2056="","",VLOOKUP(A2056&amp;B2056,INSUMOS!C:G,5,0))</f>
        <v/>
      </c>
    </row>
    <row r="2057" spans="1:17" ht="15" x14ac:dyDescent="0.25">
      <c r="A2057" s="123" t="s">
        <v>4399</v>
      </c>
      <c r="B2057" s="542" t="s">
        <v>5237</v>
      </c>
      <c r="C2057" s="542"/>
      <c r="D2057" s="542"/>
      <c r="E2057" s="542"/>
      <c r="F2057" s="543"/>
      <c r="G2057" s="124" t="s">
        <v>50</v>
      </c>
      <c r="H2057" s="125">
        <f>SUM(H2044:H2056)</f>
        <v>1.6600000000000001</v>
      </c>
      <c r="I2057" s="125">
        <f>SUM(I2044:I2056)</f>
        <v>6.6000000000000005</v>
      </c>
      <c r="J2057" s="126">
        <f>SUM(J2044:J2056)</f>
        <v>0</v>
      </c>
    </row>
    <row r="2058" spans="1:17" ht="15" x14ac:dyDescent="0.25">
      <c r="A2058" s="127" t="s">
        <v>4400</v>
      </c>
      <c r="B2058" s="128"/>
      <c r="C2058" s="128"/>
      <c r="D2058" s="127" t="s">
        <v>51</v>
      </c>
      <c r="E2058" s="128"/>
      <c r="F2058" s="129"/>
      <c r="G2058" s="130" t="s">
        <v>55</v>
      </c>
      <c r="H2058" s="131" t="s">
        <v>52</v>
      </c>
      <c r="I2058" s="132"/>
      <c r="J2058" s="125">
        <f>SUM(H2057:J2057)</f>
        <v>8.2600000000000016</v>
      </c>
    </row>
    <row r="2059" spans="1:17" ht="15" x14ac:dyDescent="0.25">
      <c r="A2059" s="313" t="str">
        <f>$I$3</f>
        <v>Carlos Wieck</v>
      </c>
      <c r="B2059" s="133"/>
      <c r="C2059" s="133"/>
      <c r="D2059" s="134"/>
      <c r="E2059" s="133"/>
      <c r="F2059" s="135"/>
      <c r="G2059" s="522">
        <f>$J$5</f>
        <v>43040</v>
      </c>
      <c r="H2059" s="136" t="s">
        <v>53</v>
      </c>
      <c r="I2059" s="137"/>
      <c r="J2059" s="125">
        <f>TRUNC(I2059*J2058,2)</f>
        <v>0</v>
      </c>
    </row>
    <row r="2060" spans="1:17" ht="15" x14ac:dyDescent="0.25">
      <c r="A2060" s="314"/>
      <c r="B2060" s="139"/>
      <c r="C2060" s="139"/>
      <c r="D2060" s="138"/>
      <c r="E2060" s="139"/>
      <c r="F2060" s="140"/>
      <c r="G2060" s="523"/>
      <c r="H2060" s="141" t="s">
        <v>54</v>
      </c>
      <c r="I2060" s="142"/>
      <c r="J2060" s="143">
        <f>J2059+J2058</f>
        <v>8.2600000000000016</v>
      </c>
      <c r="L2060" s="102" t="str">
        <f>A2041</f>
        <v>COMPOSIÇÃO</v>
      </c>
      <c r="M2060" s="144" t="str">
        <f>B2041</f>
        <v>FF-086</v>
      </c>
      <c r="N2060" s="102" t="str">
        <f>L2060&amp;M2060</f>
        <v>COMPOSIÇÃOFF-086</v>
      </c>
      <c r="O2060" s="103" t="str">
        <f>D2040</f>
        <v>Luva soldável, PVC 60mm, para água fria predial instalado em ramal ou sub-ramal de água fornecimento e instalação.</v>
      </c>
      <c r="P2060" s="145" t="str">
        <f>J2041</f>
        <v>un</v>
      </c>
      <c r="Q2060" s="145">
        <f>J2060</f>
        <v>8.2600000000000016</v>
      </c>
    </row>
    <row r="2061" spans="1:17" ht="15" customHeight="1" x14ac:dyDescent="0.25">
      <c r="A2061" s="524" t="s">
        <v>40</v>
      </c>
      <c r="B2061" s="525"/>
      <c r="C2061" s="104" t="s">
        <v>41</v>
      </c>
      <c r="D2061" s="526" t="str">
        <f>IF(B2062="","",VLOOKUP(B2062,SERVIÇOS!B:E,3,0))</f>
        <v>Adaptador curto com bolsa e rosca para registro, PVC, soldável DN 50mmx1.1/2" instalação em prumada de água fornecimento e instalação</v>
      </c>
      <c r="E2061" s="526"/>
      <c r="F2061" s="526"/>
      <c r="G2061" s="526"/>
      <c r="H2061" s="526"/>
      <c r="I2061" s="527"/>
      <c r="J2061" s="105" t="s">
        <v>42</v>
      </c>
    </row>
    <row r="2062" spans="1:17" ht="15" x14ac:dyDescent="0.25">
      <c r="A2062" s="230" t="s">
        <v>4715</v>
      </c>
      <c r="B2062" s="230" t="s">
        <v>5219</v>
      </c>
      <c r="C2062" s="106"/>
      <c r="D2062" s="528"/>
      <c r="E2062" s="528"/>
      <c r="F2062" s="528"/>
      <c r="G2062" s="528"/>
      <c r="H2062" s="528"/>
      <c r="I2062" s="529"/>
      <c r="J2062" s="107" t="str">
        <f>IF(B2062="","",VLOOKUP(B2062,SERVIÇOS!B:E,4,0))</f>
        <v>un</v>
      </c>
    </row>
    <row r="2063" spans="1:17" ht="15" x14ac:dyDescent="0.25">
      <c r="A2063" s="530" t="s">
        <v>4397</v>
      </c>
      <c r="B2063" s="531" t="s">
        <v>11</v>
      </c>
      <c r="C2063" s="533" t="s">
        <v>43</v>
      </c>
      <c r="D2063" s="534"/>
      <c r="E2063" s="530" t="s">
        <v>13</v>
      </c>
      <c r="F2063" s="530" t="s">
        <v>44</v>
      </c>
      <c r="G2063" s="538" t="s">
        <v>45</v>
      </c>
      <c r="H2063" s="108" t="s">
        <v>46</v>
      </c>
      <c r="I2063" s="108"/>
      <c r="J2063" s="108"/>
    </row>
    <row r="2064" spans="1:17" ht="15" x14ac:dyDescent="0.25">
      <c r="A2064" s="530"/>
      <c r="B2064" s="532"/>
      <c r="C2064" s="535"/>
      <c r="D2064" s="536"/>
      <c r="E2064" s="537"/>
      <c r="F2064" s="537"/>
      <c r="G2064" s="539"/>
      <c r="H2064" s="108" t="s">
        <v>47</v>
      </c>
      <c r="I2064" s="108" t="s">
        <v>48</v>
      </c>
      <c r="J2064" s="108" t="s">
        <v>49</v>
      </c>
    </row>
    <row r="2065" spans="1:11" ht="15" x14ac:dyDescent="0.25">
      <c r="A2065" s="109" t="s">
        <v>4398</v>
      </c>
      <c r="B2065" s="110">
        <v>10119</v>
      </c>
      <c r="C2065" s="540" t="str">
        <f>IF(A2065&amp;B2065="","",VLOOKUP(A2065&amp;B2065,INSUMOS!C:G,2,0))</f>
        <v>Ajudante de encanador</v>
      </c>
      <c r="D2065" s="541"/>
      <c r="E2065" s="111" t="str">
        <f>IF(A2065&amp;B2065="","",VLOOKUP(A2065&amp;B2065,INSUMOS!C:G,3,0))</f>
        <v>h</v>
      </c>
      <c r="F2065" s="112">
        <v>7.1999999999999995E-2</v>
      </c>
      <c r="G2065" s="113">
        <f>IF(A2065&amp;B2065="","",VLOOKUP(A2065&amp;B2065,INSUMOS!C:G,4,0))</f>
        <v>10.985028</v>
      </c>
      <c r="H2065" s="114">
        <f>IF(K2065="MO",TRUNC(F2065*G2065,2),"")</f>
        <v>0.79</v>
      </c>
      <c r="I2065" s="114" t="str">
        <f>IF(K2065="MT",TRUNC(F2065*G2065,2),"")</f>
        <v/>
      </c>
      <c r="J2065" s="115" t="str">
        <f>IF(K2065="EQ",TRUNC(F2065*G2065,2),"")</f>
        <v/>
      </c>
      <c r="K2065" s="102" t="str">
        <f>IF(A2065&amp;B2065="","",VLOOKUP(A2065&amp;B2065,INSUMOS!C:G,5,0))</f>
        <v>MO</v>
      </c>
    </row>
    <row r="2066" spans="1:11" ht="15" x14ac:dyDescent="0.25">
      <c r="A2066" s="109" t="s">
        <v>4398</v>
      </c>
      <c r="B2066" s="116">
        <v>10118</v>
      </c>
      <c r="C2066" s="518" t="str">
        <f>IF(A2066&amp;B2066="","",VLOOKUP(A2066&amp;B2066,INSUMOS!C:G,2,0))</f>
        <v xml:space="preserve">Encanador </v>
      </c>
      <c r="D2066" s="519"/>
      <c r="E2066" s="117" t="str">
        <f>IF(A2066&amp;B2066="","",VLOOKUP(A2066&amp;B2066,INSUMOS!C:G,3,0))</f>
        <v>h</v>
      </c>
      <c r="F2066" s="118">
        <v>7.1999999999999995E-2</v>
      </c>
      <c r="G2066" s="113">
        <f>IF(A2066&amp;B2066="","",VLOOKUP(A2066&amp;B2066,INSUMOS!C:G,4,0))</f>
        <v>16.906036</v>
      </c>
      <c r="H2066" s="119">
        <f t="shared" ref="H2066:H2077" si="360">IF(K2066="MO",TRUNC(F2066*G2066,2),"")</f>
        <v>1.21</v>
      </c>
      <c r="I2066" s="119" t="str">
        <f t="shared" ref="I2066:I2077" si="361">IF(K2066="MT",TRUNC(F2066*G2066,2),"")</f>
        <v/>
      </c>
      <c r="J2066" s="115" t="str">
        <f t="shared" ref="J2066:J2077" si="362">IF(K2066="EQ",TRUNC(F2066*G2066,2),"")</f>
        <v/>
      </c>
      <c r="K2066" s="102" t="str">
        <f>IF(A2066&amp;B2066="","",VLOOKUP(A2066&amp;B2066,INSUMOS!C:G,5,0))</f>
        <v>MO</v>
      </c>
    </row>
    <row r="2067" spans="1:11" ht="15" x14ac:dyDescent="0.25">
      <c r="A2067" s="109" t="s">
        <v>4398</v>
      </c>
      <c r="B2067" s="116">
        <v>69513</v>
      </c>
      <c r="C2067" s="518" t="str">
        <f>IF(A2067&amp;B2067="","",VLOOKUP(A2067&amp;B2067,INSUMOS!C:G,2,0))</f>
        <v>Adesivo para tubos PVC</v>
      </c>
      <c r="D2067" s="519"/>
      <c r="E2067" s="117" t="str">
        <f>IF(A2067&amp;B2067="","",VLOOKUP(A2067&amp;B2067,INSUMOS!C:G,3,0))</f>
        <v>kg</v>
      </c>
      <c r="F2067" s="118">
        <v>1.7999999999999999E-2</v>
      </c>
      <c r="G2067" s="113">
        <f>IF(A2067&amp;B2067="","",VLOOKUP(A2067&amp;B2067,INSUMOS!C:G,4,0))</f>
        <v>42.49</v>
      </c>
      <c r="H2067" s="119" t="str">
        <f t="shared" si="360"/>
        <v/>
      </c>
      <c r="I2067" s="119">
        <f t="shared" si="361"/>
        <v>0.76</v>
      </c>
      <c r="J2067" s="115" t="str">
        <f t="shared" si="362"/>
        <v/>
      </c>
      <c r="K2067" s="102" t="str">
        <f>IF(A2067&amp;B2067="","",VLOOKUP(A2067&amp;B2067,INSUMOS!C:G,5,0))</f>
        <v>MT</v>
      </c>
    </row>
    <row r="2068" spans="1:11" ht="15" x14ac:dyDescent="0.25">
      <c r="A2068" s="109" t="s">
        <v>4398</v>
      </c>
      <c r="B2068" s="116">
        <v>38040</v>
      </c>
      <c r="C2068" s="518" t="str">
        <f>IF(A2068&amp;B2068="","",VLOOKUP(A2068&amp;B2068,INSUMOS!C:G,2,0))</f>
        <v>Lixa d´água, ref. Norton n° 80, Aquaflex ou equivalente</v>
      </c>
      <c r="D2068" s="519"/>
      <c r="E2068" s="117" t="str">
        <f>IF(A2068&amp;B2068="","",VLOOKUP(A2068&amp;B2068,INSUMOS!C:G,3,0))</f>
        <v>un</v>
      </c>
      <c r="F2068" s="118">
        <v>2.4E-2</v>
      </c>
      <c r="G2068" s="113">
        <f>IF(A2068&amp;B2068="","",VLOOKUP(A2068&amp;B2068,INSUMOS!C:G,4,0))</f>
        <v>1.04</v>
      </c>
      <c r="H2068" s="119" t="str">
        <f t="shared" si="360"/>
        <v/>
      </c>
      <c r="I2068" s="119">
        <f t="shared" si="361"/>
        <v>0.02</v>
      </c>
      <c r="J2068" s="115" t="str">
        <f t="shared" si="362"/>
        <v/>
      </c>
      <c r="K2068" s="102" t="str">
        <f>IF(A2068&amp;B2068="","",VLOOKUP(A2068&amp;B2068,INSUMOS!C:G,5,0))</f>
        <v>MT</v>
      </c>
    </row>
    <row r="2069" spans="1:11" ht="15" x14ac:dyDescent="0.25">
      <c r="A2069" s="109" t="s">
        <v>4810</v>
      </c>
      <c r="B2069" s="116">
        <v>112</v>
      </c>
      <c r="C2069" s="518" t="str">
        <f>IF(A2069&amp;B2069="","",VLOOKUP(A2069&amp;B2069,INSUMOS!C:G,2,0))</f>
        <v>Adaptador PVC soldável curto com bolsa e rosca, 50mm x 1 1/2"" para água fria</v>
      </c>
      <c r="D2069" s="519"/>
      <c r="E2069" s="117" t="str">
        <f>IF(A2069&amp;B2069="","",VLOOKUP(A2069&amp;B2069,INSUMOS!C:G,3,0))</f>
        <v>un</v>
      </c>
      <c r="F2069" s="118">
        <v>1</v>
      </c>
      <c r="G2069" s="113">
        <f>IF(A2069&amp;B2069="","",VLOOKUP(A2069&amp;B2069,INSUMOS!C:G,4,0))</f>
        <v>2.98</v>
      </c>
      <c r="H2069" s="119" t="str">
        <f t="shared" si="360"/>
        <v/>
      </c>
      <c r="I2069" s="119">
        <f t="shared" si="361"/>
        <v>2.98</v>
      </c>
      <c r="J2069" s="115" t="str">
        <f t="shared" si="362"/>
        <v/>
      </c>
      <c r="K2069" s="102" t="str">
        <f>IF(A2069&amp;B2069="","",VLOOKUP(A2069&amp;B2069,INSUMOS!C:G,5,0))</f>
        <v>MT</v>
      </c>
    </row>
    <row r="2070" spans="1:11" ht="15" x14ac:dyDescent="0.25">
      <c r="A2070" s="109" t="s">
        <v>4398</v>
      </c>
      <c r="B2070" s="116">
        <v>69514</v>
      </c>
      <c r="C2070" s="518" t="str">
        <f>IF(A2070&amp;B2070="","",VLOOKUP(A2070&amp;B2070,INSUMOS!C:G,2,0))</f>
        <v>Solução limpadora para PVC</v>
      </c>
      <c r="D2070" s="519"/>
      <c r="E2070" s="117" t="str">
        <f>IF(A2070&amp;B2070="","",VLOOKUP(A2070&amp;B2070,INSUMOS!C:G,3,0))</f>
        <v>l</v>
      </c>
      <c r="F2070" s="118">
        <v>2.1999999999999999E-2</v>
      </c>
      <c r="G2070" s="113">
        <f>IF(A2070&amp;B2070="","",VLOOKUP(A2070&amp;B2070,INSUMOS!C:G,4,0))</f>
        <v>29.11</v>
      </c>
      <c r="H2070" s="119" t="str">
        <f t="shared" si="360"/>
        <v/>
      </c>
      <c r="I2070" s="119">
        <f t="shared" si="361"/>
        <v>0.64</v>
      </c>
      <c r="J2070" s="115" t="str">
        <f t="shared" si="362"/>
        <v/>
      </c>
      <c r="K2070" s="102" t="str">
        <f>IF(A2070&amp;B2070="","",VLOOKUP(A2070&amp;B2070,INSUMOS!C:G,5,0))</f>
        <v>MT</v>
      </c>
    </row>
    <row r="2071" spans="1:11" ht="15" x14ac:dyDescent="0.25">
      <c r="A2071" s="109"/>
      <c r="B2071" s="116"/>
      <c r="C2071" s="518" t="str">
        <f>IF(A2071&amp;B2071="","",VLOOKUP(A2071&amp;B2071,INSUMOS!C:G,2,0))</f>
        <v/>
      </c>
      <c r="D2071" s="519"/>
      <c r="E2071" s="117" t="str">
        <f>IF(A2071&amp;B2071="","",VLOOKUP(A2071&amp;B2071,INSUMOS!C:G,3,0))</f>
        <v/>
      </c>
      <c r="F2071" s="118"/>
      <c r="G2071" s="113" t="str">
        <f>IF(A2071&amp;B2071="","",VLOOKUP(A2071&amp;B2071,INSUMOS!C:G,4,0))</f>
        <v/>
      </c>
      <c r="H2071" s="119" t="str">
        <f t="shared" si="360"/>
        <v/>
      </c>
      <c r="I2071" s="119" t="str">
        <f t="shared" si="361"/>
        <v/>
      </c>
      <c r="J2071" s="115" t="str">
        <f t="shared" si="362"/>
        <v/>
      </c>
      <c r="K2071" s="102" t="str">
        <f>IF(A2071&amp;B2071="","",VLOOKUP(A2071&amp;B2071,INSUMOS!C:G,5,0))</f>
        <v/>
      </c>
    </row>
    <row r="2072" spans="1:11" ht="15" x14ac:dyDescent="0.25">
      <c r="A2072" s="109"/>
      <c r="B2072" s="116"/>
      <c r="C2072" s="518" t="str">
        <f>IF(A2072&amp;B2072="","",VLOOKUP(A2072&amp;B2072,INSUMOS!C:G,2,0))</f>
        <v/>
      </c>
      <c r="D2072" s="519"/>
      <c r="E2072" s="117" t="str">
        <f>IF(A2072&amp;B2072="","",VLOOKUP(A2072&amp;B2072,INSUMOS!C:G,3,0))</f>
        <v/>
      </c>
      <c r="F2072" s="118"/>
      <c r="G2072" s="113" t="str">
        <f>IF(A2072&amp;B2072="","",VLOOKUP(A2072&amp;B2072,INSUMOS!C:G,4,0))</f>
        <v/>
      </c>
      <c r="H2072" s="119" t="str">
        <f t="shared" si="360"/>
        <v/>
      </c>
      <c r="I2072" s="119" t="str">
        <f t="shared" si="361"/>
        <v/>
      </c>
      <c r="J2072" s="115" t="str">
        <f t="shared" si="362"/>
        <v/>
      </c>
      <c r="K2072" s="102" t="str">
        <f>IF(A2072&amp;B2072="","",VLOOKUP(A2072&amp;B2072,INSUMOS!C:G,5,0))</f>
        <v/>
      </c>
    </row>
    <row r="2073" spans="1:11" ht="15" x14ac:dyDescent="0.25">
      <c r="A2073" s="109"/>
      <c r="B2073" s="116"/>
      <c r="C2073" s="518" t="str">
        <f>IF(A2073&amp;B2073="","",VLOOKUP(A2073&amp;B2073,INSUMOS!C:G,2,0))</f>
        <v/>
      </c>
      <c r="D2073" s="519"/>
      <c r="E2073" s="117" t="str">
        <f>IF(A2073&amp;B2073="","",VLOOKUP(A2073&amp;B2073,INSUMOS!C:G,3,0))</f>
        <v/>
      </c>
      <c r="F2073" s="118"/>
      <c r="G2073" s="113" t="str">
        <f>IF(A2073&amp;B2073="","",VLOOKUP(A2073&amp;B2073,INSUMOS!C:G,4,0))</f>
        <v/>
      </c>
      <c r="H2073" s="119" t="str">
        <f t="shared" si="360"/>
        <v/>
      </c>
      <c r="I2073" s="119" t="str">
        <f t="shared" si="361"/>
        <v/>
      </c>
      <c r="J2073" s="115" t="str">
        <f t="shared" si="362"/>
        <v/>
      </c>
      <c r="K2073" s="102" t="str">
        <f>IF(A2073&amp;B2073="","",VLOOKUP(A2073&amp;B2073,INSUMOS!C:G,5,0))</f>
        <v/>
      </c>
    </row>
    <row r="2074" spans="1:11" ht="15" x14ac:dyDescent="0.25">
      <c r="A2074" s="109"/>
      <c r="B2074" s="116"/>
      <c r="C2074" s="518" t="str">
        <f>IF(A2074&amp;B2074="","",VLOOKUP(A2074&amp;B2074,INSUMOS!C:G,2,0))</f>
        <v/>
      </c>
      <c r="D2074" s="519"/>
      <c r="E2074" s="117" t="str">
        <f>IF(A2074&amp;B2074="","",VLOOKUP(A2074&amp;B2074,INSUMOS!C:G,3,0))</f>
        <v/>
      </c>
      <c r="F2074" s="118"/>
      <c r="G2074" s="113" t="str">
        <f>IF(A2074&amp;B2074="","",VLOOKUP(A2074&amp;B2074,INSUMOS!C:G,4,0))</f>
        <v/>
      </c>
      <c r="H2074" s="119" t="str">
        <f t="shared" si="360"/>
        <v/>
      </c>
      <c r="I2074" s="119" t="str">
        <f t="shared" si="361"/>
        <v/>
      </c>
      <c r="J2074" s="115" t="str">
        <f t="shared" si="362"/>
        <v/>
      </c>
      <c r="K2074" s="102" t="str">
        <f>IF(A2074&amp;B2074="","",VLOOKUP(A2074&amp;B2074,INSUMOS!C:G,5,0))</f>
        <v/>
      </c>
    </row>
    <row r="2075" spans="1:11" ht="15" x14ac:dyDescent="0.25">
      <c r="A2075" s="120"/>
      <c r="B2075" s="121"/>
      <c r="C2075" s="518" t="str">
        <f>IF(A2075&amp;B2075="","",VLOOKUP(A2075&amp;B2075,INSUMOS!C:G,2,0))</f>
        <v/>
      </c>
      <c r="D2075" s="519"/>
      <c r="E2075" s="117" t="str">
        <f>IF(A2075&amp;B2075="","",VLOOKUP(A2075&amp;B2075,INSUMOS!C:G,3,0))</f>
        <v/>
      </c>
      <c r="F2075" s="118"/>
      <c r="G2075" s="122" t="str">
        <f>IF(A2075&amp;B2075="","",VLOOKUP(A2075&amp;B2075,INSUMOS!C:G,4,0))</f>
        <v/>
      </c>
      <c r="H2075" s="119" t="str">
        <f t="shared" si="360"/>
        <v/>
      </c>
      <c r="I2075" s="119" t="str">
        <f t="shared" si="361"/>
        <v/>
      </c>
      <c r="J2075" s="115" t="str">
        <f t="shared" si="362"/>
        <v/>
      </c>
      <c r="K2075" s="102" t="str">
        <f>IF(A2075&amp;B2075="","",VLOOKUP(A2075&amp;B2075,INSUMOS!C:G,5,0))</f>
        <v/>
      </c>
    </row>
    <row r="2076" spans="1:11" ht="15" x14ac:dyDescent="0.25">
      <c r="A2076" s="120"/>
      <c r="B2076" s="121"/>
      <c r="C2076" s="518" t="str">
        <f>IF(A2076&amp;B2076="","",VLOOKUP(A2076&amp;B2076,INSUMOS!C:G,2,0))</f>
        <v/>
      </c>
      <c r="D2076" s="519"/>
      <c r="E2076" s="117" t="str">
        <f>IF(A2076&amp;B2076="","",VLOOKUP(A2076&amp;B2076,INSUMOS!C:G,3,0))</f>
        <v/>
      </c>
      <c r="F2076" s="118"/>
      <c r="G2076" s="122" t="str">
        <f>IF(A2076&amp;B2076="","",VLOOKUP(A2076&amp;B2076,INSUMOS!C:G,4,0))</f>
        <v/>
      </c>
      <c r="H2076" s="119" t="str">
        <f t="shared" si="360"/>
        <v/>
      </c>
      <c r="I2076" s="119" t="str">
        <f t="shared" si="361"/>
        <v/>
      </c>
      <c r="J2076" s="115" t="str">
        <f t="shared" si="362"/>
        <v/>
      </c>
      <c r="K2076" s="102" t="str">
        <f>IF(A2076&amp;B2076="","",VLOOKUP(A2076&amp;B2076,INSUMOS!C:G,5,0))</f>
        <v/>
      </c>
    </row>
    <row r="2077" spans="1:11" ht="15" x14ac:dyDescent="0.25">
      <c r="A2077" s="120"/>
      <c r="B2077" s="121"/>
      <c r="C2077" s="518" t="str">
        <f>IF(A2077&amp;B2077="","",VLOOKUP(A2077&amp;B2077,INSUMOS!C:G,2,0))</f>
        <v/>
      </c>
      <c r="D2077" s="519"/>
      <c r="E2077" s="117" t="str">
        <f>IF(A2077&amp;B2077="","",VLOOKUP(A2077&amp;B2077,INSUMOS!C:G,3,0))</f>
        <v/>
      </c>
      <c r="F2077" s="118"/>
      <c r="G2077" s="122" t="str">
        <f>IF(A2077&amp;B2077="","",VLOOKUP(A2077&amp;B2077,INSUMOS!C:G,4,0))</f>
        <v/>
      </c>
      <c r="H2077" s="119" t="str">
        <f t="shared" si="360"/>
        <v/>
      </c>
      <c r="I2077" s="119" t="str">
        <f t="shared" si="361"/>
        <v/>
      </c>
      <c r="J2077" s="115" t="str">
        <f t="shared" si="362"/>
        <v/>
      </c>
      <c r="K2077" s="102" t="str">
        <f>IF(A2077&amp;B2077="","",VLOOKUP(A2077&amp;B2077,INSUMOS!C:G,5,0))</f>
        <v/>
      </c>
    </row>
    <row r="2078" spans="1:11" ht="15" x14ac:dyDescent="0.25">
      <c r="A2078" s="123" t="s">
        <v>4399</v>
      </c>
      <c r="B2078" s="542" t="s">
        <v>5240</v>
      </c>
      <c r="C2078" s="542"/>
      <c r="D2078" s="542"/>
      <c r="E2078" s="542"/>
      <c r="F2078" s="543"/>
      <c r="G2078" s="124" t="s">
        <v>50</v>
      </c>
      <c r="H2078" s="125">
        <f>SUM(H2065:H2077)</f>
        <v>2</v>
      </c>
      <c r="I2078" s="125">
        <f>SUM(I2065:I2077)</f>
        <v>4.3999999999999995</v>
      </c>
      <c r="J2078" s="126">
        <f>SUM(J2065:J2077)</f>
        <v>0</v>
      </c>
    </row>
    <row r="2079" spans="1:11" ht="15" x14ac:dyDescent="0.25">
      <c r="A2079" s="127" t="s">
        <v>4400</v>
      </c>
      <c r="B2079" s="128"/>
      <c r="C2079" s="128"/>
      <c r="D2079" s="127" t="s">
        <v>51</v>
      </c>
      <c r="E2079" s="128"/>
      <c r="F2079" s="129"/>
      <c r="G2079" s="130" t="s">
        <v>55</v>
      </c>
      <c r="H2079" s="131" t="s">
        <v>52</v>
      </c>
      <c r="I2079" s="132"/>
      <c r="J2079" s="125">
        <f>SUM(H2078:J2078)</f>
        <v>6.3999999999999995</v>
      </c>
    </row>
    <row r="2080" spans="1:11" ht="15" x14ac:dyDescent="0.25">
      <c r="A2080" s="313" t="str">
        <f>$I$3</f>
        <v>Carlos Wieck</v>
      </c>
      <c r="B2080" s="133"/>
      <c r="C2080" s="133"/>
      <c r="D2080" s="134"/>
      <c r="E2080" s="133"/>
      <c r="F2080" s="135"/>
      <c r="G2080" s="522">
        <f>$J$5</f>
        <v>43040</v>
      </c>
      <c r="H2080" s="136" t="s">
        <v>53</v>
      </c>
      <c r="I2080" s="137"/>
      <c r="J2080" s="125">
        <f>TRUNC(I2080*J2079,2)</f>
        <v>0</v>
      </c>
    </row>
    <row r="2081" spans="1:17" ht="15" x14ac:dyDescent="0.25">
      <c r="A2081" s="314"/>
      <c r="B2081" s="139"/>
      <c r="C2081" s="139"/>
      <c r="D2081" s="138"/>
      <c r="E2081" s="139"/>
      <c r="F2081" s="140"/>
      <c r="G2081" s="523"/>
      <c r="H2081" s="141" t="s">
        <v>54</v>
      </c>
      <c r="I2081" s="142"/>
      <c r="J2081" s="143">
        <f>J2080+J2079</f>
        <v>6.3999999999999995</v>
      </c>
      <c r="L2081" s="102" t="str">
        <f>A2062</f>
        <v>COMPOSIÇÃO</v>
      </c>
      <c r="M2081" s="144" t="str">
        <f>B2062</f>
        <v>FF-087</v>
      </c>
      <c r="N2081" s="102" t="str">
        <f>L2081&amp;M2081</f>
        <v>COMPOSIÇÃOFF-087</v>
      </c>
      <c r="O2081" s="103" t="str">
        <f>D2061</f>
        <v>Adaptador curto com bolsa e rosca para registro, PVC, soldável DN 50mmx1.1/2" instalação em prumada de água fornecimento e instalação</v>
      </c>
      <c r="P2081" s="145" t="str">
        <f>J2062</f>
        <v>un</v>
      </c>
      <c r="Q2081" s="145">
        <f>J2081</f>
        <v>6.3999999999999995</v>
      </c>
    </row>
    <row r="2082" spans="1:17" ht="15" customHeight="1" x14ac:dyDescent="0.25">
      <c r="A2082" s="524" t="s">
        <v>40</v>
      </c>
      <c r="B2082" s="525"/>
      <c r="C2082" s="104" t="s">
        <v>41</v>
      </c>
      <c r="D2082" s="526" t="str">
        <f>IF(B2083="","",VLOOKUP(B2083,SERVIÇOS!B:E,3,0))</f>
        <v>Adaptador PVC Soldável, com flanges livres, 50mm x 1 1/2" para caixa d´água, fornecimento e instalação</v>
      </c>
      <c r="E2082" s="526"/>
      <c r="F2082" s="526"/>
      <c r="G2082" s="526"/>
      <c r="H2082" s="526"/>
      <c r="I2082" s="527"/>
      <c r="J2082" s="105" t="s">
        <v>42</v>
      </c>
    </row>
    <row r="2083" spans="1:17" ht="15" x14ac:dyDescent="0.25">
      <c r="A2083" s="230" t="s">
        <v>4715</v>
      </c>
      <c r="B2083" s="230" t="s">
        <v>5220</v>
      </c>
      <c r="C2083" s="106"/>
      <c r="D2083" s="528"/>
      <c r="E2083" s="528"/>
      <c r="F2083" s="528"/>
      <c r="G2083" s="528"/>
      <c r="H2083" s="528"/>
      <c r="I2083" s="529"/>
      <c r="J2083" s="107" t="str">
        <f>IF(B2083="","",VLOOKUP(B2083,SERVIÇOS!B:E,4,0))</f>
        <v>un</v>
      </c>
    </row>
    <row r="2084" spans="1:17" ht="15" x14ac:dyDescent="0.25">
      <c r="A2084" s="530" t="s">
        <v>4397</v>
      </c>
      <c r="B2084" s="531" t="s">
        <v>11</v>
      </c>
      <c r="C2084" s="533" t="s">
        <v>43</v>
      </c>
      <c r="D2084" s="534"/>
      <c r="E2084" s="530" t="s">
        <v>13</v>
      </c>
      <c r="F2084" s="530" t="s">
        <v>44</v>
      </c>
      <c r="G2084" s="538" t="s">
        <v>45</v>
      </c>
      <c r="H2084" s="108" t="s">
        <v>46</v>
      </c>
      <c r="I2084" s="108"/>
      <c r="J2084" s="108"/>
    </row>
    <row r="2085" spans="1:17" ht="15" x14ac:dyDescent="0.25">
      <c r="A2085" s="530"/>
      <c r="B2085" s="532"/>
      <c r="C2085" s="535"/>
      <c r="D2085" s="536"/>
      <c r="E2085" s="537"/>
      <c r="F2085" s="537"/>
      <c r="G2085" s="539"/>
      <c r="H2085" s="108" t="s">
        <v>47</v>
      </c>
      <c r="I2085" s="108" t="s">
        <v>48</v>
      </c>
      <c r="J2085" s="108" t="s">
        <v>49</v>
      </c>
    </row>
    <row r="2086" spans="1:17" ht="15" x14ac:dyDescent="0.25">
      <c r="A2086" s="109" t="s">
        <v>4398</v>
      </c>
      <c r="B2086" s="110">
        <v>10119</v>
      </c>
      <c r="C2086" s="540" t="str">
        <f>IF(A2086&amp;B2086="","",VLOOKUP(A2086&amp;B2086,INSUMOS!C:G,2,0))</f>
        <v>Ajudante de encanador</v>
      </c>
      <c r="D2086" s="541"/>
      <c r="E2086" s="111" t="str">
        <f>IF(A2086&amp;B2086="","",VLOOKUP(A2086&amp;B2086,INSUMOS!C:G,3,0))</f>
        <v>h</v>
      </c>
      <c r="F2086" s="112">
        <v>0.112</v>
      </c>
      <c r="G2086" s="113">
        <f>IF(A2086&amp;B2086="","",VLOOKUP(A2086&amp;B2086,INSUMOS!C:G,4,0))</f>
        <v>10.985028</v>
      </c>
      <c r="H2086" s="114">
        <f>IF(K2086="MO",TRUNC(F2086*G2086,2),"")</f>
        <v>1.23</v>
      </c>
      <c r="I2086" s="114" t="str">
        <f>IF(K2086="MT",TRUNC(F2086*G2086,2),"")</f>
        <v/>
      </c>
      <c r="J2086" s="115" t="str">
        <f>IF(K2086="EQ",TRUNC(F2086*G2086,2),"")</f>
        <v/>
      </c>
      <c r="K2086" s="102" t="str">
        <f>IF(A2086&amp;B2086="","",VLOOKUP(A2086&amp;B2086,INSUMOS!C:G,5,0))</f>
        <v>MO</v>
      </c>
    </row>
    <row r="2087" spans="1:17" ht="15" x14ac:dyDescent="0.25">
      <c r="A2087" s="109" t="s">
        <v>4398</v>
      </c>
      <c r="B2087" s="116">
        <v>10118</v>
      </c>
      <c r="C2087" s="518" t="str">
        <f>IF(A2087&amp;B2087="","",VLOOKUP(A2087&amp;B2087,INSUMOS!C:G,2,0))</f>
        <v xml:space="preserve">Encanador </v>
      </c>
      <c r="D2087" s="519"/>
      <c r="E2087" s="117" t="str">
        <f>IF(A2087&amp;B2087="","",VLOOKUP(A2087&amp;B2087,INSUMOS!C:G,3,0))</f>
        <v>h</v>
      </c>
      <c r="F2087" s="118">
        <v>0.112</v>
      </c>
      <c r="G2087" s="113">
        <f>IF(A2087&amp;B2087="","",VLOOKUP(A2087&amp;B2087,INSUMOS!C:G,4,0))</f>
        <v>16.906036</v>
      </c>
      <c r="H2087" s="119">
        <f t="shared" ref="H2087:H2098" si="363">IF(K2087="MO",TRUNC(F2087*G2087,2),"")</f>
        <v>1.89</v>
      </c>
      <c r="I2087" s="119" t="str">
        <f t="shared" ref="I2087:I2098" si="364">IF(K2087="MT",TRUNC(F2087*G2087,2),"")</f>
        <v/>
      </c>
      <c r="J2087" s="115" t="str">
        <f t="shared" ref="J2087:J2098" si="365">IF(K2087="EQ",TRUNC(F2087*G2087,2),"")</f>
        <v/>
      </c>
      <c r="K2087" s="102" t="str">
        <f>IF(A2087&amp;B2087="","",VLOOKUP(A2087&amp;B2087,INSUMOS!C:G,5,0))</f>
        <v>MO</v>
      </c>
    </row>
    <row r="2088" spans="1:17" ht="15" x14ac:dyDescent="0.25">
      <c r="A2088" s="109" t="s">
        <v>4398</v>
      </c>
      <c r="B2088" s="116">
        <v>69513</v>
      </c>
      <c r="C2088" s="518" t="str">
        <f>IF(A2088&amp;B2088="","",VLOOKUP(A2088&amp;B2088,INSUMOS!C:G,2,0))</f>
        <v>Adesivo para tubos PVC</v>
      </c>
      <c r="D2088" s="519"/>
      <c r="E2088" s="117" t="str">
        <f>IF(A2088&amp;B2088="","",VLOOKUP(A2088&amp;B2088,INSUMOS!C:G,3,0))</f>
        <v>kg</v>
      </c>
      <c r="F2088" s="118">
        <v>8.8000000000000005E-3</v>
      </c>
      <c r="G2088" s="113">
        <f>IF(A2088&amp;B2088="","",VLOOKUP(A2088&amp;B2088,INSUMOS!C:G,4,0))</f>
        <v>42.49</v>
      </c>
      <c r="H2088" s="119" t="str">
        <f t="shared" si="363"/>
        <v/>
      </c>
      <c r="I2088" s="119">
        <f t="shared" si="364"/>
        <v>0.37</v>
      </c>
      <c r="J2088" s="115" t="str">
        <f t="shared" si="365"/>
        <v/>
      </c>
      <c r="K2088" s="102" t="str">
        <f>IF(A2088&amp;B2088="","",VLOOKUP(A2088&amp;B2088,INSUMOS!C:G,5,0))</f>
        <v>MT</v>
      </c>
    </row>
    <row r="2089" spans="1:17" ht="15" x14ac:dyDescent="0.25">
      <c r="A2089" s="109" t="s">
        <v>4398</v>
      </c>
      <c r="B2089" s="116">
        <v>69552</v>
      </c>
      <c r="C2089" s="518" t="str">
        <f>IF(A2089&amp;B2089="","",VLOOKUP(A2089&amp;B2089,INSUMOS!C:G,2,0))</f>
        <v>Fita teflon de 18 mm</v>
      </c>
      <c r="D2089" s="519"/>
      <c r="E2089" s="117" t="str">
        <f>IF(A2089&amp;B2089="","",VLOOKUP(A2089&amp;B2089,INSUMOS!C:G,3,0))</f>
        <v>m</v>
      </c>
      <c r="F2089" s="118">
        <v>1.8800000000000001E-2</v>
      </c>
      <c r="G2089" s="113">
        <f>IF(A2089&amp;B2089="","",VLOOKUP(A2089&amp;B2089,INSUMOS!C:G,4,0))</f>
        <v>0.16</v>
      </c>
      <c r="H2089" s="119" t="str">
        <f t="shared" si="363"/>
        <v/>
      </c>
      <c r="I2089" s="119">
        <f t="shared" si="364"/>
        <v>0</v>
      </c>
      <c r="J2089" s="115" t="str">
        <f t="shared" si="365"/>
        <v/>
      </c>
      <c r="K2089" s="102" t="str">
        <f>IF(A2089&amp;B2089="","",VLOOKUP(A2089&amp;B2089,INSUMOS!C:G,5,0))</f>
        <v>MT</v>
      </c>
    </row>
    <row r="2090" spans="1:17" ht="15" x14ac:dyDescent="0.25">
      <c r="A2090" s="109" t="s">
        <v>4810</v>
      </c>
      <c r="B2090" s="116">
        <v>66</v>
      </c>
      <c r="C2090" s="518" t="str">
        <f>IF(A2090&amp;B2090="","",VLOOKUP(A2090&amp;B2090,INSUMOS!C:G,2,0))</f>
        <v>Adaptador PVC Soldável, com flanges livres, 50mm x 1 1/2" para caixa d´água</v>
      </c>
      <c r="D2090" s="519"/>
      <c r="E2090" s="117" t="str">
        <f>IF(A2090&amp;B2090="","",VLOOKUP(A2090&amp;B2090,INSUMOS!C:G,3,0))</f>
        <v>un</v>
      </c>
      <c r="F2090" s="118">
        <v>1</v>
      </c>
      <c r="G2090" s="113">
        <f>IF(A2090&amp;B2090="","",VLOOKUP(A2090&amp;B2090,INSUMOS!C:G,4,0))</f>
        <v>20.82</v>
      </c>
      <c r="H2090" s="119" t="str">
        <f t="shared" si="363"/>
        <v/>
      </c>
      <c r="I2090" s="119">
        <f t="shared" si="364"/>
        <v>20.82</v>
      </c>
      <c r="J2090" s="115" t="str">
        <f t="shared" si="365"/>
        <v/>
      </c>
      <c r="K2090" s="102" t="str">
        <f>IF(A2090&amp;B2090="","",VLOOKUP(A2090&amp;B2090,INSUMOS!C:G,5,0))</f>
        <v>MT</v>
      </c>
    </row>
    <row r="2091" spans="1:17" ht="15" x14ac:dyDescent="0.25">
      <c r="A2091" s="109" t="s">
        <v>4398</v>
      </c>
      <c r="B2091" s="116">
        <v>69514</v>
      </c>
      <c r="C2091" s="518" t="str">
        <f>IF(A2091&amp;B2091="","",VLOOKUP(A2091&amp;B2091,INSUMOS!C:G,2,0))</f>
        <v>Solução limpadora para PVC</v>
      </c>
      <c r="D2091" s="519"/>
      <c r="E2091" s="117" t="str">
        <f>IF(A2091&amp;B2091="","",VLOOKUP(A2091&amp;B2091,INSUMOS!C:G,3,0))</f>
        <v>l</v>
      </c>
      <c r="F2091" s="118">
        <v>1.0999999999999999E-2</v>
      </c>
      <c r="G2091" s="113">
        <f>IF(A2091&amp;B2091="","",VLOOKUP(A2091&amp;B2091,INSUMOS!C:G,4,0))</f>
        <v>29.11</v>
      </c>
      <c r="H2091" s="119" t="str">
        <f t="shared" si="363"/>
        <v/>
      </c>
      <c r="I2091" s="119">
        <f t="shared" si="364"/>
        <v>0.32</v>
      </c>
      <c r="J2091" s="115" t="str">
        <f t="shared" si="365"/>
        <v/>
      </c>
      <c r="K2091" s="102" t="str">
        <f>IF(A2091&amp;B2091="","",VLOOKUP(A2091&amp;B2091,INSUMOS!C:G,5,0))</f>
        <v>MT</v>
      </c>
    </row>
    <row r="2092" spans="1:17" ht="15" x14ac:dyDescent="0.25">
      <c r="A2092" s="109"/>
      <c r="B2092" s="116"/>
      <c r="C2092" s="518" t="str">
        <f>IF(A2092&amp;B2092="","",VLOOKUP(A2092&amp;B2092,INSUMOS!C:G,2,0))</f>
        <v/>
      </c>
      <c r="D2092" s="519"/>
      <c r="E2092" s="117" t="str">
        <f>IF(A2092&amp;B2092="","",VLOOKUP(A2092&amp;B2092,INSUMOS!C:G,3,0))</f>
        <v/>
      </c>
      <c r="F2092" s="118"/>
      <c r="G2092" s="113" t="str">
        <f>IF(A2092&amp;B2092="","",VLOOKUP(A2092&amp;B2092,INSUMOS!C:G,4,0))</f>
        <v/>
      </c>
      <c r="H2092" s="119" t="str">
        <f t="shared" si="363"/>
        <v/>
      </c>
      <c r="I2092" s="119" t="str">
        <f t="shared" si="364"/>
        <v/>
      </c>
      <c r="J2092" s="115" t="str">
        <f t="shared" si="365"/>
        <v/>
      </c>
      <c r="K2092" s="102" t="str">
        <f>IF(A2092&amp;B2092="","",VLOOKUP(A2092&amp;B2092,INSUMOS!C:G,5,0))</f>
        <v/>
      </c>
    </row>
    <row r="2093" spans="1:17" ht="15" x14ac:dyDescent="0.25">
      <c r="A2093" s="109"/>
      <c r="B2093" s="116"/>
      <c r="C2093" s="518" t="str">
        <f>IF(A2093&amp;B2093="","",VLOOKUP(A2093&amp;B2093,INSUMOS!C:G,2,0))</f>
        <v/>
      </c>
      <c r="D2093" s="519"/>
      <c r="E2093" s="117" t="str">
        <f>IF(A2093&amp;B2093="","",VLOOKUP(A2093&amp;B2093,INSUMOS!C:G,3,0))</f>
        <v/>
      </c>
      <c r="F2093" s="118"/>
      <c r="G2093" s="113" t="str">
        <f>IF(A2093&amp;B2093="","",VLOOKUP(A2093&amp;B2093,INSUMOS!C:G,4,0))</f>
        <v/>
      </c>
      <c r="H2093" s="119" t="str">
        <f t="shared" si="363"/>
        <v/>
      </c>
      <c r="I2093" s="119" t="str">
        <f t="shared" si="364"/>
        <v/>
      </c>
      <c r="J2093" s="115" t="str">
        <f t="shared" si="365"/>
        <v/>
      </c>
      <c r="K2093" s="102" t="str">
        <f>IF(A2093&amp;B2093="","",VLOOKUP(A2093&amp;B2093,INSUMOS!C:G,5,0))</f>
        <v/>
      </c>
    </row>
    <row r="2094" spans="1:17" ht="15" x14ac:dyDescent="0.25">
      <c r="A2094" s="109"/>
      <c r="B2094" s="116"/>
      <c r="C2094" s="518" t="str">
        <f>IF(A2094&amp;B2094="","",VLOOKUP(A2094&amp;B2094,INSUMOS!C:G,2,0))</f>
        <v/>
      </c>
      <c r="D2094" s="519"/>
      <c r="E2094" s="117" t="str">
        <f>IF(A2094&amp;B2094="","",VLOOKUP(A2094&amp;B2094,INSUMOS!C:G,3,0))</f>
        <v/>
      </c>
      <c r="F2094" s="118"/>
      <c r="G2094" s="113" t="str">
        <f>IF(A2094&amp;B2094="","",VLOOKUP(A2094&amp;B2094,INSUMOS!C:G,4,0))</f>
        <v/>
      </c>
      <c r="H2094" s="119" t="str">
        <f t="shared" si="363"/>
        <v/>
      </c>
      <c r="I2094" s="119" t="str">
        <f t="shared" si="364"/>
        <v/>
      </c>
      <c r="J2094" s="115" t="str">
        <f t="shared" si="365"/>
        <v/>
      </c>
      <c r="K2094" s="102" t="str">
        <f>IF(A2094&amp;B2094="","",VLOOKUP(A2094&amp;B2094,INSUMOS!C:G,5,0))</f>
        <v/>
      </c>
    </row>
    <row r="2095" spans="1:17" ht="15" x14ac:dyDescent="0.25">
      <c r="A2095" s="109"/>
      <c r="B2095" s="116"/>
      <c r="C2095" s="518" t="str">
        <f>IF(A2095&amp;B2095="","",VLOOKUP(A2095&amp;B2095,INSUMOS!C:G,2,0))</f>
        <v/>
      </c>
      <c r="D2095" s="519"/>
      <c r="E2095" s="117" t="str">
        <f>IF(A2095&amp;B2095="","",VLOOKUP(A2095&amp;B2095,INSUMOS!C:G,3,0))</f>
        <v/>
      </c>
      <c r="F2095" s="118"/>
      <c r="G2095" s="113" t="str">
        <f>IF(A2095&amp;B2095="","",VLOOKUP(A2095&amp;B2095,INSUMOS!C:G,4,0))</f>
        <v/>
      </c>
      <c r="H2095" s="119" t="str">
        <f t="shared" si="363"/>
        <v/>
      </c>
      <c r="I2095" s="119" t="str">
        <f t="shared" si="364"/>
        <v/>
      </c>
      <c r="J2095" s="115" t="str">
        <f t="shared" si="365"/>
        <v/>
      </c>
      <c r="K2095" s="102" t="str">
        <f>IF(A2095&amp;B2095="","",VLOOKUP(A2095&amp;B2095,INSUMOS!C:G,5,0))</f>
        <v/>
      </c>
    </row>
    <row r="2096" spans="1:17" ht="15" x14ac:dyDescent="0.25">
      <c r="A2096" s="120"/>
      <c r="B2096" s="121"/>
      <c r="C2096" s="518" t="str">
        <f>IF(A2096&amp;B2096="","",VLOOKUP(A2096&amp;B2096,INSUMOS!C:G,2,0))</f>
        <v/>
      </c>
      <c r="D2096" s="519"/>
      <c r="E2096" s="117" t="str">
        <f>IF(A2096&amp;B2096="","",VLOOKUP(A2096&amp;B2096,INSUMOS!C:G,3,0))</f>
        <v/>
      </c>
      <c r="F2096" s="118"/>
      <c r="G2096" s="122" t="str">
        <f>IF(A2096&amp;B2096="","",VLOOKUP(A2096&amp;B2096,INSUMOS!C:G,4,0))</f>
        <v/>
      </c>
      <c r="H2096" s="119" t="str">
        <f t="shared" si="363"/>
        <v/>
      </c>
      <c r="I2096" s="119" t="str">
        <f t="shared" si="364"/>
        <v/>
      </c>
      <c r="J2096" s="115" t="str">
        <f t="shared" si="365"/>
        <v/>
      </c>
      <c r="K2096" s="102" t="str">
        <f>IF(A2096&amp;B2096="","",VLOOKUP(A2096&amp;B2096,INSUMOS!C:G,5,0))</f>
        <v/>
      </c>
    </row>
    <row r="2097" spans="1:17" ht="15" x14ac:dyDescent="0.25">
      <c r="A2097" s="120"/>
      <c r="B2097" s="121"/>
      <c r="C2097" s="518" t="str">
        <f>IF(A2097&amp;B2097="","",VLOOKUP(A2097&amp;B2097,INSUMOS!C:G,2,0))</f>
        <v/>
      </c>
      <c r="D2097" s="519"/>
      <c r="E2097" s="117" t="str">
        <f>IF(A2097&amp;B2097="","",VLOOKUP(A2097&amp;B2097,INSUMOS!C:G,3,0))</f>
        <v/>
      </c>
      <c r="F2097" s="118"/>
      <c r="G2097" s="122" t="str">
        <f>IF(A2097&amp;B2097="","",VLOOKUP(A2097&amp;B2097,INSUMOS!C:G,4,0))</f>
        <v/>
      </c>
      <c r="H2097" s="119" t="str">
        <f t="shared" si="363"/>
        <v/>
      </c>
      <c r="I2097" s="119" t="str">
        <f t="shared" si="364"/>
        <v/>
      </c>
      <c r="J2097" s="115" t="str">
        <f t="shared" si="365"/>
        <v/>
      </c>
      <c r="K2097" s="102" t="str">
        <f>IF(A2097&amp;B2097="","",VLOOKUP(A2097&amp;B2097,INSUMOS!C:G,5,0))</f>
        <v/>
      </c>
    </row>
    <row r="2098" spans="1:17" ht="15" x14ac:dyDescent="0.25">
      <c r="A2098" s="120"/>
      <c r="B2098" s="121"/>
      <c r="C2098" s="518" t="str">
        <f>IF(A2098&amp;B2098="","",VLOOKUP(A2098&amp;B2098,INSUMOS!C:G,2,0))</f>
        <v/>
      </c>
      <c r="D2098" s="519"/>
      <c r="E2098" s="117" t="str">
        <f>IF(A2098&amp;B2098="","",VLOOKUP(A2098&amp;B2098,INSUMOS!C:G,3,0))</f>
        <v/>
      </c>
      <c r="F2098" s="118"/>
      <c r="G2098" s="122" t="str">
        <f>IF(A2098&amp;B2098="","",VLOOKUP(A2098&amp;B2098,INSUMOS!C:G,4,0))</f>
        <v/>
      </c>
      <c r="H2098" s="119" t="str">
        <f t="shared" si="363"/>
        <v/>
      </c>
      <c r="I2098" s="119" t="str">
        <f t="shared" si="364"/>
        <v/>
      </c>
      <c r="J2098" s="115" t="str">
        <f t="shared" si="365"/>
        <v/>
      </c>
      <c r="K2098" s="102" t="str">
        <f>IF(A2098&amp;B2098="","",VLOOKUP(A2098&amp;B2098,INSUMOS!C:G,5,0))</f>
        <v/>
      </c>
    </row>
    <row r="2099" spans="1:17" ht="15" x14ac:dyDescent="0.25">
      <c r="A2099" s="123" t="s">
        <v>4399</v>
      </c>
      <c r="B2099" s="542" t="s">
        <v>5246</v>
      </c>
      <c r="C2099" s="542"/>
      <c r="D2099" s="542"/>
      <c r="E2099" s="542"/>
      <c r="F2099" s="543"/>
      <c r="G2099" s="124" t="s">
        <v>50</v>
      </c>
      <c r="H2099" s="125">
        <f>SUM(H2086:H2098)</f>
        <v>3.12</v>
      </c>
      <c r="I2099" s="125">
        <f>SUM(I2086:I2098)</f>
        <v>21.51</v>
      </c>
      <c r="J2099" s="126">
        <f>SUM(J2086:J2098)</f>
        <v>0</v>
      </c>
    </row>
    <row r="2100" spans="1:17" ht="15" x14ac:dyDescent="0.25">
      <c r="A2100" s="127" t="s">
        <v>4400</v>
      </c>
      <c r="B2100" s="128"/>
      <c r="C2100" s="128"/>
      <c r="D2100" s="127" t="s">
        <v>51</v>
      </c>
      <c r="E2100" s="128"/>
      <c r="F2100" s="129"/>
      <c r="G2100" s="130" t="s">
        <v>55</v>
      </c>
      <c r="H2100" s="131" t="s">
        <v>52</v>
      </c>
      <c r="I2100" s="132"/>
      <c r="J2100" s="125">
        <f>SUM(H2099:J2099)</f>
        <v>24.630000000000003</v>
      </c>
    </row>
    <row r="2101" spans="1:17" ht="15" x14ac:dyDescent="0.25">
      <c r="A2101" s="313" t="str">
        <f>$I$3</f>
        <v>Carlos Wieck</v>
      </c>
      <c r="B2101" s="133"/>
      <c r="C2101" s="133"/>
      <c r="D2101" s="134"/>
      <c r="E2101" s="133"/>
      <c r="F2101" s="135"/>
      <c r="G2101" s="522">
        <f>$J$5</f>
        <v>43040</v>
      </c>
      <c r="H2101" s="136" t="s">
        <v>53</v>
      </c>
      <c r="I2101" s="137"/>
      <c r="J2101" s="125">
        <f>TRUNC(I2101*J2100,2)</f>
        <v>0</v>
      </c>
    </row>
    <row r="2102" spans="1:17" ht="15" x14ac:dyDescent="0.25">
      <c r="A2102" s="314"/>
      <c r="B2102" s="139"/>
      <c r="C2102" s="139"/>
      <c r="D2102" s="138"/>
      <c r="E2102" s="139"/>
      <c r="F2102" s="140"/>
      <c r="G2102" s="523"/>
      <c r="H2102" s="141" t="s">
        <v>54</v>
      </c>
      <c r="I2102" s="142"/>
      <c r="J2102" s="143">
        <f>J2101+J2100</f>
        <v>24.630000000000003</v>
      </c>
      <c r="L2102" s="102" t="str">
        <f>A2083</f>
        <v>COMPOSIÇÃO</v>
      </c>
      <c r="M2102" s="144" t="str">
        <f>B2083</f>
        <v>FF-088</v>
      </c>
      <c r="N2102" s="102" t="str">
        <f>L2102&amp;M2102</f>
        <v>COMPOSIÇÃOFF-088</v>
      </c>
      <c r="O2102" s="103" t="str">
        <f>D2082</f>
        <v>Adaptador PVC Soldável, com flanges livres, 50mm x 1 1/2" para caixa d´água, fornecimento e instalação</v>
      </c>
      <c r="P2102" s="145" t="str">
        <f>J2083</f>
        <v>un</v>
      </c>
      <c r="Q2102" s="145">
        <f>J2102</f>
        <v>24.630000000000003</v>
      </c>
    </row>
    <row r="2103" spans="1:17" ht="15" customHeight="1" x14ac:dyDescent="0.25">
      <c r="A2103" s="524" t="s">
        <v>40</v>
      </c>
      <c r="B2103" s="525"/>
      <c r="C2103" s="104" t="s">
        <v>41</v>
      </c>
      <c r="D2103" s="526" t="str">
        <f>IF(B2104="","",VLOOKUP(B2104,SERVIÇOS!B:E,3,0))</f>
        <v>Adaptador PVC Soldável, com flanges livres, 60mm x 2" para caixa d´água, fornecimento e instalação</v>
      </c>
      <c r="E2103" s="526"/>
      <c r="F2103" s="526"/>
      <c r="G2103" s="526"/>
      <c r="H2103" s="526"/>
      <c r="I2103" s="527"/>
      <c r="J2103" s="105" t="s">
        <v>42</v>
      </c>
    </row>
    <row r="2104" spans="1:17" ht="15" x14ac:dyDescent="0.25">
      <c r="A2104" s="230" t="s">
        <v>4715</v>
      </c>
      <c r="B2104" s="230" t="s">
        <v>5221</v>
      </c>
      <c r="C2104" s="106"/>
      <c r="D2104" s="528"/>
      <c r="E2104" s="528"/>
      <c r="F2104" s="528"/>
      <c r="G2104" s="528"/>
      <c r="H2104" s="528"/>
      <c r="I2104" s="529"/>
      <c r="J2104" s="107" t="str">
        <f>IF(B2104="","",VLOOKUP(B2104,SERVIÇOS!B:E,4,0))</f>
        <v>un</v>
      </c>
    </row>
    <row r="2105" spans="1:17" ht="15" x14ac:dyDescent="0.25">
      <c r="A2105" s="530" t="s">
        <v>4397</v>
      </c>
      <c r="B2105" s="531" t="s">
        <v>11</v>
      </c>
      <c r="C2105" s="533" t="s">
        <v>43</v>
      </c>
      <c r="D2105" s="534"/>
      <c r="E2105" s="530" t="s">
        <v>13</v>
      </c>
      <c r="F2105" s="530" t="s">
        <v>44</v>
      </c>
      <c r="G2105" s="538" t="s">
        <v>45</v>
      </c>
      <c r="H2105" s="108" t="s">
        <v>46</v>
      </c>
      <c r="I2105" s="108"/>
      <c r="J2105" s="108"/>
    </row>
    <row r="2106" spans="1:17" ht="15" x14ac:dyDescent="0.25">
      <c r="A2106" s="530"/>
      <c r="B2106" s="532"/>
      <c r="C2106" s="535"/>
      <c r="D2106" s="536"/>
      <c r="E2106" s="537"/>
      <c r="F2106" s="537"/>
      <c r="G2106" s="539"/>
      <c r="H2106" s="108" t="s">
        <v>47</v>
      </c>
      <c r="I2106" s="108" t="s">
        <v>48</v>
      </c>
      <c r="J2106" s="108" t="s">
        <v>49</v>
      </c>
    </row>
    <row r="2107" spans="1:17" ht="15" x14ac:dyDescent="0.25">
      <c r="A2107" s="109" t="s">
        <v>4398</v>
      </c>
      <c r="B2107" s="110">
        <v>10119</v>
      </c>
      <c r="C2107" s="540" t="str">
        <f>IF(A2107&amp;B2107="","",VLOOKUP(A2107&amp;B2107,INSUMOS!C:G,2,0))</f>
        <v>Ajudante de encanador</v>
      </c>
      <c r="D2107" s="541"/>
      <c r="E2107" s="111" t="str">
        <f>IF(A2107&amp;B2107="","",VLOOKUP(A2107&amp;B2107,INSUMOS!C:G,3,0))</f>
        <v>h</v>
      </c>
      <c r="F2107" s="112">
        <v>0.112</v>
      </c>
      <c r="G2107" s="113">
        <f>IF(A2107&amp;B2107="","",VLOOKUP(A2107&amp;B2107,INSUMOS!C:G,4,0))</f>
        <v>10.985028</v>
      </c>
      <c r="H2107" s="114">
        <f>IF(K2107="MO",TRUNC(F2107*G2107,2),"")</f>
        <v>1.23</v>
      </c>
      <c r="I2107" s="114" t="str">
        <f>IF(K2107="MT",TRUNC(F2107*G2107,2),"")</f>
        <v/>
      </c>
      <c r="J2107" s="115" t="str">
        <f>IF(K2107="EQ",TRUNC(F2107*G2107,2),"")</f>
        <v/>
      </c>
      <c r="K2107" s="102" t="str">
        <f>IF(A2107&amp;B2107="","",VLOOKUP(A2107&amp;B2107,INSUMOS!C:G,5,0))</f>
        <v>MO</v>
      </c>
    </row>
    <row r="2108" spans="1:17" ht="15" x14ac:dyDescent="0.25">
      <c r="A2108" s="109" t="s">
        <v>4398</v>
      </c>
      <c r="B2108" s="116">
        <v>10118</v>
      </c>
      <c r="C2108" s="518" t="str">
        <f>IF(A2108&amp;B2108="","",VLOOKUP(A2108&amp;B2108,INSUMOS!C:G,2,0))</f>
        <v xml:space="preserve">Encanador </v>
      </c>
      <c r="D2108" s="519"/>
      <c r="E2108" s="117" t="str">
        <f>IF(A2108&amp;B2108="","",VLOOKUP(A2108&amp;B2108,INSUMOS!C:G,3,0))</f>
        <v>h</v>
      </c>
      <c r="F2108" s="118">
        <v>0.112</v>
      </c>
      <c r="G2108" s="113">
        <f>IF(A2108&amp;B2108="","",VLOOKUP(A2108&amp;B2108,INSUMOS!C:G,4,0))</f>
        <v>16.906036</v>
      </c>
      <c r="H2108" s="119">
        <f t="shared" ref="H2108:H2119" si="366">IF(K2108="MO",TRUNC(F2108*G2108,2),"")</f>
        <v>1.89</v>
      </c>
      <c r="I2108" s="119" t="str">
        <f t="shared" ref="I2108:I2119" si="367">IF(K2108="MT",TRUNC(F2108*G2108,2),"")</f>
        <v/>
      </c>
      <c r="J2108" s="115" t="str">
        <f t="shared" ref="J2108:J2119" si="368">IF(K2108="EQ",TRUNC(F2108*G2108,2),"")</f>
        <v/>
      </c>
      <c r="K2108" s="102" t="str">
        <f>IF(A2108&amp;B2108="","",VLOOKUP(A2108&amp;B2108,INSUMOS!C:G,5,0))</f>
        <v>MO</v>
      </c>
    </row>
    <row r="2109" spans="1:17" ht="15" x14ac:dyDescent="0.25">
      <c r="A2109" s="109" t="s">
        <v>4398</v>
      </c>
      <c r="B2109" s="116">
        <v>69513</v>
      </c>
      <c r="C2109" s="518" t="str">
        <f>IF(A2109&amp;B2109="","",VLOOKUP(A2109&amp;B2109,INSUMOS!C:G,2,0))</f>
        <v>Adesivo para tubos PVC</v>
      </c>
      <c r="D2109" s="519"/>
      <c r="E2109" s="117" t="str">
        <f>IF(A2109&amp;B2109="","",VLOOKUP(A2109&amp;B2109,INSUMOS!C:G,3,0))</f>
        <v>kg</v>
      </c>
      <c r="F2109" s="118">
        <v>8.8000000000000005E-3</v>
      </c>
      <c r="G2109" s="113">
        <f>IF(A2109&amp;B2109="","",VLOOKUP(A2109&amp;B2109,INSUMOS!C:G,4,0))</f>
        <v>42.49</v>
      </c>
      <c r="H2109" s="119" t="str">
        <f t="shared" si="366"/>
        <v/>
      </c>
      <c r="I2109" s="119">
        <f t="shared" si="367"/>
        <v>0.37</v>
      </c>
      <c r="J2109" s="115" t="str">
        <f t="shared" si="368"/>
        <v/>
      </c>
      <c r="K2109" s="102" t="str">
        <f>IF(A2109&amp;B2109="","",VLOOKUP(A2109&amp;B2109,INSUMOS!C:G,5,0))</f>
        <v>MT</v>
      </c>
    </row>
    <row r="2110" spans="1:17" ht="15" x14ac:dyDescent="0.25">
      <c r="A2110" s="109" t="s">
        <v>4398</v>
      </c>
      <c r="B2110" s="116">
        <v>69552</v>
      </c>
      <c r="C2110" s="518" t="str">
        <f>IF(A2110&amp;B2110="","",VLOOKUP(A2110&amp;B2110,INSUMOS!C:G,2,0))</f>
        <v>Fita teflon de 18 mm</v>
      </c>
      <c r="D2110" s="519"/>
      <c r="E2110" s="117" t="str">
        <f>IF(A2110&amp;B2110="","",VLOOKUP(A2110&amp;B2110,INSUMOS!C:G,3,0))</f>
        <v>m</v>
      </c>
      <c r="F2110" s="118">
        <v>1.8800000000000001E-2</v>
      </c>
      <c r="G2110" s="113">
        <f>IF(A2110&amp;B2110="","",VLOOKUP(A2110&amp;B2110,INSUMOS!C:G,4,0))</f>
        <v>0.16</v>
      </c>
      <c r="H2110" s="119" t="str">
        <f t="shared" si="366"/>
        <v/>
      </c>
      <c r="I2110" s="119">
        <f t="shared" si="367"/>
        <v>0</v>
      </c>
      <c r="J2110" s="115" t="str">
        <f t="shared" si="368"/>
        <v/>
      </c>
      <c r="K2110" s="102" t="str">
        <f>IF(A2110&amp;B2110="","",VLOOKUP(A2110&amp;B2110,INSUMOS!C:G,5,0))</f>
        <v>MT</v>
      </c>
    </row>
    <row r="2111" spans="1:17" ht="15" x14ac:dyDescent="0.25">
      <c r="A2111" s="109" t="s">
        <v>4810</v>
      </c>
      <c r="B2111" s="116">
        <v>66</v>
      </c>
      <c r="C2111" s="518" t="str">
        <f>IF(A2111&amp;B2111="","",VLOOKUP(A2111&amp;B2111,INSUMOS!C:G,2,0))</f>
        <v>Adaptador PVC Soldável, com flanges livres, 50mm x 1 1/2" para caixa d´água</v>
      </c>
      <c r="D2111" s="519"/>
      <c r="E2111" s="117" t="str">
        <f>IF(A2111&amp;B2111="","",VLOOKUP(A2111&amp;B2111,INSUMOS!C:G,3,0))</f>
        <v>un</v>
      </c>
      <c r="F2111" s="118">
        <v>1</v>
      </c>
      <c r="G2111" s="113">
        <f>IF(A2111&amp;B2111="","",VLOOKUP(A2111&amp;B2111,INSUMOS!C:G,4,0))</f>
        <v>20.82</v>
      </c>
      <c r="H2111" s="119" t="str">
        <f t="shared" si="366"/>
        <v/>
      </c>
      <c r="I2111" s="119">
        <f t="shared" si="367"/>
        <v>20.82</v>
      </c>
      <c r="J2111" s="115" t="str">
        <f t="shared" si="368"/>
        <v/>
      </c>
      <c r="K2111" s="102" t="str">
        <f>IF(A2111&amp;B2111="","",VLOOKUP(A2111&amp;B2111,INSUMOS!C:G,5,0))</f>
        <v>MT</v>
      </c>
    </row>
    <row r="2112" spans="1:17" ht="15" x14ac:dyDescent="0.25">
      <c r="A2112" s="109" t="s">
        <v>4398</v>
      </c>
      <c r="B2112" s="116">
        <v>69514</v>
      </c>
      <c r="C2112" s="518" t="str">
        <f>IF(A2112&amp;B2112="","",VLOOKUP(A2112&amp;B2112,INSUMOS!C:G,2,0))</f>
        <v>Solução limpadora para PVC</v>
      </c>
      <c r="D2112" s="519"/>
      <c r="E2112" s="117" t="str">
        <f>IF(A2112&amp;B2112="","",VLOOKUP(A2112&amp;B2112,INSUMOS!C:G,3,0))</f>
        <v>l</v>
      </c>
      <c r="F2112" s="118">
        <v>1.0999999999999999E-2</v>
      </c>
      <c r="G2112" s="113">
        <f>IF(A2112&amp;B2112="","",VLOOKUP(A2112&amp;B2112,INSUMOS!C:G,4,0))</f>
        <v>29.11</v>
      </c>
      <c r="H2112" s="119" t="str">
        <f t="shared" si="366"/>
        <v/>
      </c>
      <c r="I2112" s="119">
        <f t="shared" si="367"/>
        <v>0.32</v>
      </c>
      <c r="J2112" s="115" t="str">
        <f t="shared" si="368"/>
        <v/>
      </c>
      <c r="K2112" s="102" t="str">
        <f>IF(A2112&amp;B2112="","",VLOOKUP(A2112&amp;B2112,INSUMOS!C:G,5,0))</f>
        <v>MT</v>
      </c>
    </row>
    <row r="2113" spans="1:17" ht="15" x14ac:dyDescent="0.25">
      <c r="A2113" s="109"/>
      <c r="B2113" s="116"/>
      <c r="C2113" s="518" t="str">
        <f>IF(A2113&amp;B2113="","",VLOOKUP(A2113&amp;B2113,INSUMOS!C:G,2,0))</f>
        <v/>
      </c>
      <c r="D2113" s="519"/>
      <c r="E2113" s="117" t="str">
        <f>IF(A2113&amp;B2113="","",VLOOKUP(A2113&amp;B2113,INSUMOS!C:G,3,0))</f>
        <v/>
      </c>
      <c r="F2113" s="118"/>
      <c r="G2113" s="113" t="str">
        <f>IF(A2113&amp;B2113="","",VLOOKUP(A2113&amp;B2113,INSUMOS!C:G,4,0))</f>
        <v/>
      </c>
      <c r="H2113" s="119" t="str">
        <f t="shared" si="366"/>
        <v/>
      </c>
      <c r="I2113" s="119" t="str">
        <f t="shared" si="367"/>
        <v/>
      </c>
      <c r="J2113" s="115" t="str">
        <f t="shared" si="368"/>
        <v/>
      </c>
      <c r="K2113" s="102" t="str">
        <f>IF(A2113&amp;B2113="","",VLOOKUP(A2113&amp;B2113,INSUMOS!C:G,5,0))</f>
        <v/>
      </c>
    </row>
    <row r="2114" spans="1:17" ht="15" x14ac:dyDescent="0.25">
      <c r="A2114" s="109"/>
      <c r="B2114" s="116"/>
      <c r="C2114" s="518" t="str">
        <f>IF(A2114&amp;B2114="","",VLOOKUP(A2114&amp;B2114,INSUMOS!C:G,2,0))</f>
        <v/>
      </c>
      <c r="D2114" s="519"/>
      <c r="E2114" s="117" t="str">
        <f>IF(A2114&amp;B2114="","",VLOOKUP(A2114&amp;B2114,INSUMOS!C:G,3,0))</f>
        <v/>
      </c>
      <c r="F2114" s="118"/>
      <c r="G2114" s="113" t="str">
        <f>IF(A2114&amp;B2114="","",VLOOKUP(A2114&amp;B2114,INSUMOS!C:G,4,0))</f>
        <v/>
      </c>
      <c r="H2114" s="119" t="str">
        <f t="shared" si="366"/>
        <v/>
      </c>
      <c r="I2114" s="119" t="str">
        <f t="shared" si="367"/>
        <v/>
      </c>
      <c r="J2114" s="115" t="str">
        <f t="shared" si="368"/>
        <v/>
      </c>
      <c r="K2114" s="102" t="str">
        <f>IF(A2114&amp;B2114="","",VLOOKUP(A2114&amp;B2114,INSUMOS!C:G,5,0))</f>
        <v/>
      </c>
    </row>
    <row r="2115" spans="1:17" ht="15" x14ac:dyDescent="0.25">
      <c r="A2115" s="109"/>
      <c r="B2115" s="116"/>
      <c r="C2115" s="518" t="str">
        <f>IF(A2115&amp;B2115="","",VLOOKUP(A2115&amp;B2115,INSUMOS!C:G,2,0))</f>
        <v/>
      </c>
      <c r="D2115" s="519"/>
      <c r="E2115" s="117" t="str">
        <f>IF(A2115&amp;B2115="","",VLOOKUP(A2115&amp;B2115,INSUMOS!C:G,3,0))</f>
        <v/>
      </c>
      <c r="F2115" s="118"/>
      <c r="G2115" s="113" t="str">
        <f>IF(A2115&amp;B2115="","",VLOOKUP(A2115&amp;B2115,INSUMOS!C:G,4,0))</f>
        <v/>
      </c>
      <c r="H2115" s="119" t="str">
        <f t="shared" si="366"/>
        <v/>
      </c>
      <c r="I2115" s="119" t="str">
        <f t="shared" si="367"/>
        <v/>
      </c>
      <c r="J2115" s="115" t="str">
        <f t="shared" si="368"/>
        <v/>
      </c>
      <c r="K2115" s="102" t="str">
        <f>IF(A2115&amp;B2115="","",VLOOKUP(A2115&amp;B2115,INSUMOS!C:G,5,0))</f>
        <v/>
      </c>
    </row>
    <row r="2116" spans="1:17" ht="15" x14ac:dyDescent="0.25">
      <c r="A2116" s="109"/>
      <c r="B2116" s="116"/>
      <c r="C2116" s="518" t="str">
        <f>IF(A2116&amp;B2116="","",VLOOKUP(A2116&amp;B2116,INSUMOS!C:G,2,0))</f>
        <v/>
      </c>
      <c r="D2116" s="519"/>
      <c r="E2116" s="117" t="str">
        <f>IF(A2116&amp;B2116="","",VLOOKUP(A2116&amp;B2116,INSUMOS!C:G,3,0))</f>
        <v/>
      </c>
      <c r="F2116" s="118"/>
      <c r="G2116" s="113" t="str">
        <f>IF(A2116&amp;B2116="","",VLOOKUP(A2116&amp;B2116,INSUMOS!C:G,4,0))</f>
        <v/>
      </c>
      <c r="H2116" s="119" t="str">
        <f t="shared" si="366"/>
        <v/>
      </c>
      <c r="I2116" s="119" t="str">
        <f t="shared" si="367"/>
        <v/>
      </c>
      <c r="J2116" s="115" t="str">
        <f t="shared" si="368"/>
        <v/>
      </c>
      <c r="K2116" s="102" t="str">
        <f>IF(A2116&amp;B2116="","",VLOOKUP(A2116&amp;B2116,INSUMOS!C:G,5,0))</f>
        <v/>
      </c>
    </row>
    <row r="2117" spans="1:17" ht="15" x14ac:dyDescent="0.25">
      <c r="A2117" s="120"/>
      <c r="B2117" s="121"/>
      <c r="C2117" s="518" t="str">
        <f>IF(A2117&amp;B2117="","",VLOOKUP(A2117&amp;B2117,INSUMOS!C:G,2,0))</f>
        <v/>
      </c>
      <c r="D2117" s="519"/>
      <c r="E2117" s="117" t="str">
        <f>IF(A2117&amp;B2117="","",VLOOKUP(A2117&amp;B2117,INSUMOS!C:G,3,0))</f>
        <v/>
      </c>
      <c r="F2117" s="118"/>
      <c r="G2117" s="122" t="str">
        <f>IF(A2117&amp;B2117="","",VLOOKUP(A2117&amp;B2117,INSUMOS!C:G,4,0))</f>
        <v/>
      </c>
      <c r="H2117" s="119" t="str">
        <f t="shared" si="366"/>
        <v/>
      </c>
      <c r="I2117" s="119" t="str">
        <f t="shared" si="367"/>
        <v/>
      </c>
      <c r="J2117" s="115" t="str">
        <f t="shared" si="368"/>
        <v/>
      </c>
      <c r="K2117" s="102" t="str">
        <f>IF(A2117&amp;B2117="","",VLOOKUP(A2117&amp;B2117,INSUMOS!C:G,5,0))</f>
        <v/>
      </c>
    </row>
    <row r="2118" spans="1:17" ht="15" x14ac:dyDescent="0.25">
      <c r="A2118" s="120"/>
      <c r="B2118" s="121"/>
      <c r="C2118" s="518" t="str">
        <f>IF(A2118&amp;B2118="","",VLOOKUP(A2118&amp;B2118,INSUMOS!C:G,2,0))</f>
        <v/>
      </c>
      <c r="D2118" s="519"/>
      <c r="E2118" s="117" t="str">
        <f>IF(A2118&amp;B2118="","",VLOOKUP(A2118&amp;B2118,INSUMOS!C:G,3,0))</f>
        <v/>
      </c>
      <c r="F2118" s="118"/>
      <c r="G2118" s="122" t="str">
        <f>IF(A2118&amp;B2118="","",VLOOKUP(A2118&amp;B2118,INSUMOS!C:G,4,0))</f>
        <v/>
      </c>
      <c r="H2118" s="119" t="str">
        <f t="shared" si="366"/>
        <v/>
      </c>
      <c r="I2118" s="119" t="str">
        <f t="shared" si="367"/>
        <v/>
      </c>
      <c r="J2118" s="115" t="str">
        <f t="shared" si="368"/>
        <v/>
      </c>
      <c r="K2118" s="102" t="str">
        <f>IF(A2118&amp;B2118="","",VLOOKUP(A2118&amp;B2118,INSUMOS!C:G,5,0))</f>
        <v/>
      </c>
    </row>
    <row r="2119" spans="1:17" ht="15" x14ac:dyDescent="0.25">
      <c r="A2119" s="120"/>
      <c r="B2119" s="121"/>
      <c r="C2119" s="518" t="str">
        <f>IF(A2119&amp;B2119="","",VLOOKUP(A2119&amp;B2119,INSUMOS!C:G,2,0))</f>
        <v/>
      </c>
      <c r="D2119" s="519"/>
      <c r="E2119" s="117" t="str">
        <f>IF(A2119&amp;B2119="","",VLOOKUP(A2119&amp;B2119,INSUMOS!C:G,3,0))</f>
        <v/>
      </c>
      <c r="F2119" s="118"/>
      <c r="G2119" s="122" t="str">
        <f>IF(A2119&amp;B2119="","",VLOOKUP(A2119&amp;B2119,INSUMOS!C:G,4,0))</f>
        <v/>
      </c>
      <c r="H2119" s="119" t="str">
        <f t="shared" si="366"/>
        <v/>
      </c>
      <c r="I2119" s="119" t="str">
        <f t="shared" si="367"/>
        <v/>
      </c>
      <c r="J2119" s="115" t="str">
        <f t="shared" si="368"/>
        <v/>
      </c>
      <c r="K2119" s="102" t="str">
        <f>IF(A2119&amp;B2119="","",VLOOKUP(A2119&amp;B2119,INSUMOS!C:G,5,0))</f>
        <v/>
      </c>
    </row>
    <row r="2120" spans="1:17" ht="15" x14ac:dyDescent="0.25">
      <c r="A2120" s="123" t="s">
        <v>4399</v>
      </c>
      <c r="B2120" s="542" t="s">
        <v>5246</v>
      </c>
      <c r="C2120" s="542"/>
      <c r="D2120" s="542"/>
      <c r="E2120" s="542"/>
      <c r="F2120" s="543"/>
      <c r="G2120" s="124" t="s">
        <v>50</v>
      </c>
      <c r="H2120" s="125">
        <f>SUM(H2107:H2119)</f>
        <v>3.12</v>
      </c>
      <c r="I2120" s="125">
        <f>SUM(I2107:I2119)</f>
        <v>21.51</v>
      </c>
      <c r="J2120" s="126">
        <f>SUM(J2107:J2119)</f>
        <v>0</v>
      </c>
    </row>
    <row r="2121" spans="1:17" ht="15" x14ac:dyDescent="0.25">
      <c r="A2121" s="127" t="s">
        <v>4400</v>
      </c>
      <c r="B2121" s="128"/>
      <c r="C2121" s="128"/>
      <c r="D2121" s="127" t="s">
        <v>51</v>
      </c>
      <c r="E2121" s="128"/>
      <c r="F2121" s="129"/>
      <c r="G2121" s="130" t="s">
        <v>55</v>
      </c>
      <c r="H2121" s="131" t="s">
        <v>52</v>
      </c>
      <c r="I2121" s="132"/>
      <c r="J2121" s="125">
        <f>SUM(H2120:J2120)</f>
        <v>24.630000000000003</v>
      </c>
    </row>
    <row r="2122" spans="1:17" ht="15" x14ac:dyDescent="0.25">
      <c r="A2122" s="313" t="str">
        <f>$I$3</f>
        <v>Carlos Wieck</v>
      </c>
      <c r="B2122" s="133"/>
      <c r="C2122" s="133"/>
      <c r="D2122" s="134"/>
      <c r="E2122" s="133"/>
      <c r="F2122" s="135"/>
      <c r="G2122" s="522">
        <f>$J$5</f>
        <v>43040</v>
      </c>
      <c r="H2122" s="136" t="s">
        <v>53</v>
      </c>
      <c r="I2122" s="137"/>
      <c r="J2122" s="125">
        <f>TRUNC(I2122*J2121,2)</f>
        <v>0</v>
      </c>
    </row>
    <row r="2123" spans="1:17" ht="15" x14ac:dyDescent="0.25">
      <c r="A2123" s="314"/>
      <c r="B2123" s="139"/>
      <c r="C2123" s="139"/>
      <c r="D2123" s="138"/>
      <c r="E2123" s="139"/>
      <c r="F2123" s="140"/>
      <c r="G2123" s="523"/>
      <c r="H2123" s="141" t="s">
        <v>54</v>
      </c>
      <c r="I2123" s="142"/>
      <c r="J2123" s="143">
        <f>J2122+J2121</f>
        <v>24.630000000000003</v>
      </c>
      <c r="L2123" s="102" t="str">
        <f>A2104</f>
        <v>COMPOSIÇÃO</v>
      </c>
      <c r="M2123" s="144" t="str">
        <f>B2104</f>
        <v>FF-089</v>
      </c>
      <c r="N2123" s="102" t="str">
        <f>L2123&amp;M2123</f>
        <v>COMPOSIÇÃOFF-089</v>
      </c>
      <c r="O2123" s="103" t="str">
        <f>D2103</f>
        <v>Adaptador PVC Soldável, com flanges livres, 60mm x 2" para caixa d´água, fornecimento e instalação</v>
      </c>
      <c r="P2123" s="145" t="str">
        <f>J2104</f>
        <v>un</v>
      </c>
      <c r="Q2123" s="145">
        <f>J2123</f>
        <v>24.630000000000003</v>
      </c>
    </row>
    <row r="2124" spans="1:17" ht="15" customHeight="1" x14ac:dyDescent="0.25">
      <c r="A2124" s="524" t="s">
        <v>40</v>
      </c>
      <c r="B2124" s="525"/>
      <c r="C2124" s="104" t="s">
        <v>41</v>
      </c>
      <c r="D2124" s="526" t="str">
        <f>IF(B2125="","",VLOOKUP(B2125,SERVIÇOS!B:E,3,0))</f>
        <v>Cotovelo de 90º 28mm solda em cobre para água quente, Fornecimento e Instalação</v>
      </c>
      <c r="E2124" s="526"/>
      <c r="F2124" s="526"/>
      <c r="G2124" s="526"/>
      <c r="H2124" s="526"/>
      <c r="I2124" s="527"/>
      <c r="J2124" s="105" t="s">
        <v>42</v>
      </c>
    </row>
    <row r="2125" spans="1:17" ht="15" x14ac:dyDescent="0.25">
      <c r="A2125" s="230" t="s">
        <v>4715</v>
      </c>
      <c r="B2125" s="230" t="s">
        <v>5222</v>
      </c>
      <c r="C2125" s="106"/>
      <c r="D2125" s="528"/>
      <c r="E2125" s="528"/>
      <c r="F2125" s="528"/>
      <c r="G2125" s="528"/>
      <c r="H2125" s="528"/>
      <c r="I2125" s="529"/>
      <c r="J2125" s="107" t="str">
        <f>IF(B2125="","",VLOOKUP(B2125,SERVIÇOS!B:E,4,0))</f>
        <v>un</v>
      </c>
    </row>
    <row r="2126" spans="1:17" ht="15" x14ac:dyDescent="0.25">
      <c r="A2126" s="530" t="s">
        <v>4397</v>
      </c>
      <c r="B2126" s="531" t="s">
        <v>11</v>
      </c>
      <c r="C2126" s="533" t="s">
        <v>43</v>
      </c>
      <c r="D2126" s="534"/>
      <c r="E2126" s="530" t="s">
        <v>13</v>
      </c>
      <c r="F2126" s="530" t="s">
        <v>44</v>
      </c>
      <c r="G2126" s="538" t="s">
        <v>45</v>
      </c>
      <c r="H2126" s="108" t="s">
        <v>46</v>
      </c>
      <c r="I2126" s="108"/>
      <c r="J2126" s="108"/>
    </row>
    <row r="2127" spans="1:17" ht="15" x14ac:dyDescent="0.25">
      <c r="A2127" s="530"/>
      <c r="B2127" s="532"/>
      <c r="C2127" s="535"/>
      <c r="D2127" s="536"/>
      <c r="E2127" s="537"/>
      <c r="F2127" s="537"/>
      <c r="G2127" s="539"/>
      <c r="H2127" s="108" t="s">
        <v>47</v>
      </c>
      <c r="I2127" s="108" t="s">
        <v>48</v>
      </c>
      <c r="J2127" s="108" t="s">
        <v>49</v>
      </c>
    </row>
    <row r="2128" spans="1:17" ht="15" x14ac:dyDescent="0.25">
      <c r="A2128" s="109" t="s">
        <v>4398</v>
      </c>
      <c r="B2128" s="110">
        <v>10119</v>
      </c>
      <c r="C2128" s="540" t="str">
        <f>IF(A2128&amp;B2128="","",VLOOKUP(A2128&amp;B2128,INSUMOS!C:G,2,0))</f>
        <v>Ajudante de encanador</v>
      </c>
      <c r="D2128" s="541"/>
      <c r="E2128" s="111" t="str">
        <f>IF(A2128&amp;B2128="","",VLOOKUP(A2128&amp;B2128,INSUMOS!C:G,3,0))</f>
        <v>h</v>
      </c>
      <c r="F2128" s="112">
        <v>0.18</v>
      </c>
      <c r="G2128" s="113">
        <f>IF(A2128&amp;B2128="","",VLOOKUP(A2128&amp;B2128,INSUMOS!C:G,4,0))</f>
        <v>10.985028</v>
      </c>
      <c r="H2128" s="114">
        <f>IF(K2128="MO",TRUNC(F2128*G2128,2),"")</f>
        <v>1.97</v>
      </c>
      <c r="I2128" s="114" t="str">
        <f>IF(K2128="MT",TRUNC(F2128*G2128,2),"")</f>
        <v/>
      </c>
      <c r="J2128" s="115" t="str">
        <f>IF(K2128="EQ",TRUNC(F2128*G2128,2),"")</f>
        <v/>
      </c>
      <c r="K2128" s="102" t="str">
        <f>IF(A2128&amp;B2128="","",VLOOKUP(A2128&amp;B2128,INSUMOS!C:G,5,0))</f>
        <v>MO</v>
      </c>
    </row>
    <row r="2129" spans="1:17" ht="15" x14ac:dyDescent="0.25">
      <c r="A2129" s="109" t="s">
        <v>4398</v>
      </c>
      <c r="B2129" s="116">
        <v>10118</v>
      </c>
      <c r="C2129" s="518" t="str">
        <f>IF(A2129&amp;B2129="","",VLOOKUP(A2129&amp;B2129,INSUMOS!C:G,2,0))</f>
        <v xml:space="preserve">Encanador </v>
      </c>
      <c r="D2129" s="519"/>
      <c r="E2129" s="117" t="str">
        <f>IF(A2129&amp;B2129="","",VLOOKUP(A2129&amp;B2129,INSUMOS!C:G,3,0))</f>
        <v>h</v>
      </c>
      <c r="F2129" s="118">
        <v>0.18</v>
      </c>
      <c r="G2129" s="113">
        <f>IF(A2129&amp;B2129="","",VLOOKUP(A2129&amp;B2129,INSUMOS!C:G,4,0))</f>
        <v>16.906036</v>
      </c>
      <c r="H2129" s="119">
        <f t="shared" ref="H2129:H2140" si="369">IF(K2129="MO",TRUNC(F2129*G2129,2),"")</f>
        <v>3.04</v>
      </c>
      <c r="I2129" s="119" t="str">
        <f t="shared" ref="I2129:I2140" si="370">IF(K2129="MT",TRUNC(F2129*G2129,2),"")</f>
        <v/>
      </c>
      <c r="J2129" s="115" t="str">
        <f t="shared" ref="J2129:J2140" si="371">IF(K2129="EQ",TRUNC(F2129*G2129,2),"")</f>
        <v/>
      </c>
      <c r="K2129" s="102" t="str">
        <f>IF(A2129&amp;B2129="","",VLOOKUP(A2129&amp;B2129,INSUMOS!C:G,5,0))</f>
        <v>MO</v>
      </c>
    </row>
    <row r="2130" spans="1:17" ht="15" x14ac:dyDescent="0.25">
      <c r="A2130" s="109" t="s">
        <v>4810</v>
      </c>
      <c r="B2130" s="116">
        <v>12715</v>
      </c>
      <c r="C2130" s="518" t="str">
        <f>IF(A2130&amp;B2130="","",VLOOKUP(A2130&amp;B2130,INSUMOS!C:G,2,0))</f>
        <v>Cotovelo cobre s/anel solda ref 607 22mm</v>
      </c>
      <c r="D2130" s="519"/>
      <c r="E2130" s="117" t="str">
        <f>IF(A2130&amp;B2130="","",VLOOKUP(A2130&amp;B2130,INSUMOS!C:G,3,0))</f>
        <v>un</v>
      </c>
      <c r="F2130" s="118">
        <v>1</v>
      </c>
      <c r="G2130" s="113">
        <f>IF(A2130&amp;B2130="","",VLOOKUP(A2130&amp;B2130,INSUMOS!C:G,4,0))</f>
        <v>8.1199999999999992</v>
      </c>
      <c r="H2130" s="119" t="str">
        <f t="shared" si="369"/>
        <v/>
      </c>
      <c r="I2130" s="119">
        <f t="shared" si="370"/>
        <v>8.1199999999999992</v>
      </c>
      <c r="J2130" s="115" t="str">
        <f t="shared" si="371"/>
        <v/>
      </c>
      <c r="K2130" s="102" t="str">
        <f>IF(A2130&amp;B2130="","",VLOOKUP(A2130&amp;B2130,INSUMOS!C:G,5,0))</f>
        <v>MT</v>
      </c>
    </row>
    <row r="2131" spans="1:17" ht="15" x14ac:dyDescent="0.25">
      <c r="A2131" s="109" t="s">
        <v>4810</v>
      </c>
      <c r="B2131" s="116">
        <v>12732</v>
      </c>
      <c r="C2131" s="518" t="str">
        <f>IF(A2131&amp;B2131="","",VLOOKUP(A2131&amp;B2131,INSUMOS!C:G,2,0))</f>
        <v>Solda p/ tubo e conexões de cobre 500G</v>
      </c>
      <c r="D2131" s="519"/>
      <c r="E2131" s="117" t="str">
        <f>IF(A2131&amp;B2131="","",VLOOKUP(A2131&amp;B2131,INSUMOS!C:G,3,0))</f>
        <v>un</v>
      </c>
      <c r="F2131" s="118">
        <v>1.1999999999999999E-3</v>
      </c>
      <c r="G2131" s="113">
        <f>IF(A2131&amp;B2131="","",VLOOKUP(A2131&amp;B2131,INSUMOS!C:G,4,0))</f>
        <v>54.15</v>
      </c>
      <c r="H2131" s="119" t="str">
        <f t="shared" si="369"/>
        <v/>
      </c>
      <c r="I2131" s="119">
        <f t="shared" si="370"/>
        <v>0.06</v>
      </c>
      <c r="J2131" s="115" t="str">
        <f t="shared" si="371"/>
        <v/>
      </c>
      <c r="K2131" s="102" t="str">
        <f>IF(A2131&amp;B2131="","",VLOOKUP(A2131&amp;B2131,INSUMOS!C:G,5,0))</f>
        <v>MT</v>
      </c>
    </row>
    <row r="2132" spans="1:17" ht="15" x14ac:dyDescent="0.25">
      <c r="A2132" s="109"/>
      <c r="B2132" s="116"/>
      <c r="C2132" s="518" t="str">
        <f>IF(A2132&amp;B2132="","",VLOOKUP(A2132&amp;B2132,INSUMOS!C:G,2,0))</f>
        <v/>
      </c>
      <c r="D2132" s="519"/>
      <c r="E2132" s="117" t="str">
        <f>IF(A2132&amp;B2132="","",VLOOKUP(A2132&amp;B2132,INSUMOS!C:G,3,0))</f>
        <v/>
      </c>
      <c r="F2132" s="118"/>
      <c r="G2132" s="113" t="str">
        <f>IF(A2132&amp;B2132="","",VLOOKUP(A2132&amp;B2132,INSUMOS!C:G,4,0))</f>
        <v/>
      </c>
      <c r="H2132" s="119" t="str">
        <f t="shared" si="369"/>
        <v/>
      </c>
      <c r="I2132" s="119" t="str">
        <f t="shared" si="370"/>
        <v/>
      </c>
      <c r="J2132" s="115" t="str">
        <f t="shared" si="371"/>
        <v/>
      </c>
      <c r="K2132" s="102" t="str">
        <f>IF(A2132&amp;B2132="","",VLOOKUP(A2132&amp;B2132,INSUMOS!C:G,5,0))</f>
        <v/>
      </c>
    </row>
    <row r="2133" spans="1:17" ht="15" x14ac:dyDescent="0.25">
      <c r="A2133" s="109"/>
      <c r="B2133" s="116"/>
      <c r="C2133" s="518" t="str">
        <f>IF(A2133&amp;B2133="","",VLOOKUP(A2133&amp;B2133,INSUMOS!C:G,2,0))</f>
        <v/>
      </c>
      <c r="D2133" s="519"/>
      <c r="E2133" s="117" t="str">
        <f>IF(A2133&amp;B2133="","",VLOOKUP(A2133&amp;B2133,INSUMOS!C:G,3,0))</f>
        <v/>
      </c>
      <c r="F2133" s="118"/>
      <c r="G2133" s="113" t="str">
        <f>IF(A2133&amp;B2133="","",VLOOKUP(A2133&amp;B2133,INSUMOS!C:G,4,0))</f>
        <v/>
      </c>
      <c r="H2133" s="119" t="str">
        <f t="shared" si="369"/>
        <v/>
      </c>
      <c r="I2133" s="119" t="str">
        <f t="shared" si="370"/>
        <v/>
      </c>
      <c r="J2133" s="115" t="str">
        <f t="shared" si="371"/>
        <v/>
      </c>
      <c r="K2133" s="102" t="str">
        <f>IF(A2133&amp;B2133="","",VLOOKUP(A2133&amp;B2133,INSUMOS!C:G,5,0))</f>
        <v/>
      </c>
    </row>
    <row r="2134" spans="1:17" ht="15" x14ac:dyDescent="0.25">
      <c r="A2134" s="109"/>
      <c r="B2134" s="116"/>
      <c r="C2134" s="518" t="str">
        <f>IF(A2134&amp;B2134="","",VLOOKUP(A2134&amp;B2134,INSUMOS!C:G,2,0))</f>
        <v/>
      </c>
      <c r="D2134" s="519"/>
      <c r="E2134" s="117" t="str">
        <f>IF(A2134&amp;B2134="","",VLOOKUP(A2134&amp;B2134,INSUMOS!C:G,3,0))</f>
        <v/>
      </c>
      <c r="F2134" s="118"/>
      <c r="G2134" s="113" t="str">
        <f>IF(A2134&amp;B2134="","",VLOOKUP(A2134&amp;B2134,INSUMOS!C:G,4,0))</f>
        <v/>
      </c>
      <c r="H2134" s="119" t="str">
        <f t="shared" si="369"/>
        <v/>
      </c>
      <c r="I2134" s="119" t="str">
        <f t="shared" si="370"/>
        <v/>
      </c>
      <c r="J2134" s="115" t="str">
        <f t="shared" si="371"/>
        <v/>
      </c>
      <c r="K2134" s="102" t="str">
        <f>IF(A2134&amp;B2134="","",VLOOKUP(A2134&amp;B2134,INSUMOS!C:G,5,0))</f>
        <v/>
      </c>
    </row>
    <row r="2135" spans="1:17" ht="15" x14ac:dyDescent="0.25">
      <c r="A2135" s="109"/>
      <c r="B2135" s="116"/>
      <c r="C2135" s="518" t="str">
        <f>IF(A2135&amp;B2135="","",VLOOKUP(A2135&amp;B2135,INSUMOS!C:G,2,0))</f>
        <v/>
      </c>
      <c r="D2135" s="519"/>
      <c r="E2135" s="117" t="str">
        <f>IF(A2135&amp;B2135="","",VLOOKUP(A2135&amp;B2135,INSUMOS!C:G,3,0))</f>
        <v/>
      </c>
      <c r="F2135" s="118"/>
      <c r="G2135" s="113" t="str">
        <f>IF(A2135&amp;B2135="","",VLOOKUP(A2135&amp;B2135,INSUMOS!C:G,4,0))</f>
        <v/>
      </c>
      <c r="H2135" s="119" t="str">
        <f t="shared" si="369"/>
        <v/>
      </c>
      <c r="I2135" s="119" t="str">
        <f t="shared" si="370"/>
        <v/>
      </c>
      <c r="J2135" s="115" t="str">
        <f t="shared" si="371"/>
        <v/>
      </c>
      <c r="K2135" s="102" t="str">
        <f>IF(A2135&amp;B2135="","",VLOOKUP(A2135&amp;B2135,INSUMOS!C:G,5,0))</f>
        <v/>
      </c>
    </row>
    <row r="2136" spans="1:17" ht="15" x14ac:dyDescent="0.25">
      <c r="A2136" s="109"/>
      <c r="B2136" s="116"/>
      <c r="C2136" s="518" t="str">
        <f>IF(A2136&amp;B2136="","",VLOOKUP(A2136&amp;B2136,INSUMOS!C:G,2,0))</f>
        <v/>
      </c>
      <c r="D2136" s="519"/>
      <c r="E2136" s="117" t="str">
        <f>IF(A2136&amp;B2136="","",VLOOKUP(A2136&amp;B2136,INSUMOS!C:G,3,0))</f>
        <v/>
      </c>
      <c r="F2136" s="118"/>
      <c r="G2136" s="113" t="str">
        <f>IF(A2136&amp;B2136="","",VLOOKUP(A2136&amp;B2136,INSUMOS!C:G,4,0))</f>
        <v/>
      </c>
      <c r="H2136" s="119" t="str">
        <f t="shared" si="369"/>
        <v/>
      </c>
      <c r="I2136" s="119" t="str">
        <f t="shared" si="370"/>
        <v/>
      </c>
      <c r="J2136" s="115" t="str">
        <f t="shared" si="371"/>
        <v/>
      </c>
      <c r="K2136" s="102" t="str">
        <f>IF(A2136&amp;B2136="","",VLOOKUP(A2136&amp;B2136,INSUMOS!C:G,5,0))</f>
        <v/>
      </c>
    </row>
    <row r="2137" spans="1:17" ht="15" x14ac:dyDescent="0.25">
      <c r="A2137" s="109"/>
      <c r="B2137" s="116"/>
      <c r="C2137" s="518" t="str">
        <f>IF(A2137&amp;B2137="","",VLOOKUP(A2137&amp;B2137,INSUMOS!C:G,2,0))</f>
        <v/>
      </c>
      <c r="D2137" s="519"/>
      <c r="E2137" s="117" t="str">
        <f>IF(A2137&amp;B2137="","",VLOOKUP(A2137&amp;B2137,INSUMOS!C:G,3,0))</f>
        <v/>
      </c>
      <c r="F2137" s="118"/>
      <c r="G2137" s="113" t="str">
        <f>IF(A2137&amp;B2137="","",VLOOKUP(A2137&amp;B2137,INSUMOS!C:G,4,0))</f>
        <v/>
      </c>
      <c r="H2137" s="119" t="str">
        <f t="shared" si="369"/>
        <v/>
      </c>
      <c r="I2137" s="119" t="str">
        <f t="shared" si="370"/>
        <v/>
      </c>
      <c r="J2137" s="115" t="str">
        <f t="shared" si="371"/>
        <v/>
      </c>
      <c r="K2137" s="102" t="str">
        <f>IF(A2137&amp;B2137="","",VLOOKUP(A2137&amp;B2137,INSUMOS!C:G,5,0))</f>
        <v/>
      </c>
    </row>
    <row r="2138" spans="1:17" ht="15" x14ac:dyDescent="0.25">
      <c r="A2138" s="120"/>
      <c r="B2138" s="121"/>
      <c r="C2138" s="518" t="str">
        <f>IF(A2138&amp;B2138="","",VLOOKUP(A2138&amp;B2138,INSUMOS!C:G,2,0))</f>
        <v/>
      </c>
      <c r="D2138" s="519"/>
      <c r="E2138" s="117" t="str">
        <f>IF(A2138&amp;B2138="","",VLOOKUP(A2138&amp;B2138,INSUMOS!C:G,3,0))</f>
        <v/>
      </c>
      <c r="F2138" s="118"/>
      <c r="G2138" s="122" t="str">
        <f>IF(A2138&amp;B2138="","",VLOOKUP(A2138&amp;B2138,INSUMOS!C:G,4,0))</f>
        <v/>
      </c>
      <c r="H2138" s="119" t="str">
        <f t="shared" si="369"/>
        <v/>
      </c>
      <c r="I2138" s="119" t="str">
        <f t="shared" si="370"/>
        <v/>
      </c>
      <c r="J2138" s="115" t="str">
        <f t="shared" si="371"/>
        <v/>
      </c>
      <c r="K2138" s="102" t="str">
        <f>IF(A2138&amp;B2138="","",VLOOKUP(A2138&amp;B2138,INSUMOS!C:G,5,0))</f>
        <v/>
      </c>
    </row>
    <row r="2139" spans="1:17" ht="15" x14ac:dyDescent="0.25">
      <c r="A2139" s="120"/>
      <c r="B2139" s="121"/>
      <c r="C2139" s="518" t="str">
        <f>IF(A2139&amp;B2139="","",VLOOKUP(A2139&amp;B2139,INSUMOS!C:G,2,0))</f>
        <v/>
      </c>
      <c r="D2139" s="519"/>
      <c r="E2139" s="117" t="str">
        <f>IF(A2139&amp;B2139="","",VLOOKUP(A2139&amp;B2139,INSUMOS!C:G,3,0))</f>
        <v/>
      </c>
      <c r="F2139" s="118"/>
      <c r="G2139" s="122" t="str">
        <f>IF(A2139&amp;B2139="","",VLOOKUP(A2139&amp;B2139,INSUMOS!C:G,4,0))</f>
        <v/>
      </c>
      <c r="H2139" s="119" t="str">
        <f t="shared" si="369"/>
        <v/>
      </c>
      <c r="I2139" s="119" t="str">
        <f t="shared" si="370"/>
        <v/>
      </c>
      <c r="J2139" s="115" t="str">
        <f t="shared" si="371"/>
        <v/>
      </c>
      <c r="K2139" s="102" t="str">
        <f>IF(A2139&amp;B2139="","",VLOOKUP(A2139&amp;B2139,INSUMOS!C:G,5,0))</f>
        <v/>
      </c>
    </row>
    <row r="2140" spans="1:17" ht="15" x14ac:dyDescent="0.25">
      <c r="A2140" s="120"/>
      <c r="B2140" s="121"/>
      <c r="C2140" s="518" t="str">
        <f>IF(A2140&amp;B2140="","",VLOOKUP(A2140&amp;B2140,INSUMOS!C:G,2,0))</f>
        <v/>
      </c>
      <c r="D2140" s="519"/>
      <c r="E2140" s="117" t="str">
        <f>IF(A2140&amp;B2140="","",VLOOKUP(A2140&amp;B2140,INSUMOS!C:G,3,0))</f>
        <v/>
      </c>
      <c r="F2140" s="118"/>
      <c r="G2140" s="122" t="str">
        <f>IF(A2140&amp;B2140="","",VLOOKUP(A2140&amp;B2140,INSUMOS!C:G,4,0))</f>
        <v/>
      </c>
      <c r="H2140" s="119" t="str">
        <f t="shared" si="369"/>
        <v/>
      </c>
      <c r="I2140" s="119" t="str">
        <f t="shared" si="370"/>
        <v/>
      </c>
      <c r="J2140" s="115" t="str">
        <f t="shared" si="371"/>
        <v/>
      </c>
      <c r="K2140" s="102" t="str">
        <f>IF(A2140&amp;B2140="","",VLOOKUP(A2140&amp;B2140,INSUMOS!C:G,5,0))</f>
        <v/>
      </c>
    </row>
    <row r="2141" spans="1:17" ht="15" x14ac:dyDescent="0.25">
      <c r="A2141" s="123" t="s">
        <v>4399</v>
      </c>
      <c r="B2141" s="542" t="s">
        <v>5260</v>
      </c>
      <c r="C2141" s="542"/>
      <c r="D2141" s="542"/>
      <c r="E2141" s="542"/>
      <c r="F2141" s="543"/>
      <c r="G2141" s="124" t="s">
        <v>50</v>
      </c>
      <c r="H2141" s="125">
        <f>SUM(H2128:H2140)</f>
        <v>5.01</v>
      </c>
      <c r="I2141" s="125">
        <f>SUM(I2128:I2140)</f>
        <v>8.18</v>
      </c>
      <c r="J2141" s="126">
        <f>SUM(J2128:J2140)</f>
        <v>0</v>
      </c>
    </row>
    <row r="2142" spans="1:17" ht="15" x14ac:dyDescent="0.25">
      <c r="A2142" s="127" t="s">
        <v>4400</v>
      </c>
      <c r="B2142" s="128"/>
      <c r="C2142" s="128"/>
      <c r="D2142" s="127" t="s">
        <v>51</v>
      </c>
      <c r="E2142" s="128"/>
      <c r="F2142" s="129"/>
      <c r="G2142" s="130" t="s">
        <v>55</v>
      </c>
      <c r="H2142" s="131" t="s">
        <v>52</v>
      </c>
      <c r="I2142" s="132"/>
      <c r="J2142" s="125">
        <f>SUM(H2141:J2141)</f>
        <v>13.19</v>
      </c>
    </row>
    <row r="2143" spans="1:17" ht="15" x14ac:dyDescent="0.25">
      <c r="A2143" s="313" t="str">
        <f>$I$3</f>
        <v>Carlos Wieck</v>
      </c>
      <c r="B2143" s="133"/>
      <c r="C2143" s="133"/>
      <c r="D2143" s="134"/>
      <c r="E2143" s="133"/>
      <c r="F2143" s="135"/>
      <c r="G2143" s="522">
        <f>$J$5</f>
        <v>43040</v>
      </c>
      <c r="H2143" s="136" t="s">
        <v>53</v>
      </c>
      <c r="I2143" s="137"/>
      <c r="J2143" s="125">
        <f>TRUNC(I2143*J2142,2)</f>
        <v>0</v>
      </c>
    </row>
    <row r="2144" spans="1:17" ht="15" x14ac:dyDescent="0.25">
      <c r="A2144" s="314"/>
      <c r="B2144" s="139"/>
      <c r="C2144" s="139"/>
      <c r="D2144" s="138"/>
      <c r="E2144" s="139"/>
      <c r="F2144" s="140"/>
      <c r="G2144" s="523"/>
      <c r="H2144" s="141" t="s">
        <v>54</v>
      </c>
      <c r="I2144" s="142"/>
      <c r="J2144" s="143">
        <f>J2143+J2142</f>
        <v>13.19</v>
      </c>
      <c r="L2144" s="102" t="str">
        <f>A2125</f>
        <v>COMPOSIÇÃO</v>
      </c>
      <c r="M2144" s="144" t="str">
        <f>B2125</f>
        <v>FF-090</v>
      </c>
      <c r="N2144" s="102" t="str">
        <f>L2144&amp;M2144</f>
        <v>COMPOSIÇÃOFF-090</v>
      </c>
      <c r="O2144" s="103" t="str">
        <f>D2124</f>
        <v>Cotovelo de 90º 28mm solda em cobre para água quente, Fornecimento e Instalação</v>
      </c>
      <c r="P2144" s="145" t="str">
        <f>J2125</f>
        <v>un</v>
      </c>
      <c r="Q2144" s="145">
        <f>J2144</f>
        <v>13.19</v>
      </c>
    </row>
    <row r="2145" spans="1:11" ht="15" customHeight="1" x14ac:dyDescent="0.25">
      <c r="A2145" s="524" t="s">
        <v>40</v>
      </c>
      <c r="B2145" s="525"/>
      <c r="C2145" s="104" t="s">
        <v>41</v>
      </c>
      <c r="D2145" s="526" t="str">
        <f>IF(B2146="","",VLOOKUP(B2146,SERVIÇOS!B:E,3,0))</f>
        <v>Cotovelo de 90º 22mm solda em cobre para água quente, Fornecimento e Instalação</v>
      </c>
      <c r="E2145" s="526"/>
      <c r="F2145" s="526"/>
      <c r="G2145" s="526"/>
      <c r="H2145" s="526"/>
      <c r="I2145" s="527"/>
      <c r="J2145" s="105" t="s">
        <v>42</v>
      </c>
    </row>
    <row r="2146" spans="1:11" ht="15" x14ac:dyDescent="0.25">
      <c r="A2146" s="230" t="s">
        <v>4715</v>
      </c>
      <c r="B2146" s="230" t="s">
        <v>5223</v>
      </c>
      <c r="C2146" s="106"/>
      <c r="D2146" s="528"/>
      <c r="E2146" s="528"/>
      <c r="F2146" s="528"/>
      <c r="G2146" s="528"/>
      <c r="H2146" s="528"/>
      <c r="I2146" s="529"/>
      <c r="J2146" s="107" t="str">
        <f>IF(B2146="","",VLOOKUP(B2146,SERVIÇOS!B:E,4,0))</f>
        <v>un</v>
      </c>
    </row>
    <row r="2147" spans="1:11" ht="15" x14ac:dyDescent="0.25">
      <c r="A2147" s="530" t="s">
        <v>4397</v>
      </c>
      <c r="B2147" s="531" t="s">
        <v>11</v>
      </c>
      <c r="C2147" s="533" t="s">
        <v>43</v>
      </c>
      <c r="D2147" s="534"/>
      <c r="E2147" s="530" t="s">
        <v>13</v>
      </c>
      <c r="F2147" s="530" t="s">
        <v>44</v>
      </c>
      <c r="G2147" s="538" t="s">
        <v>45</v>
      </c>
      <c r="H2147" s="108" t="s">
        <v>46</v>
      </c>
      <c r="I2147" s="108"/>
      <c r="J2147" s="108"/>
    </row>
    <row r="2148" spans="1:11" ht="15" x14ac:dyDescent="0.25">
      <c r="A2148" s="530"/>
      <c r="B2148" s="532"/>
      <c r="C2148" s="535"/>
      <c r="D2148" s="536"/>
      <c r="E2148" s="537"/>
      <c r="F2148" s="537"/>
      <c r="G2148" s="539"/>
      <c r="H2148" s="108" t="s">
        <v>47</v>
      </c>
      <c r="I2148" s="108" t="s">
        <v>48</v>
      </c>
      <c r="J2148" s="108" t="s">
        <v>49</v>
      </c>
    </row>
    <row r="2149" spans="1:11" ht="15" x14ac:dyDescent="0.25">
      <c r="A2149" s="109" t="s">
        <v>4398</v>
      </c>
      <c r="B2149" s="110">
        <v>10119</v>
      </c>
      <c r="C2149" s="540" t="str">
        <f>IF(A2149&amp;B2149="","",VLOOKUP(A2149&amp;B2149,INSUMOS!C:G,2,0))</f>
        <v>Ajudante de encanador</v>
      </c>
      <c r="D2149" s="541"/>
      <c r="E2149" s="111" t="str">
        <f>IF(A2149&amp;B2149="","",VLOOKUP(A2149&amp;B2149,INSUMOS!C:G,3,0))</f>
        <v>h</v>
      </c>
      <c r="F2149" s="112">
        <v>0.28999999999999998</v>
      </c>
      <c r="G2149" s="113">
        <f>IF(A2149&amp;B2149="","",VLOOKUP(A2149&amp;B2149,INSUMOS!C:G,4,0))</f>
        <v>10.985028</v>
      </c>
      <c r="H2149" s="114">
        <f>IF(K2149="MO",TRUNC(F2149*G2149,2),"")</f>
        <v>3.18</v>
      </c>
      <c r="I2149" s="114" t="str">
        <f>IF(K2149="MT",TRUNC(F2149*G2149,2),"")</f>
        <v/>
      </c>
      <c r="J2149" s="115" t="str">
        <f>IF(K2149="EQ",TRUNC(F2149*G2149,2),"")</f>
        <v/>
      </c>
      <c r="K2149" s="102" t="str">
        <f>IF(A2149&amp;B2149="","",VLOOKUP(A2149&amp;B2149,INSUMOS!C:G,5,0))</f>
        <v>MO</v>
      </c>
    </row>
    <row r="2150" spans="1:11" ht="15" x14ac:dyDescent="0.25">
      <c r="A2150" s="109" t="s">
        <v>4398</v>
      </c>
      <c r="B2150" s="116">
        <v>10118</v>
      </c>
      <c r="C2150" s="518" t="str">
        <f>IF(A2150&amp;B2150="","",VLOOKUP(A2150&amp;B2150,INSUMOS!C:G,2,0))</f>
        <v xml:space="preserve">Encanador </v>
      </c>
      <c r="D2150" s="519"/>
      <c r="E2150" s="117" t="str">
        <f>IF(A2150&amp;B2150="","",VLOOKUP(A2150&amp;B2150,INSUMOS!C:G,3,0))</f>
        <v>h</v>
      </c>
      <c r="F2150" s="118">
        <v>0.28999999999999998</v>
      </c>
      <c r="G2150" s="113">
        <f>IF(A2150&amp;B2150="","",VLOOKUP(A2150&amp;B2150,INSUMOS!C:G,4,0))</f>
        <v>16.906036</v>
      </c>
      <c r="H2150" s="119">
        <f t="shared" ref="H2150:H2161" si="372">IF(K2150="MO",TRUNC(F2150*G2150,2),"")</f>
        <v>4.9000000000000004</v>
      </c>
      <c r="I2150" s="119" t="str">
        <f t="shared" ref="I2150:I2161" si="373">IF(K2150="MT",TRUNC(F2150*G2150,2),"")</f>
        <v/>
      </c>
      <c r="J2150" s="115" t="str">
        <f t="shared" ref="J2150:J2161" si="374">IF(K2150="EQ",TRUNC(F2150*G2150,2),"")</f>
        <v/>
      </c>
      <c r="K2150" s="102" t="str">
        <f>IF(A2150&amp;B2150="","",VLOOKUP(A2150&amp;B2150,INSUMOS!C:G,5,0))</f>
        <v>MO</v>
      </c>
    </row>
    <row r="2151" spans="1:11" ht="15" x14ac:dyDescent="0.25">
      <c r="A2151" s="109" t="s">
        <v>4810</v>
      </c>
      <c r="B2151" s="116">
        <v>12717</v>
      </c>
      <c r="C2151" s="518" t="str">
        <f>IF(A2151&amp;B2151="","",VLOOKUP(A2151&amp;B2151,INSUMOS!C:G,2,0))</f>
        <v>Cotovelo cobre s/anel solda ref 607 28mm</v>
      </c>
      <c r="D2151" s="519"/>
      <c r="E2151" s="117" t="str">
        <f>IF(A2151&amp;B2151="","",VLOOKUP(A2151&amp;B2151,INSUMOS!C:G,3,0))</f>
        <v>un</v>
      </c>
      <c r="F2151" s="118">
        <v>1</v>
      </c>
      <c r="G2151" s="113">
        <f>IF(A2151&amp;B2151="","",VLOOKUP(A2151&amp;B2151,INSUMOS!C:G,4,0))</f>
        <v>11.15</v>
      </c>
      <c r="H2151" s="119" t="str">
        <f t="shared" si="372"/>
        <v/>
      </c>
      <c r="I2151" s="119">
        <f t="shared" si="373"/>
        <v>11.15</v>
      </c>
      <c r="J2151" s="115" t="str">
        <f t="shared" si="374"/>
        <v/>
      </c>
      <c r="K2151" s="102" t="str">
        <f>IF(A2151&amp;B2151="","",VLOOKUP(A2151&amp;B2151,INSUMOS!C:G,5,0))</f>
        <v>MT</v>
      </c>
    </row>
    <row r="2152" spans="1:11" ht="15" x14ac:dyDescent="0.25">
      <c r="A2152" s="109" t="s">
        <v>4810</v>
      </c>
      <c r="B2152" s="116">
        <v>12732</v>
      </c>
      <c r="C2152" s="518" t="str">
        <f>IF(A2152&amp;B2152="","",VLOOKUP(A2152&amp;B2152,INSUMOS!C:G,2,0))</f>
        <v>Solda p/ tubo e conexões de cobre 500G</v>
      </c>
      <c r="D2152" s="519"/>
      <c r="E2152" s="117" t="str">
        <f>IF(A2152&amp;B2152="","",VLOOKUP(A2152&amp;B2152,INSUMOS!C:G,3,0))</f>
        <v>un</v>
      </c>
      <c r="F2152" s="118">
        <v>2.0999999999999999E-3</v>
      </c>
      <c r="G2152" s="113">
        <f>IF(A2152&amp;B2152="","",VLOOKUP(A2152&amp;B2152,INSUMOS!C:G,4,0))</f>
        <v>54.15</v>
      </c>
      <c r="H2152" s="119" t="str">
        <f t="shared" si="372"/>
        <v/>
      </c>
      <c r="I2152" s="119">
        <f t="shared" si="373"/>
        <v>0.11</v>
      </c>
      <c r="J2152" s="115" t="str">
        <f t="shared" si="374"/>
        <v/>
      </c>
      <c r="K2152" s="102" t="str">
        <f>IF(A2152&amp;B2152="","",VLOOKUP(A2152&amp;B2152,INSUMOS!C:G,5,0))</f>
        <v>MT</v>
      </c>
    </row>
    <row r="2153" spans="1:11" ht="15" x14ac:dyDescent="0.25">
      <c r="A2153" s="109"/>
      <c r="B2153" s="116"/>
      <c r="C2153" s="518" t="str">
        <f>IF(A2153&amp;B2153="","",VLOOKUP(A2153&amp;B2153,INSUMOS!C:G,2,0))</f>
        <v/>
      </c>
      <c r="D2153" s="519"/>
      <c r="E2153" s="117" t="str">
        <f>IF(A2153&amp;B2153="","",VLOOKUP(A2153&amp;B2153,INSUMOS!C:G,3,0))</f>
        <v/>
      </c>
      <c r="F2153" s="118"/>
      <c r="G2153" s="113" t="str">
        <f>IF(A2153&amp;B2153="","",VLOOKUP(A2153&amp;B2153,INSUMOS!C:G,4,0))</f>
        <v/>
      </c>
      <c r="H2153" s="119" t="str">
        <f t="shared" si="372"/>
        <v/>
      </c>
      <c r="I2153" s="119" t="str">
        <f t="shared" si="373"/>
        <v/>
      </c>
      <c r="J2153" s="115" t="str">
        <f t="shared" si="374"/>
        <v/>
      </c>
      <c r="K2153" s="102" t="str">
        <f>IF(A2153&amp;B2153="","",VLOOKUP(A2153&amp;B2153,INSUMOS!C:G,5,0))</f>
        <v/>
      </c>
    </row>
    <row r="2154" spans="1:11" ht="15" x14ac:dyDescent="0.25">
      <c r="A2154" s="109"/>
      <c r="B2154" s="116"/>
      <c r="C2154" s="518" t="str">
        <f>IF(A2154&amp;B2154="","",VLOOKUP(A2154&amp;B2154,INSUMOS!C:G,2,0))</f>
        <v/>
      </c>
      <c r="D2154" s="519"/>
      <c r="E2154" s="117" t="str">
        <f>IF(A2154&amp;B2154="","",VLOOKUP(A2154&amp;B2154,INSUMOS!C:G,3,0))</f>
        <v/>
      </c>
      <c r="F2154" s="118"/>
      <c r="G2154" s="113" t="str">
        <f>IF(A2154&amp;B2154="","",VLOOKUP(A2154&amp;B2154,INSUMOS!C:G,4,0))</f>
        <v/>
      </c>
      <c r="H2154" s="119" t="str">
        <f t="shared" si="372"/>
        <v/>
      </c>
      <c r="I2154" s="119" t="str">
        <f t="shared" si="373"/>
        <v/>
      </c>
      <c r="J2154" s="115" t="str">
        <f t="shared" si="374"/>
        <v/>
      </c>
      <c r="K2154" s="102" t="str">
        <f>IF(A2154&amp;B2154="","",VLOOKUP(A2154&amp;B2154,INSUMOS!C:G,5,0))</f>
        <v/>
      </c>
    </row>
    <row r="2155" spans="1:11" ht="15" x14ac:dyDescent="0.25">
      <c r="A2155" s="109"/>
      <c r="B2155" s="116"/>
      <c r="C2155" s="518" t="str">
        <f>IF(A2155&amp;B2155="","",VLOOKUP(A2155&amp;B2155,INSUMOS!C:G,2,0))</f>
        <v/>
      </c>
      <c r="D2155" s="519"/>
      <c r="E2155" s="117" t="str">
        <f>IF(A2155&amp;B2155="","",VLOOKUP(A2155&amp;B2155,INSUMOS!C:G,3,0))</f>
        <v/>
      </c>
      <c r="F2155" s="118"/>
      <c r="G2155" s="113" t="str">
        <f>IF(A2155&amp;B2155="","",VLOOKUP(A2155&amp;B2155,INSUMOS!C:G,4,0))</f>
        <v/>
      </c>
      <c r="H2155" s="119" t="str">
        <f t="shared" si="372"/>
        <v/>
      </c>
      <c r="I2155" s="119" t="str">
        <f t="shared" si="373"/>
        <v/>
      </c>
      <c r="J2155" s="115" t="str">
        <f t="shared" si="374"/>
        <v/>
      </c>
      <c r="K2155" s="102" t="str">
        <f>IF(A2155&amp;B2155="","",VLOOKUP(A2155&amp;B2155,INSUMOS!C:G,5,0))</f>
        <v/>
      </c>
    </row>
    <row r="2156" spans="1:11" ht="15" x14ac:dyDescent="0.25">
      <c r="A2156" s="109"/>
      <c r="B2156" s="116"/>
      <c r="C2156" s="518" t="str">
        <f>IF(A2156&amp;B2156="","",VLOOKUP(A2156&amp;B2156,INSUMOS!C:G,2,0))</f>
        <v/>
      </c>
      <c r="D2156" s="519"/>
      <c r="E2156" s="117" t="str">
        <f>IF(A2156&amp;B2156="","",VLOOKUP(A2156&amp;B2156,INSUMOS!C:G,3,0))</f>
        <v/>
      </c>
      <c r="F2156" s="118"/>
      <c r="G2156" s="113" t="str">
        <f>IF(A2156&amp;B2156="","",VLOOKUP(A2156&amp;B2156,INSUMOS!C:G,4,0))</f>
        <v/>
      </c>
      <c r="H2156" s="119" t="str">
        <f t="shared" si="372"/>
        <v/>
      </c>
      <c r="I2156" s="119" t="str">
        <f t="shared" si="373"/>
        <v/>
      </c>
      <c r="J2156" s="115" t="str">
        <f t="shared" si="374"/>
        <v/>
      </c>
      <c r="K2156" s="102" t="str">
        <f>IF(A2156&amp;B2156="","",VLOOKUP(A2156&amp;B2156,INSUMOS!C:G,5,0))</f>
        <v/>
      </c>
    </row>
    <row r="2157" spans="1:11" ht="15" x14ac:dyDescent="0.25">
      <c r="A2157" s="109"/>
      <c r="B2157" s="116"/>
      <c r="C2157" s="518" t="str">
        <f>IF(A2157&amp;B2157="","",VLOOKUP(A2157&amp;B2157,INSUMOS!C:G,2,0))</f>
        <v/>
      </c>
      <c r="D2157" s="519"/>
      <c r="E2157" s="117" t="str">
        <f>IF(A2157&amp;B2157="","",VLOOKUP(A2157&amp;B2157,INSUMOS!C:G,3,0))</f>
        <v/>
      </c>
      <c r="F2157" s="118"/>
      <c r="G2157" s="113" t="str">
        <f>IF(A2157&amp;B2157="","",VLOOKUP(A2157&amp;B2157,INSUMOS!C:G,4,0))</f>
        <v/>
      </c>
      <c r="H2157" s="119" t="str">
        <f t="shared" si="372"/>
        <v/>
      </c>
      <c r="I2157" s="119" t="str">
        <f t="shared" si="373"/>
        <v/>
      </c>
      <c r="J2157" s="115" t="str">
        <f t="shared" si="374"/>
        <v/>
      </c>
      <c r="K2157" s="102" t="str">
        <f>IF(A2157&amp;B2157="","",VLOOKUP(A2157&amp;B2157,INSUMOS!C:G,5,0))</f>
        <v/>
      </c>
    </row>
    <row r="2158" spans="1:11" ht="15" x14ac:dyDescent="0.25">
      <c r="A2158" s="109"/>
      <c r="B2158" s="116"/>
      <c r="C2158" s="518" t="str">
        <f>IF(A2158&amp;B2158="","",VLOOKUP(A2158&amp;B2158,INSUMOS!C:G,2,0))</f>
        <v/>
      </c>
      <c r="D2158" s="519"/>
      <c r="E2158" s="117" t="str">
        <f>IF(A2158&amp;B2158="","",VLOOKUP(A2158&amp;B2158,INSUMOS!C:G,3,0))</f>
        <v/>
      </c>
      <c r="F2158" s="118"/>
      <c r="G2158" s="113" t="str">
        <f>IF(A2158&amp;B2158="","",VLOOKUP(A2158&amp;B2158,INSUMOS!C:G,4,0))</f>
        <v/>
      </c>
      <c r="H2158" s="119" t="str">
        <f t="shared" si="372"/>
        <v/>
      </c>
      <c r="I2158" s="119" t="str">
        <f t="shared" si="373"/>
        <v/>
      </c>
      <c r="J2158" s="115" t="str">
        <f t="shared" si="374"/>
        <v/>
      </c>
      <c r="K2158" s="102" t="str">
        <f>IF(A2158&amp;B2158="","",VLOOKUP(A2158&amp;B2158,INSUMOS!C:G,5,0))</f>
        <v/>
      </c>
    </row>
    <row r="2159" spans="1:11" ht="15" x14ac:dyDescent="0.25">
      <c r="A2159" s="120"/>
      <c r="B2159" s="121"/>
      <c r="C2159" s="518" t="str">
        <f>IF(A2159&amp;B2159="","",VLOOKUP(A2159&amp;B2159,INSUMOS!C:G,2,0))</f>
        <v/>
      </c>
      <c r="D2159" s="519"/>
      <c r="E2159" s="117" t="str">
        <f>IF(A2159&amp;B2159="","",VLOOKUP(A2159&amp;B2159,INSUMOS!C:G,3,0))</f>
        <v/>
      </c>
      <c r="F2159" s="118"/>
      <c r="G2159" s="122" t="str">
        <f>IF(A2159&amp;B2159="","",VLOOKUP(A2159&amp;B2159,INSUMOS!C:G,4,0))</f>
        <v/>
      </c>
      <c r="H2159" s="119" t="str">
        <f t="shared" si="372"/>
        <v/>
      </c>
      <c r="I2159" s="119" t="str">
        <f t="shared" si="373"/>
        <v/>
      </c>
      <c r="J2159" s="115" t="str">
        <f t="shared" si="374"/>
        <v/>
      </c>
      <c r="K2159" s="102" t="str">
        <f>IF(A2159&amp;B2159="","",VLOOKUP(A2159&amp;B2159,INSUMOS!C:G,5,0))</f>
        <v/>
      </c>
    </row>
    <row r="2160" spans="1:11" ht="15" x14ac:dyDescent="0.25">
      <c r="A2160" s="120"/>
      <c r="B2160" s="121"/>
      <c r="C2160" s="518" t="str">
        <f>IF(A2160&amp;B2160="","",VLOOKUP(A2160&amp;B2160,INSUMOS!C:G,2,0))</f>
        <v/>
      </c>
      <c r="D2160" s="519"/>
      <c r="E2160" s="117" t="str">
        <f>IF(A2160&amp;B2160="","",VLOOKUP(A2160&amp;B2160,INSUMOS!C:G,3,0))</f>
        <v/>
      </c>
      <c r="F2160" s="118"/>
      <c r="G2160" s="122" t="str">
        <f>IF(A2160&amp;B2160="","",VLOOKUP(A2160&amp;B2160,INSUMOS!C:G,4,0))</f>
        <v/>
      </c>
      <c r="H2160" s="119" t="str">
        <f t="shared" si="372"/>
        <v/>
      </c>
      <c r="I2160" s="119" t="str">
        <f t="shared" si="373"/>
        <v/>
      </c>
      <c r="J2160" s="115" t="str">
        <f t="shared" si="374"/>
        <v/>
      </c>
      <c r="K2160" s="102" t="str">
        <f>IF(A2160&amp;B2160="","",VLOOKUP(A2160&amp;B2160,INSUMOS!C:G,5,0))</f>
        <v/>
      </c>
    </row>
    <row r="2161" spans="1:17" ht="15" x14ac:dyDescent="0.25">
      <c r="A2161" s="120"/>
      <c r="B2161" s="121"/>
      <c r="C2161" s="518" t="str">
        <f>IF(A2161&amp;B2161="","",VLOOKUP(A2161&amp;B2161,INSUMOS!C:G,2,0))</f>
        <v/>
      </c>
      <c r="D2161" s="519"/>
      <c r="E2161" s="117" t="str">
        <f>IF(A2161&amp;B2161="","",VLOOKUP(A2161&amp;B2161,INSUMOS!C:G,3,0))</f>
        <v/>
      </c>
      <c r="F2161" s="118"/>
      <c r="G2161" s="122" t="str">
        <f>IF(A2161&amp;B2161="","",VLOOKUP(A2161&amp;B2161,INSUMOS!C:G,4,0))</f>
        <v/>
      </c>
      <c r="H2161" s="119" t="str">
        <f t="shared" si="372"/>
        <v/>
      </c>
      <c r="I2161" s="119" t="str">
        <f t="shared" si="373"/>
        <v/>
      </c>
      <c r="J2161" s="115" t="str">
        <f t="shared" si="374"/>
        <v/>
      </c>
      <c r="K2161" s="102" t="str">
        <f>IF(A2161&amp;B2161="","",VLOOKUP(A2161&amp;B2161,INSUMOS!C:G,5,0))</f>
        <v/>
      </c>
    </row>
    <row r="2162" spans="1:17" ht="15" x14ac:dyDescent="0.25">
      <c r="A2162" s="123" t="s">
        <v>4399</v>
      </c>
      <c r="B2162" s="542" t="s">
        <v>5261</v>
      </c>
      <c r="C2162" s="542"/>
      <c r="D2162" s="542"/>
      <c r="E2162" s="542"/>
      <c r="F2162" s="543"/>
      <c r="G2162" s="124" t="s">
        <v>50</v>
      </c>
      <c r="H2162" s="125">
        <f>SUM(H2149:H2161)</f>
        <v>8.08</v>
      </c>
      <c r="I2162" s="125">
        <f>SUM(I2149:I2161)</f>
        <v>11.26</v>
      </c>
      <c r="J2162" s="126">
        <f>SUM(J2149:J2161)</f>
        <v>0</v>
      </c>
    </row>
    <row r="2163" spans="1:17" ht="15" x14ac:dyDescent="0.25">
      <c r="A2163" s="127" t="s">
        <v>4400</v>
      </c>
      <c r="B2163" s="128"/>
      <c r="C2163" s="128"/>
      <c r="D2163" s="127" t="s">
        <v>51</v>
      </c>
      <c r="E2163" s="128"/>
      <c r="F2163" s="129"/>
      <c r="G2163" s="130" t="s">
        <v>55</v>
      </c>
      <c r="H2163" s="131" t="s">
        <v>52</v>
      </c>
      <c r="I2163" s="132"/>
      <c r="J2163" s="125">
        <f>SUM(H2162:J2162)</f>
        <v>19.34</v>
      </c>
    </row>
    <row r="2164" spans="1:17" ht="15" x14ac:dyDescent="0.25">
      <c r="A2164" s="313" t="str">
        <f>$I$3</f>
        <v>Carlos Wieck</v>
      </c>
      <c r="B2164" s="133"/>
      <c r="C2164" s="133"/>
      <c r="D2164" s="134"/>
      <c r="E2164" s="133"/>
      <c r="F2164" s="135"/>
      <c r="G2164" s="522">
        <f>$J$5</f>
        <v>43040</v>
      </c>
      <c r="H2164" s="136" t="s">
        <v>53</v>
      </c>
      <c r="I2164" s="137"/>
      <c r="J2164" s="125">
        <f>TRUNC(I2164*J2163,2)</f>
        <v>0</v>
      </c>
    </row>
    <row r="2165" spans="1:17" ht="15" x14ac:dyDescent="0.25">
      <c r="A2165" s="314"/>
      <c r="B2165" s="139"/>
      <c r="C2165" s="139"/>
      <c r="D2165" s="138"/>
      <c r="E2165" s="139"/>
      <c r="F2165" s="140"/>
      <c r="G2165" s="523"/>
      <c r="H2165" s="141" t="s">
        <v>54</v>
      </c>
      <c r="I2165" s="142"/>
      <c r="J2165" s="143">
        <f>J2164+J2163</f>
        <v>19.34</v>
      </c>
      <c r="L2165" s="102" t="str">
        <f>A2146</f>
        <v>COMPOSIÇÃO</v>
      </c>
      <c r="M2165" s="144" t="str">
        <f>B2146</f>
        <v>FF-091</v>
      </c>
      <c r="N2165" s="102" t="str">
        <f>L2165&amp;M2165</f>
        <v>COMPOSIÇÃOFF-091</v>
      </c>
      <c r="O2165" s="103" t="str">
        <f>D2145</f>
        <v>Cotovelo de 90º 22mm solda em cobre para água quente, Fornecimento e Instalação</v>
      </c>
      <c r="P2165" s="145" t="str">
        <f>J2146</f>
        <v>un</v>
      </c>
      <c r="Q2165" s="145">
        <f>J2165</f>
        <v>19.34</v>
      </c>
    </row>
    <row r="2166" spans="1:17" ht="15" customHeight="1" x14ac:dyDescent="0.25">
      <c r="A2166" s="524" t="s">
        <v>40</v>
      </c>
      <c r="B2166" s="525"/>
      <c r="C2166" s="104" t="s">
        <v>41</v>
      </c>
      <c r="D2166" s="526" t="str">
        <f>IF(B2167="","",VLOOKUP(B2167,SERVIÇOS!B:E,3,0))</f>
        <v>Tê 28mm solda em cobre para água quente, Fornecimento e Instalação</v>
      </c>
      <c r="E2166" s="526"/>
      <c r="F2166" s="526"/>
      <c r="G2166" s="526"/>
      <c r="H2166" s="526"/>
      <c r="I2166" s="527"/>
      <c r="J2166" s="105" t="s">
        <v>42</v>
      </c>
    </row>
    <row r="2167" spans="1:17" ht="15" x14ac:dyDescent="0.25">
      <c r="A2167" s="230" t="s">
        <v>4715</v>
      </c>
      <c r="B2167" s="230" t="s">
        <v>5224</v>
      </c>
      <c r="C2167" s="106"/>
      <c r="D2167" s="528"/>
      <c r="E2167" s="528"/>
      <c r="F2167" s="528"/>
      <c r="G2167" s="528"/>
      <c r="H2167" s="528"/>
      <c r="I2167" s="529"/>
      <c r="J2167" s="107" t="str">
        <f>IF(B2167="","",VLOOKUP(B2167,SERVIÇOS!B:E,4,0))</f>
        <v>un</v>
      </c>
    </row>
    <row r="2168" spans="1:17" ht="15" x14ac:dyDescent="0.25">
      <c r="A2168" s="530" t="s">
        <v>4397</v>
      </c>
      <c r="B2168" s="531" t="s">
        <v>11</v>
      </c>
      <c r="C2168" s="533" t="s">
        <v>43</v>
      </c>
      <c r="D2168" s="534"/>
      <c r="E2168" s="530" t="s">
        <v>13</v>
      </c>
      <c r="F2168" s="530" t="s">
        <v>44</v>
      </c>
      <c r="G2168" s="538" t="s">
        <v>45</v>
      </c>
      <c r="H2168" s="108" t="s">
        <v>46</v>
      </c>
      <c r="I2168" s="108"/>
      <c r="J2168" s="108"/>
    </row>
    <row r="2169" spans="1:17" ht="15" x14ac:dyDescent="0.25">
      <c r="A2169" s="530"/>
      <c r="B2169" s="532"/>
      <c r="C2169" s="535"/>
      <c r="D2169" s="536"/>
      <c r="E2169" s="537"/>
      <c r="F2169" s="537"/>
      <c r="G2169" s="539"/>
      <c r="H2169" s="108" t="s">
        <v>47</v>
      </c>
      <c r="I2169" s="108" t="s">
        <v>48</v>
      </c>
      <c r="J2169" s="108" t="s">
        <v>49</v>
      </c>
    </row>
    <row r="2170" spans="1:17" ht="15" x14ac:dyDescent="0.25">
      <c r="A2170" s="109" t="s">
        <v>4398</v>
      </c>
      <c r="B2170" s="110">
        <v>10119</v>
      </c>
      <c r="C2170" s="540" t="str">
        <f>IF(A2170&amp;B2170="","",VLOOKUP(A2170&amp;B2170,INSUMOS!C:G,2,0))</f>
        <v>Ajudante de encanador</v>
      </c>
      <c r="D2170" s="541"/>
      <c r="E2170" s="111" t="str">
        <f>IF(A2170&amp;B2170="","",VLOOKUP(A2170&amp;B2170,INSUMOS!C:G,3,0))</f>
        <v>h</v>
      </c>
      <c r="F2170" s="112">
        <v>0.2</v>
      </c>
      <c r="G2170" s="113">
        <f>IF(A2170&amp;B2170="","",VLOOKUP(A2170&amp;B2170,INSUMOS!C:G,4,0))</f>
        <v>10.985028</v>
      </c>
      <c r="H2170" s="114">
        <f>IF(K2170="MO",TRUNC(F2170*G2170,2),"")</f>
        <v>2.19</v>
      </c>
      <c r="I2170" s="114" t="str">
        <f>IF(K2170="MT",TRUNC(F2170*G2170,2),"")</f>
        <v/>
      </c>
      <c r="J2170" s="115" t="str">
        <f>IF(K2170="EQ",TRUNC(F2170*G2170,2),"")</f>
        <v/>
      </c>
      <c r="K2170" s="102" t="str">
        <f>IF(A2170&amp;B2170="","",VLOOKUP(A2170&amp;B2170,INSUMOS!C:G,5,0))</f>
        <v>MO</v>
      </c>
    </row>
    <row r="2171" spans="1:17" ht="15" x14ac:dyDescent="0.25">
      <c r="A2171" s="109" t="s">
        <v>4398</v>
      </c>
      <c r="B2171" s="116">
        <v>10118</v>
      </c>
      <c r="C2171" s="518" t="str">
        <f>IF(A2171&amp;B2171="","",VLOOKUP(A2171&amp;B2171,INSUMOS!C:G,2,0))</f>
        <v xml:space="preserve">Encanador </v>
      </c>
      <c r="D2171" s="519"/>
      <c r="E2171" s="117" t="str">
        <f>IF(A2171&amp;B2171="","",VLOOKUP(A2171&amp;B2171,INSUMOS!C:G,3,0))</f>
        <v>h</v>
      </c>
      <c r="F2171" s="118">
        <v>0.2</v>
      </c>
      <c r="G2171" s="113">
        <f>IF(A2171&amp;B2171="","",VLOOKUP(A2171&amp;B2171,INSUMOS!C:G,4,0))</f>
        <v>16.906036</v>
      </c>
      <c r="H2171" s="119">
        <f t="shared" ref="H2171:H2182" si="375">IF(K2171="MO",TRUNC(F2171*G2171,2),"")</f>
        <v>3.38</v>
      </c>
      <c r="I2171" s="119" t="str">
        <f t="shared" ref="I2171:I2182" si="376">IF(K2171="MT",TRUNC(F2171*G2171,2),"")</f>
        <v/>
      </c>
      <c r="J2171" s="115" t="str">
        <f t="shared" ref="J2171:J2182" si="377">IF(K2171="EQ",TRUNC(F2171*G2171,2),"")</f>
        <v/>
      </c>
      <c r="K2171" s="102" t="str">
        <f>IF(A2171&amp;B2171="","",VLOOKUP(A2171&amp;B2171,INSUMOS!C:G,5,0))</f>
        <v>MO</v>
      </c>
    </row>
    <row r="2172" spans="1:17" ht="15" x14ac:dyDescent="0.25">
      <c r="A2172" s="109" t="s">
        <v>4810</v>
      </c>
      <c r="B2172" s="116">
        <v>12735</v>
      </c>
      <c r="C2172" s="518" t="str">
        <f>IF(A2172&amp;B2172="","",VLOOKUP(A2172&amp;B2172,INSUMOS!C:G,2,0))</f>
        <v>Tê cobre s/anel de solda ref. 611 028mm</v>
      </c>
      <c r="D2172" s="519"/>
      <c r="E2172" s="117" t="str">
        <f>IF(A2172&amp;B2172="","",VLOOKUP(A2172&amp;B2172,INSUMOS!C:G,3,0))</f>
        <v>un</v>
      </c>
      <c r="F2172" s="118">
        <v>1</v>
      </c>
      <c r="G2172" s="113">
        <f>IF(A2172&amp;B2172="","",VLOOKUP(A2172&amp;B2172,INSUMOS!C:G,4,0))</f>
        <v>15.24</v>
      </c>
      <c r="H2172" s="119" t="str">
        <f t="shared" si="375"/>
        <v/>
      </c>
      <c r="I2172" s="119">
        <f t="shared" si="376"/>
        <v>15.24</v>
      </c>
      <c r="J2172" s="115" t="str">
        <f t="shared" si="377"/>
        <v/>
      </c>
      <c r="K2172" s="102" t="str">
        <f>IF(A2172&amp;B2172="","",VLOOKUP(A2172&amp;B2172,INSUMOS!C:G,5,0))</f>
        <v>MT</v>
      </c>
    </row>
    <row r="2173" spans="1:17" ht="15" x14ac:dyDescent="0.25">
      <c r="A2173" s="109" t="s">
        <v>4810</v>
      </c>
      <c r="B2173" s="116">
        <v>12732</v>
      </c>
      <c r="C2173" s="518" t="str">
        <f>IF(A2173&amp;B2173="","",VLOOKUP(A2173&amp;B2173,INSUMOS!C:G,2,0))</f>
        <v>Solda p/ tubo e conexões de cobre 500G</v>
      </c>
      <c r="D2173" s="519"/>
      <c r="E2173" s="117" t="str">
        <f>IF(A2173&amp;B2173="","",VLOOKUP(A2173&amp;B2173,INSUMOS!C:G,3,0))</f>
        <v>un</v>
      </c>
      <c r="F2173" s="118">
        <v>1E-3</v>
      </c>
      <c r="G2173" s="113">
        <f>IF(A2173&amp;B2173="","",VLOOKUP(A2173&amp;B2173,INSUMOS!C:G,4,0))</f>
        <v>54.15</v>
      </c>
      <c r="H2173" s="119" t="str">
        <f t="shared" si="375"/>
        <v/>
      </c>
      <c r="I2173" s="119">
        <f t="shared" si="376"/>
        <v>0.05</v>
      </c>
      <c r="J2173" s="115" t="str">
        <f t="shared" si="377"/>
        <v/>
      </c>
      <c r="K2173" s="102" t="str">
        <f>IF(A2173&amp;B2173="","",VLOOKUP(A2173&amp;B2173,INSUMOS!C:G,5,0))</f>
        <v>MT</v>
      </c>
    </row>
    <row r="2174" spans="1:17" ht="15" x14ac:dyDescent="0.25">
      <c r="A2174" s="109" t="s">
        <v>4398</v>
      </c>
      <c r="B2174" s="116">
        <v>69501</v>
      </c>
      <c r="C2174" s="518" t="str">
        <f>IF(A2174&amp;B2174="","",VLOOKUP(A2174&amp;B2174,INSUMOS!C:G,2,0))</f>
        <v>Solda 50/50</v>
      </c>
      <c r="D2174" s="519"/>
      <c r="E2174" s="117" t="str">
        <f>IF(A2174&amp;B2174="","",VLOOKUP(A2174&amp;B2174,INSUMOS!C:G,3,0))</f>
        <v>kg</v>
      </c>
      <c r="F2174" s="118">
        <v>4.4999999999999997E-3</v>
      </c>
      <c r="G2174" s="113">
        <f>IF(A2174&amp;B2174="","",VLOOKUP(A2174&amp;B2174,INSUMOS!C:G,4,0))</f>
        <v>65.430000000000007</v>
      </c>
      <c r="H2174" s="119" t="str">
        <f t="shared" si="375"/>
        <v/>
      </c>
      <c r="I2174" s="119">
        <f t="shared" si="376"/>
        <v>0.28999999999999998</v>
      </c>
      <c r="J2174" s="115" t="str">
        <f t="shared" si="377"/>
        <v/>
      </c>
      <c r="K2174" s="102" t="str">
        <f>IF(A2174&amp;B2174="","",VLOOKUP(A2174&amp;B2174,INSUMOS!C:G,5,0))</f>
        <v>MT</v>
      </c>
    </row>
    <row r="2175" spans="1:17" ht="15" x14ac:dyDescent="0.25">
      <c r="A2175" s="109"/>
      <c r="B2175" s="116"/>
      <c r="C2175" s="518" t="str">
        <f>IF(A2175&amp;B2175="","",VLOOKUP(A2175&amp;B2175,INSUMOS!C:G,2,0))</f>
        <v/>
      </c>
      <c r="D2175" s="519"/>
      <c r="E2175" s="117" t="str">
        <f>IF(A2175&amp;B2175="","",VLOOKUP(A2175&amp;B2175,INSUMOS!C:G,3,0))</f>
        <v/>
      </c>
      <c r="F2175" s="118"/>
      <c r="G2175" s="113" t="str">
        <f>IF(A2175&amp;B2175="","",VLOOKUP(A2175&amp;B2175,INSUMOS!C:G,4,0))</f>
        <v/>
      </c>
      <c r="H2175" s="119" t="str">
        <f t="shared" si="375"/>
        <v/>
      </c>
      <c r="I2175" s="119" t="str">
        <f t="shared" si="376"/>
        <v/>
      </c>
      <c r="J2175" s="115" t="str">
        <f t="shared" si="377"/>
        <v/>
      </c>
      <c r="K2175" s="102" t="str">
        <f>IF(A2175&amp;B2175="","",VLOOKUP(A2175&amp;B2175,INSUMOS!C:G,5,0))</f>
        <v/>
      </c>
    </row>
    <row r="2176" spans="1:17" ht="15" x14ac:dyDescent="0.25">
      <c r="A2176" s="109"/>
      <c r="B2176" s="116"/>
      <c r="C2176" s="518" t="str">
        <f>IF(A2176&amp;B2176="","",VLOOKUP(A2176&amp;B2176,INSUMOS!C:G,2,0))</f>
        <v/>
      </c>
      <c r="D2176" s="519"/>
      <c r="E2176" s="117" t="str">
        <f>IF(A2176&amp;B2176="","",VLOOKUP(A2176&amp;B2176,INSUMOS!C:G,3,0))</f>
        <v/>
      </c>
      <c r="F2176" s="118"/>
      <c r="G2176" s="113" t="str">
        <f>IF(A2176&amp;B2176="","",VLOOKUP(A2176&amp;B2176,INSUMOS!C:G,4,0))</f>
        <v/>
      </c>
      <c r="H2176" s="119" t="str">
        <f t="shared" si="375"/>
        <v/>
      </c>
      <c r="I2176" s="119" t="str">
        <f t="shared" si="376"/>
        <v/>
      </c>
      <c r="J2176" s="115" t="str">
        <f t="shared" si="377"/>
        <v/>
      </c>
      <c r="K2176" s="102" t="str">
        <f>IF(A2176&amp;B2176="","",VLOOKUP(A2176&amp;B2176,INSUMOS!C:G,5,0))</f>
        <v/>
      </c>
    </row>
    <row r="2177" spans="1:17" ht="15" x14ac:dyDescent="0.25">
      <c r="A2177" s="109"/>
      <c r="B2177" s="116"/>
      <c r="C2177" s="518" t="str">
        <f>IF(A2177&amp;B2177="","",VLOOKUP(A2177&amp;B2177,INSUMOS!C:G,2,0))</f>
        <v/>
      </c>
      <c r="D2177" s="519"/>
      <c r="E2177" s="117" t="str">
        <f>IF(A2177&amp;B2177="","",VLOOKUP(A2177&amp;B2177,INSUMOS!C:G,3,0))</f>
        <v/>
      </c>
      <c r="F2177" s="118"/>
      <c r="G2177" s="113" t="str">
        <f>IF(A2177&amp;B2177="","",VLOOKUP(A2177&amp;B2177,INSUMOS!C:G,4,0))</f>
        <v/>
      </c>
      <c r="H2177" s="119" t="str">
        <f t="shared" si="375"/>
        <v/>
      </c>
      <c r="I2177" s="119" t="str">
        <f t="shared" si="376"/>
        <v/>
      </c>
      <c r="J2177" s="115" t="str">
        <f t="shared" si="377"/>
        <v/>
      </c>
      <c r="K2177" s="102" t="str">
        <f>IF(A2177&amp;B2177="","",VLOOKUP(A2177&amp;B2177,INSUMOS!C:G,5,0))</f>
        <v/>
      </c>
    </row>
    <row r="2178" spans="1:17" ht="15" x14ac:dyDescent="0.25">
      <c r="A2178" s="109"/>
      <c r="B2178" s="116"/>
      <c r="C2178" s="518" t="str">
        <f>IF(A2178&amp;B2178="","",VLOOKUP(A2178&amp;B2178,INSUMOS!C:G,2,0))</f>
        <v/>
      </c>
      <c r="D2178" s="519"/>
      <c r="E2178" s="117" t="str">
        <f>IF(A2178&amp;B2178="","",VLOOKUP(A2178&amp;B2178,INSUMOS!C:G,3,0))</f>
        <v/>
      </c>
      <c r="F2178" s="118"/>
      <c r="G2178" s="113" t="str">
        <f>IF(A2178&amp;B2178="","",VLOOKUP(A2178&amp;B2178,INSUMOS!C:G,4,0))</f>
        <v/>
      </c>
      <c r="H2178" s="119" t="str">
        <f t="shared" si="375"/>
        <v/>
      </c>
      <c r="I2178" s="119" t="str">
        <f t="shared" si="376"/>
        <v/>
      </c>
      <c r="J2178" s="115" t="str">
        <f t="shared" si="377"/>
        <v/>
      </c>
      <c r="K2178" s="102" t="str">
        <f>IF(A2178&amp;B2178="","",VLOOKUP(A2178&amp;B2178,INSUMOS!C:G,5,0))</f>
        <v/>
      </c>
    </row>
    <row r="2179" spans="1:17" ht="15" x14ac:dyDescent="0.25">
      <c r="A2179" s="109"/>
      <c r="B2179" s="116"/>
      <c r="C2179" s="518" t="str">
        <f>IF(A2179&amp;B2179="","",VLOOKUP(A2179&amp;B2179,INSUMOS!C:G,2,0))</f>
        <v/>
      </c>
      <c r="D2179" s="519"/>
      <c r="E2179" s="117" t="str">
        <f>IF(A2179&amp;B2179="","",VLOOKUP(A2179&amp;B2179,INSUMOS!C:G,3,0))</f>
        <v/>
      </c>
      <c r="F2179" s="118"/>
      <c r="G2179" s="113" t="str">
        <f>IF(A2179&amp;B2179="","",VLOOKUP(A2179&amp;B2179,INSUMOS!C:G,4,0))</f>
        <v/>
      </c>
      <c r="H2179" s="119" t="str">
        <f t="shared" si="375"/>
        <v/>
      </c>
      <c r="I2179" s="119" t="str">
        <f t="shared" si="376"/>
        <v/>
      </c>
      <c r="J2179" s="115" t="str">
        <f t="shared" si="377"/>
        <v/>
      </c>
      <c r="K2179" s="102" t="str">
        <f>IF(A2179&amp;B2179="","",VLOOKUP(A2179&amp;B2179,INSUMOS!C:G,5,0))</f>
        <v/>
      </c>
    </row>
    <row r="2180" spans="1:17" ht="15" x14ac:dyDescent="0.25">
      <c r="A2180" s="120"/>
      <c r="B2180" s="121"/>
      <c r="C2180" s="518" t="str">
        <f>IF(A2180&amp;B2180="","",VLOOKUP(A2180&amp;B2180,INSUMOS!C:G,2,0))</f>
        <v/>
      </c>
      <c r="D2180" s="519"/>
      <c r="E2180" s="117" t="str">
        <f>IF(A2180&amp;B2180="","",VLOOKUP(A2180&amp;B2180,INSUMOS!C:G,3,0))</f>
        <v/>
      </c>
      <c r="F2180" s="118"/>
      <c r="G2180" s="122" t="str">
        <f>IF(A2180&amp;B2180="","",VLOOKUP(A2180&amp;B2180,INSUMOS!C:G,4,0))</f>
        <v/>
      </c>
      <c r="H2180" s="119" t="str">
        <f t="shared" si="375"/>
        <v/>
      </c>
      <c r="I2180" s="119" t="str">
        <f t="shared" si="376"/>
        <v/>
      </c>
      <c r="J2180" s="115" t="str">
        <f t="shared" si="377"/>
        <v/>
      </c>
      <c r="K2180" s="102" t="str">
        <f>IF(A2180&amp;B2180="","",VLOOKUP(A2180&amp;B2180,INSUMOS!C:G,5,0))</f>
        <v/>
      </c>
    </row>
    <row r="2181" spans="1:17" ht="15" x14ac:dyDescent="0.25">
      <c r="A2181" s="120"/>
      <c r="B2181" s="121"/>
      <c r="C2181" s="518" t="str">
        <f>IF(A2181&amp;B2181="","",VLOOKUP(A2181&amp;B2181,INSUMOS!C:G,2,0))</f>
        <v/>
      </c>
      <c r="D2181" s="519"/>
      <c r="E2181" s="117" t="str">
        <f>IF(A2181&amp;B2181="","",VLOOKUP(A2181&amp;B2181,INSUMOS!C:G,3,0))</f>
        <v/>
      </c>
      <c r="F2181" s="118"/>
      <c r="G2181" s="122" t="str">
        <f>IF(A2181&amp;B2181="","",VLOOKUP(A2181&amp;B2181,INSUMOS!C:G,4,0))</f>
        <v/>
      </c>
      <c r="H2181" s="119" t="str">
        <f t="shared" si="375"/>
        <v/>
      </c>
      <c r="I2181" s="119" t="str">
        <f t="shared" si="376"/>
        <v/>
      </c>
      <c r="J2181" s="115" t="str">
        <f t="shared" si="377"/>
        <v/>
      </c>
      <c r="K2181" s="102" t="str">
        <f>IF(A2181&amp;B2181="","",VLOOKUP(A2181&amp;B2181,INSUMOS!C:G,5,0))</f>
        <v/>
      </c>
    </row>
    <row r="2182" spans="1:17" ht="15" x14ac:dyDescent="0.25">
      <c r="A2182" s="120"/>
      <c r="B2182" s="121"/>
      <c r="C2182" s="518" t="str">
        <f>IF(A2182&amp;B2182="","",VLOOKUP(A2182&amp;B2182,INSUMOS!C:G,2,0))</f>
        <v/>
      </c>
      <c r="D2182" s="519"/>
      <c r="E2182" s="117" t="str">
        <f>IF(A2182&amp;B2182="","",VLOOKUP(A2182&amp;B2182,INSUMOS!C:G,3,0))</f>
        <v/>
      </c>
      <c r="F2182" s="118"/>
      <c r="G2182" s="122" t="str">
        <f>IF(A2182&amp;B2182="","",VLOOKUP(A2182&amp;B2182,INSUMOS!C:G,4,0))</f>
        <v/>
      </c>
      <c r="H2182" s="119" t="str">
        <f t="shared" si="375"/>
        <v/>
      </c>
      <c r="I2182" s="119" t="str">
        <f t="shared" si="376"/>
        <v/>
      </c>
      <c r="J2182" s="115" t="str">
        <f t="shared" si="377"/>
        <v/>
      </c>
      <c r="K2182" s="102" t="str">
        <f>IF(A2182&amp;B2182="","",VLOOKUP(A2182&amp;B2182,INSUMOS!C:G,5,0))</f>
        <v/>
      </c>
    </row>
    <row r="2183" spans="1:17" ht="15" x14ac:dyDescent="0.25">
      <c r="A2183" s="123" t="s">
        <v>4399</v>
      </c>
      <c r="B2183" s="542" t="s">
        <v>5263</v>
      </c>
      <c r="C2183" s="542"/>
      <c r="D2183" s="542"/>
      <c r="E2183" s="542"/>
      <c r="F2183" s="543"/>
      <c r="G2183" s="124" t="s">
        <v>50</v>
      </c>
      <c r="H2183" s="125">
        <f>SUM(H2170:H2182)</f>
        <v>5.57</v>
      </c>
      <c r="I2183" s="125">
        <f>SUM(I2170:I2182)</f>
        <v>15.58</v>
      </c>
      <c r="J2183" s="126">
        <f>SUM(J2170:J2182)</f>
        <v>0</v>
      </c>
    </row>
    <row r="2184" spans="1:17" ht="15" x14ac:dyDescent="0.25">
      <c r="A2184" s="127" t="s">
        <v>4400</v>
      </c>
      <c r="B2184" s="128"/>
      <c r="C2184" s="128"/>
      <c r="D2184" s="127" t="s">
        <v>51</v>
      </c>
      <c r="E2184" s="128"/>
      <c r="F2184" s="129"/>
      <c r="G2184" s="130" t="s">
        <v>55</v>
      </c>
      <c r="H2184" s="131" t="s">
        <v>52</v>
      </c>
      <c r="I2184" s="132"/>
      <c r="J2184" s="125">
        <f>SUM(H2183:J2183)</f>
        <v>21.15</v>
      </c>
    </row>
    <row r="2185" spans="1:17" ht="15" x14ac:dyDescent="0.25">
      <c r="A2185" s="313" t="str">
        <f>$I$3</f>
        <v>Carlos Wieck</v>
      </c>
      <c r="B2185" s="133"/>
      <c r="C2185" s="133"/>
      <c r="D2185" s="134"/>
      <c r="E2185" s="133"/>
      <c r="F2185" s="135"/>
      <c r="G2185" s="522">
        <f>$J$5</f>
        <v>43040</v>
      </c>
      <c r="H2185" s="136" t="s">
        <v>53</v>
      </c>
      <c r="I2185" s="137"/>
      <c r="J2185" s="125">
        <f>TRUNC(I2185*J2184,2)</f>
        <v>0</v>
      </c>
    </row>
    <row r="2186" spans="1:17" ht="15" x14ac:dyDescent="0.25">
      <c r="A2186" s="314"/>
      <c r="B2186" s="139"/>
      <c r="C2186" s="139"/>
      <c r="D2186" s="138"/>
      <c r="E2186" s="139"/>
      <c r="F2186" s="140"/>
      <c r="G2186" s="523"/>
      <c r="H2186" s="141" t="s">
        <v>54</v>
      </c>
      <c r="I2186" s="142"/>
      <c r="J2186" s="143">
        <f>J2185+J2184</f>
        <v>21.15</v>
      </c>
      <c r="L2186" s="102" t="str">
        <f>A2167</f>
        <v>COMPOSIÇÃO</v>
      </c>
      <c r="M2186" s="144" t="str">
        <f>B2167</f>
        <v>FF-092</v>
      </c>
      <c r="N2186" s="102" t="str">
        <f>L2186&amp;M2186</f>
        <v>COMPOSIÇÃOFF-092</v>
      </c>
      <c r="O2186" s="103" t="str">
        <f>D2166</f>
        <v>Tê 28mm solda em cobre para água quente, Fornecimento e Instalação</v>
      </c>
      <c r="P2186" s="145" t="str">
        <f>J2167</f>
        <v>un</v>
      </c>
      <c r="Q2186" s="145">
        <f>J2186</f>
        <v>21.15</v>
      </c>
    </row>
    <row r="2187" spans="1:17" ht="15" customHeight="1" x14ac:dyDescent="0.25">
      <c r="A2187" s="524" t="s">
        <v>40</v>
      </c>
      <c r="B2187" s="525"/>
      <c r="C2187" s="104" t="s">
        <v>41</v>
      </c>
      <c r="D2187" s="526" t="str">
        <f>IF(B2188="","",VLOOKUP(B2188,SERVIÇOS!B:E,3,0))</f>
        <v>Biodigestor 3.000 litros Acqualimp  ou equivalente técnico</v>
      </c>
      <c r="E2187" s="526"/>
      <c r="F2187" s="526"/>
      <c r="G2187" s="526"/>
      <c r="H2187" s="526"/>
      <c r="I2187" s="527"/>
      <c r="J2187" s="105" t="s">
        <v>42</v>
      </c>
    </row>
    <row r="2188" spans="1:17" ht="15" x14ac:dyDescent="0.25">
      <c r="A2188" s="230" t="s">
        <v>4715</v>
      </c>
      <c r="B2188" s="230" t="s">
        <v>5225</v>
      </c>
      <c r="C2188" s="106"/>
      <c r="D2188" s="528"/>
      <c r="E2188" s="528"/>
      <c r="F2188" s="528"/>
      <c r="G2188" s="528"/>
      <c r="H2188" s="528"/>
      <c r="I2188" s="529"/>
      <c r="J2188" s="107" t="str">
        <f>IF(B2188="","",VLOOKUP(B2188,SERVIÇOS!B:E,4,0))</f>
        <v>un</v>
      </c>
    </row>
    <row r="2189" spans="1:17" ht="15" x14ac:dyDescent="0.25">
      <c r="A2189" s="530" t="s">
        <v>4397</v>
      </c>
      <c r="B2189" s="531" t="s">
        <v>11</v>
      </c>
      <c r="C2189" s="533" t="s">
        <v>43</v>
      </c>
      <c r="D2189" s="534"/>
      <c r="E2189" s="530" t="s">
        <v>13</v>
      </c>
      <c r="F2189" s="530" t="s">
        <v>44</v>
      </c>
      <c r="G2189" s="538" t="s">
        <v>45</v>
      </c>
      <c r="H2189" s="108" t="s">
        <v>46</v>
      </c>
      <c r="I2189" s="108"/>
      <c r="J2189" s="108"/>
    </row>
    <row r="2190" spans="1:17" ht="15" x14ac:dyDescent="0.25">
      <c r="A2190" s="530"/>
      <c r="B2190" s="532"/>
      <c r="C2190" s="535"/>
      <c r="D2190" s="536"/>
      <c r="E2190" s="537"/>
      <c r="F2190" s="537"/>
      <c r="G2190" s="539"/>
      <c r="H2190" s="108" t="s">
        <v>47</v>
      </c>
      <c r="I2190" s="108" t="s">
        <v>48</v>
      </c>
      <c r="J2190" s="108" t="s">
        <v>49</v>
      </c>
    </row>
    <row r="2191" spans="1:17" ht="15" x14ac:dyDescent="0.25">
      <c r="A2191" s="109" t="s">
        <v>4398</v>
      </c>
      <c r="B2191" s="110">
        <v>10119</v>
      </c>
      <c r="C2191" s="540" t="str">
        <f>IF(A2191&amp;B2191="","",VLOOKUP(A2191&amp;B2191,INSUMOS!C:G,2,0))</f>
        <v>Ajudante de encanador</v>
      </c>
      <c r="D2191" s="541"/>
      <c r="E2191" s="111" t="str">
        <f>IF(A2191&amp;B2191="","",VLOOKUP(A2191&amp;B2191,INSUMOS!C:G,3,0))</f>
        <v>h</v>
      </c>
      <c r="F2191" s="112">
        <v>2</v>
      </c>
      <c r="G2191" s="113">
        <f>IF(A2191&amp;B2191="","",VLOOKUP(A2191&amp;B2191,INSUMOS!C:G,4,0))</f>
        <v>10.985028</v>
      </c>
      <c r="H2191" s="114">
        <f>IF(K2191="MO",TRUNC(F2191*G2191,2),"")</f>
        <v>21.97</v>
      </c>
      <c r="I2191" s="114" t="str">
        <f>IF(K2191="MT",TRUNC(F2191*G2191,2),"")</f>
        <v/>
      </c>
      <c r="J2191" s="115" t="str">
        <f>IF(K2191="EQ",TRUNC(F2191*G2191,2),"")</f>
        <v/>
      </c>
      <c r="K2191" s="102" t="str">
        <f>IF(A2191&amp;B2191="","",VLOOKUP(A2191&amp;B2191,INSUMOS!C:G,5,0))</f>
        <v>MO</v>
      </c>
    </row>
    <row r="2192" spans="1:17" ht="15" x14ac:dyDescent="0.25">
      <c r="A2192" s="109" t="s">
        <v>4398</v>
      </c>
      <c r="B2192" s="116">
        <v>10118</v>
      </c>
      <c r="C2192" s="518" t="str">
        <f>IF(A2192&amp;B2192="","",VLOOKUP(A2192&amp;B2192,INSUMOS!C:G,2,0))</f>
        <v xml:space="preserve">Encanador </v>
      </c>
      <c r="D2192" s="519"/>
      <c r="E2192" s="117" t="str">
        <f>IF(A2192&amp;B2192="","",VLOOKUP(A2192&amp;B2192,INSUMOS!C:G,3,0))</f>
        <v>h</v>
      </c>
      <c r="F2192" s="118">
        <v>2</v>
      </c>
      <c r="G2192" s="113">
        <f>IF(A2192&amp;B2192="","",VLOOKUP(A2192&amp;B2192,INSUMOS!C:G,4,0))</f>
        <v>16.906036</v>
      </c>
      <c r="H2192" s="119">
        <f t="shared" ref="H2192:H2203" si="378">IF(K2192="MO",TRUNC(F2192*G2192,2),"")</f>
        <v>33.81</v>
      </c>
      <c r="I2192" s="119" t="str">
        <f t="shared" ref="I2192:I2203" si="379">IF(K2192="MT",TRUNC(F2192*G2192,2),"")</f>
        <v/>
      </c>
      <c r="J2192" s="115" t="str">
        <f t="shared" ref="J2192:J2203" si="380">IF(K2192="EQ",TRUNC(F2192*G2192,2),"")</f>
        <v/>
      </c>
      <c r="K2192" s="102" t="str">
        <f>IF(A2192&amp;B2192="","",VLOOKUP(A2192&amp;B2192,INSUMOS!C:G,5,0))</f>
        <v>MO</v>
      </c>
    </row>
    <row r="2193" spans="1:17" ht="15" x14ac:dyDescent="0.25">
      <c r="A2193" s="109" t="s">
        <v>4717</v>
      </c>
      <c r="B2193" s="116" t="s">
        <v>4970</v>
      </c>
      <c r="C2193" s="518" t="str">
        <f>IF(A2193&amp;B2193="","",VLOOKUP(A2193&amp;B2193,INSUMOS!C:G,2,0))</f>
        <v>Biodigestor 3.000 litros Acqualimp  ou equivalente técnico</v>
      </c>
      <c r="D2193" s="519"/>
      <c r="E2193" s="117" t="str">
        <f>IF(A2193&amp;B2193="","",VLOOKUP(A2193&amp;B2193,INSUMOS!C:G,3,0))</f>
        <v>un</v>
      </c>
      <c r="F2193" s="118">
        <v>1</v>
      </c>
      <c r="G2193" s="113">
        <f>IF(A2193&amp;B2193="","",VLOOKUP(A2193&amp;B2193,INSUMOS!C:G,4,0))</f>
        <v>6857.1581999999999</v>
      </c>
      <c r="H2193" s="119" t="str">
        <f t="shared" si="378"/>
        <v/>
      </c>
      <c r="I2193" s="119">
        <f t="shared" si="379"/>
        <v>6857.15</v>
      </c>
      <c r="J2193" s="115" t="str">
        <f t="shared" si="380"/>
        <v/>
      </c>
      <c r="K2193" s="102" t="str">
        <f>IF(A2193&amp;B2193="","",VLOOKUP(A2193&amp;B2193,INSUMOS!C:G,5,0))</f>
        <v>MT</v>
      </c>
    </row>
    <row r="2194" spans="1:17" ht="15" x14ac:dyDescent="0.25">
      <c r="A2194" s="109"/>
      <c r="B2194" s="116"/>
      <c r="C2194" s="518" t="str">
        <f>IF(A2194&amp;B2194="","",VLOOKUP(A2194&amp;B2194,INSUMOS!C:G,2,0))</f>
        <v/>
      </c>
      <c r="D2194" s="519"/>
      <c r="E2194" s="117" t="str">
        <f>IF(A2194&amp;B2194="","",VLOOKUP(A2194&amp;B2194,INSUMOS!C:G,3,0))</f>
        <v/>
      </c>
      <c r="F2194" s="118"/>
      <c r="G2194" s="113" t="str">
        <f>IF(A2194&amp;B2194="","",VLOOKUP(A2194&amp;B2194,INSUMOS!C:G,4,0))</f>
        <v/>
      </c>
      <c r="H2194" s="119" t="str">
        <f t="shared" si="378"/>
        <v/>
      </c>
      <c r="I2194" s="119" t="str">
        <f t="shared" si="379"/>
        <v/>
      </c>
      <c r="J2194" s="115" t="str">
        <f t="shared" si="380"/>
        <v/>
      </c>
      <c r="K2194" s="102" t="str">
        <f>IF(A2194&amp;B2194="","",VLOOKUP(A2194&amp;B2194,INSUMOS!C:G,5,0))</f>
        <v/>
      </c>
    </row>
    <row r="2195" spans="1:17" ht="15" x14ac:dyDescent="0.25">
      <c r="A2195" s="109"/>
      <c r="B2195" s="116"/>
      <c r="C2195" s="518" t="str">
        <f>IF(A2195&amp;B2195="","",VLOOKUP(A2195&amp;B2195,INSUMOS!C:G,2,0))</f>
        <v/>
      </c>
      <c r="D2195" s="519"/>
      <c r="E2195" s="117" t="str">
        <f>IF(A2195&amp;B2195="","",VLOOKUP(A2195&amp;B2195,INSUMOS!C:G,3,0))</f>
        <v/>
      </c>
      <c r="F2195" s="118"/>
      <c r="G2195" s="113" t="str">
        <f>IF(A2195&amp;B2195="","",VLOOKUP(A2195&amp;B2195,INSUMOS!C:G,4,0))</f>
        <v/>
      </c>
      <c r="H2195" s="119" t="str">
        <f t="shared" si="378"/>
        <v/>
      </c>
      <c r="I2195" s="119" t="str">
        <f t="shared" si="379"/>
        <v/>
      </c>
      <c r="J2195" s="115" t="str">
        <f t="shared" si="380"/>
        <v/>
      </c>
      <c r="K2195" s="102" t="str">
        <f>IF(A2195&amp;B2195="","",VLOOKUP(A2195&amp;B2195,INSUMOS!C:G,5,0))</f>
        <v/>
      </c>
    </row>
    <row r="2196" spans="1:17" ht="15" x14ac:dyDescent="0.25">
      <c r="A2196" s="109"/>
      <c r="B2196" s="116"/>
      <c r="C2196" s="518" t="str">
        <f>IF(A2196&amp;B2196="","",VLOOKUP(A2196&amp;B2196,INSUMOS!C:G,2,0))</f>
        <v/>
      </c>
      <c r="D2196" s="519"/>
      <c r="E2196" s="117" t="str">
        <f>IF(A2196&amp;B2196="","",VLOOKUP(A2196&amp;B2196,INSUMOS!C:G,3,0))</f>
        <v/>
      </c>
      <c r="F2196" s="118"/>
      <c r="G2196" s="113" t="str">
        <f>IF(A2196&amp;B2196="","",VLOOKUP(A2196&amp;B2196,INSUMOS!C:G,4,0))</f>
        <v/>
      </c>
      <c r="H2196" s="119" t="str">
        <f t="shared" si="378"/>
        <v/>
      </c>
      <c r="I2196" s="119" t="str">
        <f t="shared" si="379"/>
        <v/>
      </c>
      <c r="J2196" s="115" t="str">
        <f t="shared" si="380"/>
        <v/>
      </c>
      <c r="K2196" s="102" t="str">
        <f>IF(A2196&amp;B2196="","",VLOOKUP(A2196&amp;B2196,INSUMOS!C:G,5,0))</f>
        <v/>
      </c>
    </row>
    <row r="2197" spans="1:17" ht="15" x14ac:dyDescent="0.25">
      <c r="A2197" s="109"/>
      <c r="B2197" s="116"/>
      <c r="C2197" s="518" t="str">
        <f>IF(A2197&amp;B2197="","",VLOOKUP(A2197&amp;B2197,INSUMOS!C:G,2,0))</f>
        <v/>
      </c>
      <c r="D2197" s="519"/>
      <c r="E2197" s="117" t="str">
        <f>IF(A2197&amp;B2197="","",VLOOKUP(A2197&amp;B2197,INSUMOS!C:G,3,0))</f>
        <v/>
      </c>
      <c r="F2197" s="118"/>
      <c r="G2197" s="113" t="str">
        <f>IF(A2197&amp;B2197="","",VLOOKUP(A2197&amp;B2197,INSUMOS!C:G,4,0))</f>
        <v/>
      </c>
      <c r="H2197" s="119" t="str">
        <f t="shared" si="378"/>
        <v/>
      </c>
      <c r="I2197" s="119" t="str">
        <f t="shared" si="379"/>
        <v/>
      </c>
      <c r="J2197" s="115" t="str">
        <f t="shared" si="380"/>
        <v/>
      </c>
      <c r="K2197" s="102" t="str">
        <f>IF(A2197&amp;B2197="","",VLOOKUP(A2197&amp;B2197,INSUMOS!C:G,5,0))</f>
        <v/>
      </c>
    </row>
    <row r="2198" spans="1:17" ht="15" x14ac:dyDescent="0.25">
      <c r="A2198" s="109"/>
      <c r="B2198" s="116"/>
      <c r="C2198" s="518" t="str">
        <f>IF(A2198&amp;B2198="","",VLOOKUP(A2198&amp;B2198,INSUMOS!C:G,2,0))</f>
        <v/>
      </c>
      <c r="D2198" s="519"/>
      <c r="E2198" s="117" t="str">
        <f>IF(A2198&amp;B2198="","",VLOOKUP(A2198&amp;B2198,INSUMOS!C:G,3,0))</f>
        <v/>
      </c>
      <c r="F2198" s="118"/>
      <c r="G2198" s="113" t="str">
        <f>IF(A2198&amp;B2198="","",VLOOKUP(A2198&amp;B2198,INSUMOS!C:G,4,0))</f>
        <v/>
      </c>
      <c r="H2198" s="119" t="str">
        <f t="shared" si="378"/>
        <v/>
      </c>
      <c r="I2198" s="119" t="str">
        <f t="shared" si="379"/>
        <v/>
      </c>
      <c r="J2198" s="115" t="str">
        <f t="shared" si="380"/>
        <v/>
      </c>
      <c r="K2198" s="102" t="str">
        <f>IF(A2198&amp;B2198="","",VLOOKUP(A2198&amp;B2198,INSUMOS!C:G,5,0))</f>
        <v/>
      </c>
    </row>
    <row r="2199" spans="1:17" ht="15" x14ac:dyDescent="0.25">
      <c r="A2199" s="109"/>
      <c r="B2199" s="116"/>
      <c r="C2199" s="518" t="str">
        <f>IF(A2199&amp;B2199="","",VLOOKUP(A2199&amp;B2199,INSUMOS!C:G,2,0))</f>
        <v/>
      </c>
      <c r="D2199" s="519"/>
      <c r="E2199" s="117" t="str">
        <f>IF(A2199&amp;B2199="","",VLOOKUP(A2199&amp;B2199,INSUMOS!C:G,3,0))</f>
        <v/>
      </c>
      <c r="F2199" s="118"/>
      <c r="G2199" s="113" t="str">
        <f>IF(A2199&amp;B2199="","",VLOOKUP(A2199&amp;B2199,INSUMOS!C:G,4,0))</f>
        <v/>
      </c>
      <c r="H2199" s="119" t="str">
        <f t="shared" si="378"/>
        <v/>
      </c>
      <c r="I2199" s="119" t="str">
        <f t="shared" si="379"/>
        <v/>
      </c>
      <c r="J2199" s="115" t="str">
        <f t="shared" si="380"/>
        <v/>
      </c>
      <c r="K2199" s="102" t="str">
        <f>IF(A2199&amp;B2199="","",VLOOKUP(A2199&amp;B2199,INSUMOS!C:G,5,0))</f>
        <v/>
      </c>
    </row>
    <row r="2200" spans="1:17" ht="15" x14ac:dyDescent="0.25">
      <c r="A2200" s="109"/>
      <c r="B2200" s="116"/>
      <c r="C2200" s="518" t="str">
        <f>IF(A2200&amp;B2200="","",VLOOKUP(A2200&amp;B2200,INSUMOS!C:G,2,0))</f>
        <v/>
      </c>
      <c r="D2200" s="519"/>
      <c r="E2200" s="117" t="str">
        <f>IF(A2200&amp;B2200="","",VLOOKUP(A2200&amp;B2200,INSUMOS!C:G,3,0))</f>
        <v/>
      </c>
      <c r="F2200" s="118"/>
      <c r="G2200" s="113" t="str">
        <f>IF(A2200&amp;B2200="","",VLOOKUP(A2200&amp;B2200,INSUMOS!C:G,4,0))</f>
        <v/>
      </c>
      <c r="H2200" s="119" t="str">
        <f t="shared" si="378"/>
        <v/>
      </c>
      <c r="I2200" s="119" t="str">
        <f t="shared" si="379"/>
        <v/>
      </c>
      <c r="J2200" s="115" t="str">
        <f t="shared" si="380"/>
        <v/>
      </c>
      <c r="K2200" s="102" t="str">
        <f>IF(A2200&amp;B2200="","",VLOOKUP(A2200&amp;B2200,INSUMOS!C:G,5,0))</f>
        <v/>
      </c>
    </row>
    <row r="2201" spans="1:17" ht="15" x14ac:dyDescent="0.25">
      <c r="A2201" s="120"/>
      <c r="B2201" s="121"/>
      <c r="C2201" s="518" t="str">
        <f>IF(A2201&amp;B2201="","",VLOOKUP(A2201&amp;B2201,INSUMOS!C:G,2,0))</f>
        <v/>
      </c>
      <c r="D2201" s="519"/>
      <c r="E2201" s="117" t="str">
        <f>IF(A2201&amp;B2201="","",VLOOKUP(A2201&amp;B2201,INSUMOS!C:G,3,0))</f>
        <v/>
      </c>
      <c r="F2201" s="118"/>
      <c r="G2201" s="122" t="str">
        <f>IF(A2201&amp;B2201="","",VLOOKUP(A2201&amp;B2201,INSUMOS!C:G,4,0))</f>
        <v/>
      </c>
      <c r="H2201" s="119" t="str">
        <f t="shared" si="378"/>
        <v/>
      </c>
      <c r="I2201" s="119" t="str">
        <f t="shared" si="379"/>
        <v/>
      </c>
      <c r="J2201" s="115" t="str">
        <f t="shared" si="380"/>
        <v/>
      </c>
      <c r="K2201" s="102" t="str">
        <f>IF(A2201&amp;B2201="","",VLOOKUP(A2201&amp;B2201,INSUMOS!C:G,5,0))</f>
        <v/>
      </c>
    </row>
    <row r="2202" spans="1:17" ht="15" x14ac:dyDescent="0.25">
      <c r="A2202" s="120"/>
      <c r="B2202" s="121"/>
      <c r="C2202" s="518" t="str">
        <f>IF(A2202&amp;B2202="","",VLOOKUP(A2202&amp;B2202,INSUMOS!C:G,2,0))</f>
        <v/>
      </c>
      <c r="D2202" s="519"/>
      <c r="E2202" s="117" t="str">
        <f>IF(A2202&amp;B2202="","",VLOOKUP(A2202&amp;B2202,INSUMOS!C:G,3,0))</f>
        <v/>
      </c>
      <c r="F2202" s="118"/>
      <c r="G2202" s="122" t="str">
        <f>IF(A2202&amp;B2202="","",VLOOKUP(A2202&amp;B2202,INSUMOS!C:G,4,0))</f>
        <v/>
      </c>
      <c r="H2202" s="119" t="str">
        <f t="shared" si="378"/>
        <v/>
      </c>
      <c r="I2202" s="119" t="str">
        <f t="shared" si="379"/>
        <v/>
      </c>
      <c r="J2202" s="115" t="str">
        <f t="shared" si="380"/>
        <v/>
      </c>
      <c r="K2202" s="102" t="str">
        <f>IF(A2202&amp;B2202="","",VLOOKUP(A2202&amp;B2202,INSUMOS!C:G,5,0))</f>
        <v/>
      </c>
    </row>
    <row r="2203" spans="1:17" ht="15" x14ac:dyDescent="0.25">
      <c r="A2203" s="120"/>
      <c r="B2203" s="121"/>
      <c r="C2203" s="518" t="str">
        <f>IF(A2203&amp;B2203="","",VLOOKUP(A2203&amp;B2203,INSUMOS!C:G,2,0))</f>
        <v/>
      </c>
      <c r="D2203" s="519"/>
      <c r="E2203" s="117" t="str">
        <f>IF(A2203&amp;B2203="","",VLOOKUP(A2203&amp;B2203,INSUMOS!C:G,3,0))</f>
        <v/>
      </c>
      <c r="F2203" s="118"/>
      <c r="G2203" s="122" t="str">
        <f>IF(A2203&amp;B2203="","",VLOOKUP(A2203&amp;B2203,INSUMOS!C:G,4,0))</f>
        <v/>
      </c>
      <c r="H2203" s="119" t="str">
        <f t="shared" si="378"/>
        <v/>
      </c>
      <c r="I2203" s="119" t="str">
        <f t="shared" si="379"/>
        <v/>
      </c>
      <c r="J2203" s="115" t="str">
        <f t="shared" si="380"/>
        <v/>
      </c>
      <c r="K2203" s="102" t="str">
        <f>IF(A2203&amp;B2203="","",VLOOKUP(A2203&amp;B2203,INSUMOS!C:G,5,0))</f>
        <v/>
      </c>
    </row>
    <row r="2204" spans="1:17" ht="15" x14ac:dyDescent="0.25">
      <c r="A2204" s="123" t="s">
        <v>4399</v>
      </c>
      <c r="B2204" s="542"/>
      <c r="C2204" s="542"/>
      <c r="D2204" s="542"/>
      <c r="E2204" s="542"/>
      <c r="F2204" s="543"/>
      <c r="G2204" s="124" t="s">
        <v>50</v>
      </c>
      <c r="H2204" s="125">
        <f>SUM(H2191:H2203)</f>
        <v>55.78</v>
      </c>
      <c r="I2204" s="125">
        <f>SUM(I2191:I2203)</f>
        <v>6857.15</v>
      </c>
      <c r="J2204" s="126">
        <f>SUM(J2191:J2203)</f>
        <v>0</v>
      </c>
    </row>
    <row r="2205" spans="1:17" ht="15" x14ac:dyDescent="0.25">
      <c r="A2205" s="127" t="s">
        <v>4400</v>
      </c>
      <c r="B2205" s="128"/>
      <c r="C2205" s="128"/>
      <c r="D2205" s="127" t="s">
        <v>51</v>
      </c>
      <c r="E2205" s="128"/>
      <c r="F2205" s="129"/>
      <c r="G2205" s="130" t="s">
        <v>55</v>
      </c>
      <c r="H2205" s="131" t="s">
        <v>52</v>
      </c>
      <c r="I2205" s="132"/>
      <c r="J2205" s="125">
        <f>SUM(H2204:J2204)</f>
        <v>6912.9299999999994</v>
      </c>
    </row>
    <row r="2206" spans="1:17" ht="15" x14ac:dyDescent="0.25">
      <c r="A2206" s="313" t="str">
        <f>$I$3</f>
        <v>Carlos Wieck</v>
      </c>
      <c r="B2206" s="133"/>
      <c r="C2206" s="133"/>
      <c r="D2206" s="134"/>
      <c r="E2206" s="133"/>
      <c r="F2206" s="135"/>
      <c r="G2206" s="522">
        <f>$J$5</f>
        <v>43040</v>
      </c>
      <c r="H2206" s="136" t="s">
        <v>53</v>
      </c>
      <c r="I2206" s="137"/>
      <c r="J2206" s="125">
        <f>TRUNC(I2206*J2205,2)</f>
        <v>0</v>
      </c>
    </row>
    <row r="2207" spans="1:17" ht="15" x14ac:dyDescent="0.25">
      <c r="A2207" s="314"/>
      <c r="B2207" s="139"/>
      <c r="C2207" s="139"/>
      <c r="D2207" s="138"/>
      <c r="E2207" s="139"/>
      <c r="F2207" s="140"/>
      <c r="G2207" s="523"/>
      <c r="H2207" s="141" t="s">
        <v>54</v>
      </c>
      <c r="I2207" s="142"/>
      <c r="J2207" s="143">
        <f>J2206+J2205</f>
        <v>6912.9299999999994</v>
      </c>
      <c r="L2207" s="102" t="str">
        <f>A2188</f>
        <v>COMPOSIÇÃO</v>
      </c>
      <c r="M2207" s="144" t="str">
        <f>B2188</f>
        <v>FF-093</v>
      </c>
      <c r="N2207" s="102" t="str">
        <f>L2207&amp;M2207</f>
        <v>COMPOSIÇÃOFF-093</v>
      </c>
      <c r="O2207" s="103" t="str">
        <f>D2187</f>
        <v>Biodigestor 3.000 litros Acqualimp  ou equivalente técnico</v>
      </c>
      <c r="P2207" s="145" t="str">
        <f>J2188</f>
        <v>un</v>
      </c>
      <c r="Q2207" s="145">
        <f>J2207</f>
        <v>6912.9299999999994</v>
      </c>
    </row>
    <row r="2208" spans="1:17" ht="15" customHeight="1" x14ac:dyDescent="0.25">
      <c r="A2208" s="524" t="s">
        <v>40</v>
      </c>
      <c r="B2208" s="525"/>
      <c r="C2208" s="104" t="s">
        <v>41</v>
      </c>
      <c r="D2208" s="526" t="str">
        <f>IF(B2209="","",VLOOKUP(B2209,SERVIÇOS!B:E,3,0))</f>
        <v>Caixa de inspeção de esgoto ref. Tigre ou equivalente técnico</v>
      </c>
      <c r="E2208" s="526"/>
      <c r="F2208" s="526"/>
      <c r="G2208" s="526"/>
      <c r="H2208" s="526"/>
      <c r="I2208" s="527"/>
      <c r="J2208" s="105" t="s">
        <v>42</v>
      </c>
    </row>
    <row r="2209" spans="1:11" ht="15" x14ac:dyDescent="0.25">
      <c r="A2209" s="230" t="s">
        <v>4715</v>
      </c>
      <c r="B2209" s="230" t="s">
        <v>5226</v>
      </c>
      <c r="C2209" s="106"/>
      <c r="D2209" s="528"/>
      <c r="E2209" s="528"/>
      <c r="F2209" s="528"/>
      <c r="G2209" s="528"/>
      <c r="H2209" s="528"/>
      <c r="I2209" s="529"/>
      <c r="J2209" s="107" t="str">
        <f>IF(B2209="","",VLOOKUP(B2209,SERVIÇOS!B:E,4,0))</f>
        <v>un</v>
      </c>
    </row>
    <row r="2210" spans="1:11" ht="15" x14ac:dyDescent="0.25">
      <c r="A2210" s="530" t="s">
        <v>4397</v>
      </c>
      <c r="B2210" s="531" t="s">
        <v>11</v>
      </c>
      <c r="C2210" s="533" t="s">
        <v>43</v>
      </c>
      <c r="D2210" s="534"/>
      <c r="E2210" s="530" t="s">
        <v>13</v>
      </c>
      <c r="F2210" s="530" t="s">
        <v>44</v>
      </c>
      <c r="G2210" s="538" t="s">
        <v>45</v>
      </c>
      <c r="H2210" s="108" t="s">
        <v>46</v>
      </c>
      <c r="I2210" s="108"/>
      <c r="J2210" s="108"/>
    </row>
    <row r="2211" spans="1:11" ht="15" x14ac:dyDescent="0.25">
      <c r="A2211" s="530"/>
      <c r="B2211" s="532"/>
      <c r="C2211" s="535"/>
      <c r="D2211" s="536"/>
      <c r="E2211" s="537"/>
      <c r="F2211" s="537"/>
      <c r="G2211" s="539"/>
      <c r="H2211" s="108" t="s">
        <v>47</v>
      </c>
      <c r="I2211" s="108" t="s">
        <v>48</v>
      </c>
      <c r="J2211" s="108" t="s">
        <v>49</v>
      </c>
    </row>
    <row r="2212" spans="1:11" ht="15" x14ac:dyDescent="0.25">
      <c r="A2212" s="109" t="s">
        <v>4398</v>
      </c>
      <c r="B2212" s="110">
        <v>10119</v>
      </c>
      <c r="C2212" s="540" t="str">
        <f>IF(A2212&amp;B2212="","",VLOOKUP(A2212&amp;B2212,INSUMOS!C:G,2,0))</f>
        <v>Ajudante de encanador</v>
      </c>
      <c r="D2212" s="541"/>
      <c r="E2212" s="111" t="str">
        <f>IF(A2212&amp;B2212="","",VLOOKUP(A2212&amp;B2212,INSUMOS!C:G,3,0))</f>
        <v>h</v>
      </c>
      <c r="F2212" s="112">
        <v>2</v>
      </c>
      <c r="G2212" s="113">
        <f>IF(A2212&amp;B2212="","",VLOOKUP(A2212&amp;B2212,INSUMOS!C:G,4,0))</f>
        <v>10.985028</v>
      </c>
      <c r="H2212" s="114">
        <f>IF(K2212="MO",TRUNC(F2212*G2212,2),"")</f>
        <v>21.97</v>
      </c>
      <c r="I2212" s="114" t="str">
        <f>IF(K2212="MT",TRUNC(F2212*G2212,2),"")</f>
        <v/>
      </c>
      <c r="J2212" s="115" t="str">
        <f>IF(K2212="EQ",TRUNC(F2212*G2212,2),"")</f>
        <v/>
      </c>
      <c r="K2212" s="102" t="str">
        <f>IF(A2212&amp;B2212="","",VLOOKUP(A2212&amp;B2212,INSUMOS!C:G,5,0))</f>
        <v>MO</v>
      </c>
    </row>
    <row r="2213" spans="1:11" ht="15" x14ac:dyDescent="0.25">
      <c r="A2213" s="109" t="s">
        <v>4398</v>
      </c>
      <c r="B2213" s="116">
        <v>10118</v>
      </c>
      <c r="C2213" s="518" t="str">
        <f>IF(A2213&amp;B2213="","",VLOOKUP(A2213&amp;B2213,INSUMOS!C:G,2,0))</f>
        <v xml:space="preserve">Encanador </v>
      </c>
      <c r="D2213" s="519"/>
      <c r="E2213" s="117" t="str">
        <f>IF(A2213&amp;B2213="","",VLOOKUP(A2213&amp;B2213,INSUMOS!C:G,3,0))</f>
        <v>h</v>
      </c>
      <c r="F2213" s="118">
        <v>2</v>
      </c>
      <c r="G2213" s="113">
        <f>IF(A2213&amp;B2213="","",VLOOKUP(A2213&amp;B2213,INSUMOS!C:G,4,0))</f>
        <v>16.906036</v>
      </c>
      <c r="H2213" s="119">
        <f t="shared" ref="H2213:H2224" si="381">IF(K2213="MO",TRUNC(F2213*G2213,2),"")</f>
        <v>33.81</v>
      </c>
      <c r="I2213" s="119" t="str">
        <f t="shared" ref="I2213:I2224" si="382">IF(K2213="MT",TRUNC(F2213*G2213,2),"")</f>
        <v/>
      </c>
      <c r="J2213" s="115" t="str">
        <f t="shared" ref="J2213:J2224" si="383">IF(K2213="EQ",TRUNC(F2213*G2213,2),"")</f>
        <v/>
      </c>
      <c r="K2213" s="102" t="str">
        <f>IF(A2213&amp;B2213="","",VLOOKUP(A2213&amp;B2213,INSUMOS!C:G,5,0))</f>
        <v>MO</v>
      </c>
    </row>
    <row r="2214" spans="1:11" ht="15" x14ac:dyDescent="0.25">
      <c r="A2214" s="109" t="s">
        <v>4717</v>
      </c>
      <c r="B2214" s="116" t="s">
        <v>4971</v>
      </c>
      <c r="C2214" s="518" t="str">
        <f>IF(A2214&amp;B2214="","",VLOOKUP(A2214&amp;B2214,INSUMOS!C:G,2,0))</f>
        <v>Caixa de inspeção de esgoto ref. Tigre ou equivalente técnico</v>
      </c>
      <c r="D2214" s="519"/>
      <c r="E2214" s="117" t="str">
        <f>IF(A2214&amp;B2214="","",VLOOKUP(A2214&amp;B2214,INSUMOS!C:G,3,0))</f>
        <v>un</v>
      </c>
      <c r="F2214" s="118">
        <v>1</v>
      </c>
      <c r="G2214" s="113">
        <f>IF(A2214&amp;B2214="","",VLOOKUP(A2214&amp;B2214,INSUMOS!C:G,4,0))</f>
        <v>199.50020000000001</v>
      </c>
      <c r="H2214" s="119" t="str">
        <f t="shared" si="381"/>
        <v/>
      </c>
      <c r="I2214" s="119">
        <f t="shared" si="382"/>
        <v>199.5</v>
      </c>
      <c r="J2214" s="115" t="str">
        <f t="shared" si="383"/>
        <v/>
      </c>
      <c r="K2214" s="102" t="str">
        <f>IF(A2214&amp;B2214="","",VLOOKUP(A2214&amp;B2214,INSUMOS!C:G,5,0))</f>
        <v>MT</v>
      </c>
    </row>
    <row r="2215" spans="1:11" ht="15" x14ac:dyDescent="0.25">
      <c r="A2215" s="109"/>
      <c r="B2215" s="116"/>
      <c r="C2215" s="518" t="str">
        <f>IF(A2215&amp;B2215="","",VLOOKUP(A2215&amp;B2215,INSUMOS!C:G,2,0))</f>
        <v/>
      </c>
      <c r="D2215" s="519"/>
      <c r="E2215" s="117" t="str">
        <f>IF(A2215&amp;B2215="","",VLOOKUP(A2215&amp;B2215,INSUMOS!C:G,3,0))</f>
        <v/>
      </c>
      <c r="F2215" s="118"/>
      <c r="G2215" s="113" t="str">
        <f>IF(A2215&amp;B2215="","",VLOOKUP(A2215&amp;B2215,INSUMOS!C:G,4,0))</f>
        <v/>
      </c>
      <c r="H2215" s="119" t="str">
        <f t="shared" si="381"/>
        <v/>
      </c>
      <c r="I2215" s="119" t="str">
        <f t="shared" si="382"/>
        <v/>
      </c>
      <c r="J2215" s="115" t="str">
        <f t="shared" si="383"/>
        <v/>
      </c>
      <c r="K2215" s="102" t="str">
        <f>IF(A2215&amp;B2215="","",VLOOKUP(A2215&amp;B2215,INSUMOS!C:G,5,0))</f>
        <v/>
      </c>
    </row>
    <row r="2216" spans="1:11" ht="15" x14ac:dyDescent="0.25">
      <c r="A2216" s="109"/>
      <c r="B2216" s="116"/>
      <c r="C2216" s="518" t="str">
        <f>IF(A2216&amp;B2216="","",VLOOKUP(A2216&amp;B2216,INSUMOS!C:G,2,0))</f>
        <v/>
      </c>
      <c r="D2216" s="519"/>
      <c r="E2216" s="117" t="str">
        <f>IF(A2216&amp;B2216="","",VLOOKUP(A2216&amp;B2216,INSUMOS!C:G,3,0))</f>
        <v/>
      </c>
      <c r="F2216" s="118"/>
      <c r="G2216" s="113" t="str">
        <f>IF(A2216&amp;B2216="","",VLOOKUP(A2216&amp;B2216,INSUMOS!C:G,4,0))</f>
        <v/>
      </c>
      <c r="H2216" s="119" t="str">
        <f t="shared" si="381"/>
        <v/>
      </c>
      <c r="I2216" s="119" t="str">
        <f t="shared" si="382"/>
        <v/>
      </c>
      <c r="J2216" s="115" t="str">
        <f t="shared" si="383"/>
        <v/>
      </c>
      <c r="K2216" s="102" t="str">
        <f>IF(A2216&amp;B2216="","",VLOOKUP(A2216&amp;B2216,INSUMOS!C:G,5,0))</f>
        <v/>
      </c>
    </row>
    <row r="2217" spans="1:11" ht="15" x14ac:dyDescent="0.25">
      <c r="A2217" s="109"/>
      <c r="B2217" s="116"/>
      <c r="C2217" s="518" t="str">
        <f>IF(A2217&amp;B2217="","",VLOOKUP(A2217&amp;B2217,INSUMOS!C:G,2,0))</f>
        <v/>
      </c>
      <c r="D2217" s="519"/>
      <c r="E2217" s="117" t="str">
        <f>IF(A2217&amp;B2217="","",VLOOKUP(A2217&amp;B2217,INSUMOS!C:G,3,0))</f>
        <v/>
      </c>
      <c r="F2217" s="118"/>
      <c r="G2217" s="113" t="str">
        <f>IF(A2217&amp;B2217="","",VLOOKUP(A2217&amp;B2217,INSUMOS!C:G,4,0))</f>
        <v/>
      </c>
      <c r="H2217" s="119" t="str">
        <f t="shared" si="381"/>
        <v/>
      </c>
      <c r="I2217" s="119" t="str">
        <f t="shared" si="382"/>
        <v/>
      </c>
      <c r="J2217" s="115" t="str">
        <f t="shared" si="383"/>
        <v/>
      </c>
      <c r="K2217" s="102" t="str">
        <f>IF(A2217&amp;B2217="","",VLOOKUP(A2217&amp;B2217,INSUMOS!C:G,5,0))</f>
        <v/>
      </c>
    </row>
    <row r="2218" spans="1:11" ht="15" x14ac:dyDescent="0.25">
      <c r="A2218" s="109"/>
      <c r="B2218" s="116"/>
      <c r="C2218" s="518" t="str">
        <f>IF(A2218&amp;B2218="","",VLOOKUP(A2218&amp;B2218,INSUMOS!C:G,2,0))</f>
        <v/>
      </c>
      <c r="D2218" s="519"/>
      <c r="E2218" s="117" t="str">
        <f>IF(A2218&amp;B2218="","",VLOOKUP(A2218&amp;B2218,INSUMOS!C:G,3,0))</f>
        <v/>
      </c>
      <c r="F2218" s="118"/>
      <c r="G2218" s="113" t="str">
        <f>IF(A2218&amp;B2218="","",VLOOKUP(A2218&amp;B2218,INSUMOS!C:G,4,0))</f>
        <v/>
      </c>
      <c r="H2218" s="119" t="str">
        <f t="shared" si="381"/>
        <v/>
      </c>
      <c r="I2218" s="119" t="str">
        <f t="shared" si="382"/>
        <v/>
      </c>
      <c r="J2218" s="115" t="str">
        <f t="shared" si="383"/>
        <v/>
      </c>
      <c r="K2218" s="102" t="str">
        <f>IF(A2218&amp;B2218="","",VLOOKUP(A2218&amp;B2218,INSUMOS!C:G,5,0))</f>
        <v/>
      </c>
    </row>
    <row r="2219" spans="1:11" ht="15" x14ac:dyDescent="0.25">
      <c r="A2219" s="109"/>
      <c r="B2219" s="116"/>
      <c r="C2219" s="518" t="str">
        <f>IF(A2219&amp;B2219="","",VLOOKUP(A2219&amp;B2219,INSUMOS!C:G,2,0))</f>
        <v/>
      </c>
      <c r="D2219" s="519"/>
      <c r="E2219" s="117" t="str">
        <f>IF(A2219&amp;B2219="","",VLOOKUP(A2219&amp;B2219,INSUMOS!C:G,3,0))</f>
        <v/>
      </c>
      <c r="F2219" s="118"/>
      <c r="G2219" s="113" t="str">
        <f>IF(A2219&amp;B2219="","",VLOOKUP(A2219&amp;B2219,INSUMOS!C:G,4,0))</f>
        <v/>
      </c>
      <c r="H2219" s="119" t="str">
        <f t="shared" si="381"/>
        <v/>
      </c>
      <c r="I2219" s="119" t="str">
        <f t="shared" si="382"/>
        <v/>
      </c>
      <c r="J2219" s="115" t="str">
        <f t="shared" si="383"/>
        <v/>
      </c>
      <c r="K2219" s="102" t="str">
        <f>IF(A2219&amp;B2219="","",VLOOKUP(A2219&amp;B2219,INSUMOS!C:G,5,0))</f>
        <v/>
      </c>
    </row>
    <row r="2220" spans="1:11" ht="15" x14ac:dyDescent="0.25">
      <c r="A2220" s="109"/>
      <c r="B2220" s="116"/>
      <c r="C2220" s="518" t="str">
        <f>IF(A2220&amp;B2220="","",VLOOKUP(A2220&amp;B2220,INSUMOS!C:G,2,0))</f>
        <v/>
      </c>
      <c r="D2220" s="519"/>
      <c r="E2220" s="117" t="str">
        <f>IF(A2220&amp;B2220="","",VLOOKUP(A2220&amp;B2220,INSUMOS!C:G,3,0))</f>
        <v/>
      </c>
      <c r="F2220" s="118"/>
      <c r="G2220" s="113" t="str">
        <f>IF(A2220&amp;B2220="","",VLOOKUP(A2220&amp;B2220,INSUMOS!C:G,4,0))</f>
        <v/>
      </c>
      <c r="H2220" s="119" t="str">
        <f t="shared" si="381"/>
        <v/>
      </c>
      <c r="I2220" s="119" t="str">
        <f t="shared" si="382"/>
        <v/>
      </c>
      <c r="J2220" s="115" t="str">
        <f t="shared" si="383"/>
        <v/>
      </c>
      <c r="K2220" s="102" t="str">
        <f>IF(A2220&amp;B2220="","",VLOOKUP(A2220&amp;B2220,INSUMOS!C:G,5,0))</f>
        <v/>
      </c>
    </row>
    <row r="2221" spans="1:11" ht="15" x14ac:dyDescent="0.25">
      <c r="A2221" s="109"/>
      <c r="B2221" s="116"/>
      <c r="C2221" s="518" t="str">
        <f>IF(A2221&amp;B2221="","",VLOOKUP(A2221&amp;B2221,INSUMOS!C:G,2,0))</f>
        <v/>
      </c>
      <c r="D2221" s="519"/>
      <c r="E2221" s="117" t="str">
        <f>IF(A2221&amp;B2221="","",VLOOKUP(A2221&amp;B2221,INSUMOS!C:G,3,0))</f>
        <v/>
      </c>
      <c r="F2221" s="118"/>
      <c r="G2221" s="113" t="str">
        <f>IF(A2221&amp;B2221="","",VLOOKUP(A2221&amp;B2221,INSUMOS!C:G,4,0))</f>
        <v/>
      </c>
      <c r="H2221" s="119" t="str">
        <f t="shared" si="381"/>
        <v/>
      </c>
      <c r="I2221" s="119" t="str">
        <f t="shared" si="382"/>
        <v/>
      </c>
      <c r="J2221" s="115" t="str">
        <f t="shared" si="383"/>
        <v/>
      </c>
      <c r="K2221" s="102" t="str">
        <f>IF(A2221&amp;B2221="","",VLOOKUP(A2221&amp;B2221,INSUMOS!C:G,5,0))</f>
        <v/>
      </c>
    </row>
    <row r="2222" spans="1:11" ht="15" x14ac:dyDescent="0.25">
      <c r="A2222" s="120"/>
      <c r="B2222" s="121"/>
      <c r="C2222" s="518" t="str">
        <f>IF(A2222&amp;B2222="","",VLOOKUP(A2222&amp;B2222,INSUMOS!C:G,2,0))</f>
        <v/>
      </c>
      <c r="D2222" s="519"/>
      <c r="E2222" s="117" t="str">
        <f>IF(A2222&amp;B2222="","",VLOOKUP(A2222&amp;B2222,INSUMOS!C:G,3,0))</f>
        <v/>
      </c>
      <c r="F2222" s="118"/>
      <c r="G2222" s="122" t="str">
        <f>IF(A2222&amp;B2222="","",VLOOKUP(A2222&amp;B2222,INSUMOS!C:G,4,0))</f>
        <v/>
      </c>
      <c r="H2222" s="119" t="str">
        <f t="shared" si="381"/>
        <v/>
      </c>
      <c r="I2222" s="119" t="str">
        <f t="shared" si="382"/>
        <v/>
      </c>
      <c r="J2222" s="115" t="str">
        <f t="shared" si="383"/>
        <v/>
      </c>
      <c r="K2222" s="102" t="str">
        <f>IF(A2222&amp;B2222="","",VLOOKUP(A2222&amp;B2222,INSUMOS!C:G,5,0))</f>
        <v/>
      </c>
    </row>
    <row r="2223" spans="1:11" ht="15" x14ac:dyDescent="0.25">
      <c r="A2223" s="120"/>
      <c r="B2223" s="121"/>
      <c r="C2223" s="518" t="str">
        <f>IF(A2223&amp;B2223="","",VLOOKUP(A2223&amp;B2223,INSUMOS!C:G,2,0))</f>
        <v/>
      </c>
      <c r="D2223" s="519"/>
      <c r="E2223" s="117" t="str">
        <f>IF(A2223&amp;B2223="","",VLOOKUP(A2223&amp;B2223,INSUMOS!C:G,3,0))</f>
        <v/>
      </c>
      <c r="F2223" s="118"/>
      <c r="G2223" s="122" t="str">
        <f>IF(A2223&amp;B2223="","",VLOOKUP(A2223&amp;B2223,INSUMOS!C:G,4,0))</f>
        <v/>
      </c>
      <c r="H2223" s="119" t="str">
        <f t="shared" si="381"/>
        <v/>
      </c>
      <c r="I2223" s="119" t="str">
        <f t="shared" si="382"/>
        <v/>
      </c>
      <c r="J2223" s="115" t="str">
        <f t="shared" si="383"/>
        <v/>
      </c>
      <c r="K2223" s="102" t="str">
        <f>IF(A2223&amp;B2223="","",VLOOKUP(A2223&amp;B2223,INSUMOS!C:G,5,0))</f>
        <v/>
      </c>
    </row>
    <row r="2224" spans="1:11" ht="15" x14ac:dyDescent="0.25">
      <c r="A2224" s="120"/>
      <c r="B2224" s="121"/>
      <c r="C2224" s="518" t="str">
        <f>IF(A2224&amp;B2224="","",VLOOKUP(A2224&amp;B2224,INSUMOS!C:G,2,0))</f>
        <v/>
      </c>
      <c r="D2224" s="519"/>
      <c r="E2224" s="117" t="str">
        <f>IF(A2224&amp;B2224="","",VLOOKUP(A2224&amp;B2224,INSUMOS!C:G,3,0))</f>
        <v/>
      </c>
      <c r="F2224" s="118"/>
      <c r="G2224" s="122" t="str">
        <f>IF(A2224&amp;B2224="","",VLOOKUP(A2224&amp;B2224,INSUMOS!C:G,4,0))</f>
        <v/>
      </c>
      <c r="H2224" s="119" t="str">
        <f t="shared" si="381"/>
        <v/>
      </c>
      <c r="I2224" s="119" t="str">
        <f t="shared" si="382"/>
        <v/>
      </c>
      <c r="J2224" s="115" t="str">
        <f t="shared" si="383"/>
        <v/>
      </c>
      <c r="K2224" s="102" t="str">
        <f>IF(A2224&amp;B2224="","",VLOOKUP(A2224&amp;B2224,INSUMOS!C:G,5,0))</f>
        <v/>
      </c>
    </row>
    <row r="2225" spans="1:17" ht="15" x14ac:dyDescent="0.25">
      <c r="A2225" s="123" t="s">
        <v>4399</v>
      </c>
      <c r="B2225" s="542"/>
      <c r="C2225" s="542"/>
      <c r="D2225" s="542"/>
      <c r="E2225" s="542"/>
      <c r="F2225" s="543"/>
      <c r="G2225" s="124" t="s">
        <v>50</v>
      </c>
      <c r="H2225" s="125">
        <f>SUM(H2212:H2224)</f>
        <v>55.78</v>
      </c>
      <c r="I2225" s="125">
        <f>SUM(I2212:I2224)</f>
        <v>199.5</v>
      </c>
      <c r="J2225" s="126">
        <f>SUM(J2212:J2224)</f>
        <v>0</v>
      </c>
    </row>
    <row r="2226" spans="1:17" ht="15" x14ac:dyDescent="0.25">
      <c r="A2226" s="127" t="s">
        <v>4400</v>
      </c>
      <c r="B2226" s="128"/>
      <c r="C2226" s="128"/>
      <c r="D2226" s="127" t="s">
        <v>51</v>
      </c>
      <c r="E2226" s="128"/>
      <c r="F2226" s="129"/>
      <c r="G2226" s="130" t="s">
        <v>55</v>
      </c>
      <c r="H2226" s="131" t="s">
        <v>52</v>
      </c>
      <c r="I2226" s="132"/>
      <c r="J2226" s="125">
        <f>SUM(H2225:J2225)</f>
        <v>255.28</v>
      </c>
    </row>
    <row r="2227" spans="1:17" ht="15" x14ac:dyDescent="0.25">
      <c r="A2227" s="313" t="str">
        <f>$I$3</f>
        <v>Carlos Wieck</v>
      </c>
      <c r="B2227" s="133"/>
      <c r="C2227" s="133"/>
      <c r="D2227" s="134"/>
      <c r="E2227" s="133"/>
      <c r="F2227" s="135"/>
      <c r="G2227" s="522">
        <f>$J$5</f>
        <v>43040</v>
      </c>
      <c r="H2227" s="136" t="s">
        <v>53</v>
      </c>
      <c r="I2227" s="137"/>
      <c r="J2227" s="125">
        <f>TRUNC(I2227*J2226,2)</f>
        <v>0</v>
      </c>
    </row>
    <row r="2228" spans="1:17" ht="15" x14ac:dyDescent="0.25">
      <c r="A2228" s="314"/>
      <c r="B2228" s="139"/>
      <c r="C2228" s="139"/>
      <c r="D2228" s="138"/>
      <c r="E2228" s="139"/>
      <c r="F2228" s="140"/>
      <c r="G2228" s="523"/>
      <c r="H2228" s="141" t="s">
        <v>54</v>
      </c>
      <c r="I2228" s="142"/>
      <c r="J2228" s="143">
        <f>J2227+J2226</f>
        <v>255.28</v>
      </c>
      <c r="L2228" s="102" t="str">
        <f>A2209</f>
        <v>COMPOSIÇÃO</v>
      </c>
      <c r="M2228" s="144" t="str">
        <f>B2209</f>
        <v>FF-094</v>
      </c>
      <c r="N2228" s="102" t="str">
        <f>L2228&amp;M2228</f>
        <v>COMPOSIÇÃOFF-094</v>
      </c>
      <c r="O2228" s="103" t="str">
        <f>D2208</f>
        <v>Caixa de inspeção de esgoto ref. Tigre ou equivalente técnico</v>
      </c>
      <c r="P2228" s="145" t="str">
        <f>J2209</f>
        <v>un</v>
      </c>
      <c r="Q2228" s="145">
        <f>J2228</f>
        <v>255.28</v>
      </c>
    </row>
    <row r="2229" spans="1:17" ht="15" customHeight="1" x14ac:dyDescent="0.25">
      <c r="A2229" s="524" t="s">
        <v>40</v>
      </c>
      <c r="B2229" s="525"/>
      <c r="C2229" s="104" t="s">
        <v>41</v>
      </c>
      <c r="D2229" s="526" t="str">
        <f>IF(B2230="","",VLOOKUP(B2230,SERVIÇOS!B:E,3,0))</f>
        <v>Joelho 90 graus de PVC série R diam. 100mm, fornecimento e instalação</v>
      </c>
      <c r="E2229" s="526"/>
      <c r="F2229" s="526"/>
      <c r="G2229" s="526"/>
      <c r="H2229" s="526"/>
      <c r="I2229" s="527"/>
      <c r="J2229" s="105" t="s">
        <v>42</v>
      </c>
    </row>
    <row r="2230" spans="1:17" ht="15" x14ac:dyDescent="0.25">
      <c r="A2230" s="230" t="s">
        <v>4715</v>
      </c>
      <c r="B2230" s="230" t="s">
        <v>5248</v>
      </c>
      <c r="C2230" s="106"/>
      <c r="D2230" s="528"/>
      <c r="E2230" s="528"/>
      <c r="F2230" s="528"/>
      <c r="G2230" s="528"/>
      <c r="H2230" s="528"/>
      <c r="I2230" s="529"/>
      <c r="J2230" s="107" t="str">
        <f>IF(B2230="","",VLOOKUP(B2230,SERVIÇOS!B:E,4,0))</f>
        <v>un</v>
      </c>
    </row>
    <row r="2231" spans="1:17" ht="15" x14ac:dyDescent="0.25">
      <c r="A2231" s="530" t="s">
        <v>4397</v>
      </c>
      <c r="B2231" s="531" t="s">
        <v>11</v>
      </c>
      <c r="C2231" s="533" t="s">
        <v>43</v>
      </c>
      <c r="D2231" s="534"/>
      <c r="E2231" s="530" t="s">
        <v>13</v>
      </c>
      <c r="F2231" s="530" t="s">
        <v>44</v>
      </c>
      <c r="G2231" s="538" t="s">
        <v>45</v>
      </c>
      <c r="H2231" s="108" t="s">
        <v>46</v>
      </c>
      <c r="I2231" s="108"/>
      <c r="J2231" s="108"/>
    </row>
    <row r="2232" spans="1:17" ht="15" x14ac:dyDescent="0.25">
      <c r="A2232" s="530"/>
      <c r="B2232" s="532"/>
      <c r="C2232" s="535"/>
      <c r="D2232" s="536"/>
      <c r="E2232" s="537"/>
      <c r="F2232" s="537"/>
      <c r="G2232" s="539"/>
      <c r="H2232" s="108" t="s">
        <v>47</v>
      </c>
      <c r="I2232" s="108" t="s">
        <v>48</v>
      </c>
      <c r="J2232" s="108" t="s">
        <v>49</v>
      </c>
    </row>
    <row r="2233" spans="1:17" ht="15" x14ac:dyDescent="0.25">
      <c r="A2233" s="109" t="s">
        <v>4398</v>
      </c>
      <c r="B2233" s="110">
        <v>10119</v>
      </c>
      <c r="C2233" s="540" t="str">
        <f>IF(A2233&amp;B2233="","",VLOOKUP(A2233&amp;B2233,INSUMOS!C:G,2,0))</f>
        <v>Ajudante de encanador</v>
      </c>
      <c r="D2233" s="541"/>
      <c r="E2233" s="111" t="str">
        <f>IF(A2233&amp;B2233="","",VLOOKUP(A2233&amp;B2233,INSUMOS!C:G,3,0))</f>
        <v>h</v>
      </c>
      <c r="F2233" s="112">
        <v>0.14000000000000001</v>
      </c>
      <c r="G2233" s="113">
        <f>IF(A2233&amp;B2233="","",VLOOKUP(A2233&amp;B2233,INSUMOS!C:G,4,0))</f>
        <v>10.985028</v>
      </c>
      <c r="H2233" s="114">
        <f>IF(K2233="MO",TRUNC(F2233*G2233,2),"")</f>
        <v>1.53</v>
      </c>
      <c r="I2233" s="114" t="str">
        <f>IF(K2233="MT",TRUNC(F2233*G2233,2),"")</f>
        <v/>
      </c>
      <c r="J2233" s="115" t="str">
        <f>IF(K2233="EQ",TRUNC(F2233*G2233,2),"")</f>
        <v/>
      </c>
      <c r="K2233" s="102" t="str">
        <f>IF(A2233&amp;B2233="","",VLOOKUP(A2233&amp;B2233,INSUMOS!C:G,5,0))</f>
        <v>MO</v>
      </c>
    </row>
    <row r="2234" spans="1:17" ht="15" x14ac:dyDescent="0.25">
      <c r="A2234" s="109" t="s">
        <v>4398</v>
      </c>
      <c r="B2234" s="116">
        <v>10118</v>
      </c>
      <c r="C2234" s="518" t="str">
        <f>IF(A2234&amp;B2234="","",VLOOKUP(A2234&amp;B2234,INSUMOS!C:G,2,0))</f>
        <v xml:space="preserve">Encanador </v>
      </c>
      <c r="D2234" s="519"/>
      <c r="E2234" s="117" t="str">
        <f>IF(A2234&amp;B2234="","",VLOOKUP(A2234&amp;B2234,INSUMOS!C:G,3,0))</f>
        <v>h</v>
      </c>
      <c r="F2234" s="118">
        <v>0.14000000000000001</v>
      </c>
      <c r="G2234" s="113">
        <f>IF(A2234&amp;B2234="","",VLOOKUP(A2234&amp;B2234,INSUMOS!C:G,4,0))</f>
        <v>16.906036</v>
      </c>
      <c r="H2234" s="119">
        <f t="shared" ref="H2234:H2245" si="384">IF(K2234="MO",TRUNC(F2234*G2234,2),"")</f>
        <v>2.36</v>
      </c>
      <c r="I2234" s="119" t="str">
        <f t="shared" ref="I2234:I2245" si="385">IF(K2234="MT",TRUNC(F2234*G2234,2),"")</f>
        <v/>
      </c>
      <c r="J2234" s="115" t="str">
        <f t="shared" ref="J2234:J2245" si="386">IF(K2234="EQ",TRUNC(F2234*G2234,2),"")</f>
        <v/>
      </c>
      <c r="K2234" s="102" t="str">
        <f>IF(A2234&amp;B2234="","",VLOOKUP(A2234&amp;B2234,INSUMOS!C:G,5,0))</f>
        <v>MO</v>
      </c>
    </row>
    <row r="2235" spans="1:17" ht="15" x14ac:dyDescent="0.25">
      <c r="A2235" s="109" t="s">
        <v>4810</v>
      </c>
      <c r="B2235" s="116">
        <v>301</v>
      </c>
      <c r="C2235" s="518" t="str">
        <f>IF(A2235&amp;B2235="","",VLOOKUP(A2235&amp;B2235,INSUMOS!C:G,2,0))</f>
        <v>Anel de borracha para tubo de esgoto predial, DN 100 mm (NBR 5688)</v>
      </c>
      <c r="D2235" s="519"/>
      <c r="E2235" s="117" t="str">
        <f>IF(A2235&amp;B2235="","",VLOOKUP(A2235&amp;B2235,INSUMOS!C:G,3,0))</f>
        <v>un</v>
      </c>
      <c r="F2235" s="118">
        <v>1</v>
      </c>
      <c r="G2235" s="113">
        <f>IF(A2235&amp;B2235="","",VLOOKUP(A2235&amp;B2235,INSUMOS!C:G,4,0))</f>
        <v>1.48</v>
      </c>
      <c r="H2235" s="119" t="str">
        <f t="shared" si="384"/>
        <v/>
      </c>
      <c r="I2235" s="119">
        <f t="shared" si="385"/>
        <v>1.48</v>
      </c>
      <c r="J2235" s="115" t="str">
        <f t="shared" si="386"/>
        <v/>
      </c>
      <c r="K2235" s="102" t="str">
        <f>IF(A2235&amp;B2235="","",VLOOKUP(A2235&amp;B2235,INSUMOS!C:G,5,0))</f>
        <v>MT</v>
      </c>
    </row>
    <row r="2236" spans="1:17" ht="15" x14ac:dyDescent="0.25">
      <c r="A2236" s="109" t="s">
        <v>4810</v>
      </c>
      <c r="B2236" s="116">
        <v>20078</v>
      </c>
      <c r="C2236" s="518" t="str">
        <f>IF(A2236&amp;B2236="","",VLOOKUP(A2236&amp;B2236,INSUMOS!C:G,2,0))</f>
        <v>Pasta lubrificante para uso em tubos de PVC com anel de borracha (pote de 400G)</v>
      </c>
      <c r="D2236" s="519"/>
      <c r="E2236" s="117" t="str">
        <f>IF(A2236&amp;B2236="","",VLOOKUP(A2236&amp;B2236,INSUMOS!C:G,3,0))</f>
        <v>un</v>
      </c>
      <c r="F2236" s="118">
        <v>4.5999999999999999E-2</v>
      </c>
      <c r="G2236" s="113">
        <f>IF(A2236&amp;B2236="","",VLOOKUP(A2236&amp;B2236,INSUMOS!C:G,4,0))</f>
        <v>13.33</v>
      </c>
      <c r="H2236" s="119" t="str">
        <f t="shared" si="384"/>
        <v/>
      </c>
      <c r="I2236" s="119">
        <f t="shared" si="385"/>
        <v>0.61</v>
      </c>
      <c r="J2236" s="115" t="str">
        <f t="shared" si="386"/>
        <v/>
      </c>
      <c r="K2236" s="102" t="str">
        <f>IF(A2236&amp;B2236="","",VLOOKUP(A2236&amp;B2236,INSUMOS!C:G,5,0))</f>
        <v>MT</v>
      </c>
    </row>
    <row r="2237" spans="1:17" ht="15" x14ac:dyDescent="0.25">
      <c r="A2237" s="109" t="s">
        <v>4810</v>
      </c>
      <c r="B2237" s="116">
        <v>20157</v>
      </c>
      <c r="C2237" s="518" t="str">
        <f>IF(A2237&amp;B2237="","",VLOOKUP(A2237&amp;B2237,INSUMOS!C:G,2,0))</f>
        <v>Joelho PVC série R p/ Esgoto Predial 90G DN 100 MM</v>
      </c>
      <c r="D2237" s="519"/>
      <c r="E2237" s="117" t="str">
        <f>IF(A2237&amp;B2237="","",VLOOKUP(A2237&amp;B2237,INSUMOS!C:G,3,0))</f>
        <v>un</v>
      </c>
      <c r="F2237" s="118">
        <v>1</v>
      </c>
      <c r="G2237" s="113">
        <f>IF(A2237&amp;B2237="","",VLOOKUP(A2237&amp;B2237,INSUMOS!C:G,4,0))</f>
        <v>23.43</v>
      </c>
      <c r="H2237" s="119" t="str">
        <f t="shared" si="384"/>
        <v/>
      </c>
      <c r="I2237" s="119">
        <f t="shared" si="385"/>
        <v>23.43</v>
      </c>
      <c r="J2237" s="115" t="str">
        <f t="shared" si="386"/>
        <v/>
      </c>
      <c r="K2237" s="102" t="str">
        <f>IF(A2237&amp;B2237="","",VLOOKUP(A2237&amp;B2237,INSUMOS!C:G,5,0))</f>
        <v>MT</v>
      </c>
    </row>
    <row r="2238" spans="1:17" ht="15" x14ac:dyDescent="0.25">
      <c r="A2238" s="109"/>
      <c r="B2238" s="116"/>
      <c r="C2238" s="518" t="str">
        <f>IF(A2238&amp;B2238="","",VLOOKUP(A2238&amp;B2238,INSUMOS!C:G,2,0))</f>
        <v/>
      </c>
      <c r="D2238" s="519"/>
      <c r="E2238" s="117" t="str">
        <f>IF(A2238&amp;B2238="","",VLOOKUP(A2238&amp;B2238,INSUMOS!C:G,3,0))</f>
        <v/>
      </c>
      <c r="F2238" s="118"/>
      <c r="G2238" s="113" t="str">
        <f>IF(A2238&amp;B2238="","",VLOOKUP(A2238&amp;B2238,INSUMOS!C:G,4,0))</f>
        <v/>
      </c>
      <c r="H2238" s="119" t="str">
        <f t="shared" si="384"/>
        <v/>
      </c>
      <c r="I2238" s="119" t="str">
        <f t="shared" si="385"/>
        <v/>
      </c>
      <c r="J2238" s="115" t="str">
        <f t="shared" si="386"/>
        <v/>
      </c>
      <c r="K2238" s="102" t="str">
        <f>IF(A2238&amp;B2238="","",VLOOKUP(A2238&amp;B2238,INSUMOS!C:G,5,0))</f>
        <v/>
      </c>
    </row>
    <row r="2239" spans="1:17" ht="15" x14ac:dyDescent="0.25">
      <c r="A2239" s="109"/>
      <c r="B2239" s="116"/>
      <c r="C2239" s="518" t="str">
        <f>IF(A2239&amp;B2239="","",VLOOKUP(A2239&amp;B2239,INSUMOS!C:G,2,0))</f>
        <v/>
      </c>
      <c r="D2239" s="519"/>
      <c r="E2239" s="117" t="str">
        <f>IF(A2239&amp;B2239="","",VLOOKUP(A2239&amp;B2239,INSUMOS!C:G,3,0))</f>
        <v/>
      </c>
      <c r="F2239" s="118"/>
      <c r="G2239" s="113" t="str">
        <f>IF(A2239&amp;B2239="","",VLOOKUP(A2239&amp;B2239,INSUMOS!C:G,4,0))</f>
        <v/>
      </c>
      <c r="H2239" s="119" t="str">
        <f t="shared" si="384"/>
        <v/>
      </c>
      <c r="I2239" s="119" t="str">
        <f t="shared" si="385"/>
        <v/>
      </c>
      <c r="J2239" s="115" t="str">
        <f t="shared" si="386"/>
        <v/>
      </c>
      <c r="K2239" s="102" t="str">
        <f>IF(A2239&amp;B2239="","",VLOOKUP(A2239&amp;B2239,INSUMOS!C:G,5,0))</f>
        <v/>
      </c>
    </row>
    <row r="2240" spans="1:17" ht="15" x14ac:dyDescent="0.25">
      <c r="A2240" s="109"/>
      <c r="B2240" s="116"/>
      <c r="C2240" s="518" t="str">
        <f>IF(A2240&amp;B2240="","",VLOOKUP(A2240&amp;B2240,INSUMOS!C:G,2,0))</f>
        <v/>
      </c>
      <c r="D2240" s="519"/>
      <c r="E2240" s="117" t="str">
        <f>IF(A2240&amp;B2240="","",VLOOKUP(A2240&amp;B2240,INSUMOS!C:G,3,0))</f>
        <v/>
      </c>
      <c r="F2240" s="118"/>
      <c r="G2240" s="113" t="str">
        <f>IF(A2240&amp;B2240="","",VLOOKUP(A2240&amp;B2240,INSUMOS!C:G,4,0))</f>
        <v/>
      </c>
      <c r="H2240" s="119" t="str">
        <f t="shared" si="384"/>
        <v/>
      </c>
      <c r="I2240" s="119" t="str">
        <f t="shared" si="385"/>
        <v/>
      </c>
      <c r="J2240" s="115" t="str">
        <f t="shared" si="386"/>
        <v/>
      </c>
      <c r="K2240" s="102" t="str">
        <f>IF(A2240&amp;B2240="","",VLOOKUP(A2240&amp;B2240,INSUMOS!C:G,5,0))</f>
        <v/>
      </c>
    </row>
    <row r="2241" spans="1:17" ht="15" x14ac:dyDescent="0.25">
      <c r="A2241" s="109"/>
      <c r="B2241" s="116"/>
      <c r="C2241" s="518" t="str">
        <f>IF(A2241&amp;B2241="","",VLOOKUP(A2241&amp;B2241,INSUMOS!C:G,2,0))</f>
        <v/>
      </c>
      <c r="D2241" s="519"/>
      <c r="E2241" s="117" t="str">
        <f>IF(A2241&amp;B2241="","",VLOOKUP(A2241&amp;B2241,INSUMOS!C:G,3,0))</f>
        <v/>
      </c>
      <c r="F2241" s="118"/>
      <c r="G2241" s="113" t="str">
        <f>IF(A2241&amp;B2241="","",VLOOKUP(A2241&amp;B2241,INSUMOS!C:G,4,0))</f>
        <v/>
      </c>
      <c r="H2241" s="119" t="str">
        <f t="shared" si="384"/>
        <v/>
      </c>
      <c r="I2241" s="119" t="str">
        <f t="shared" si="385"/>
        <v/>
      </c>
      <c r="J2241" s="115" t="str">
        <f t="shared" si="386"/>
        <v/>
      </c>
      <c r="K2241" s="102" t="str">
        <f>IF(A2241&amp;B2241="","",VLOOKUP(A2241&amp;B2241,INSUMOS!C:G,5,0))</f>
        <v/>
      </c>
    </row>
    <row r="2242" spans="1:17" ht="15" x14ac:dyDescent="0.25">
      <c r="A2242" s="109"/>
      <c r="B2242" s="116"/>
      <c r="C2242" s="518" t="str">
        <f>IF(A2242&amp;B2242="","",VLOOKUP(A2242&amp;B2242,INSUMOS!C:G,2,0))</f>
        <v/>
      </c>
      <c r="D2242" s="519"/>
      <c r="E2242" s="117" t="str">
        <f>IF(A2242&amp;B2242="","",VLOOKUP(A2242&amp;B2242,INSUMOS!C:G,3,0))</f>
        <v/>
      </c>
      <c r="F2242" s="118"/>
      <c r="G2242" s="113" t="str">
        <f>IF(A2242&amp;B2242="","",VLOOKUP(A2242&amp;B2242,INSUMOS!C:G,4,0))</f>
        <v/>
      </c>
      <c r="H2242" s="119" t="str">
        <f t="shared" si="384"/>
        <v/>
      </c>
      <c r="I2242" s="119" t="str">
        <f t="shared" si="385"/>
        <v/>
      </c>
      <c r="J2242" s="115" t="str">
        <f t="shared" si="386"/>
        <v/>
      </c>
      <c r="K2242" s="102" t="str">
        <f>IF(A2242&amp;B2242="","",VLOOKUP(A2242&amp;B2242,INSUMOS!C:G,5,0))</f>
        <v/>
      </c>
    </row>
    <row r="2243" spans="1:17" ht="15" x14ac:dyDescent="0.25">
      <c r="A2243" s="120"/>
      <c r="B2243" s="121"/>
      <c r="C2243" s="518" t="str">
        <f>IF(A2243&amp;B2243="","",VLOOKUP(A2243&amp;B2243,INSUMOS!C:G,2,0))</f>
        <v/>
      </c>
      <c r="D2243" s="519"/>
      <c r="E2243" s="117" t="str">
        <f>IF(A2243&amp;B2243="","",VLOOKUP(A2243&amp;B2243,INSUMOS!C:G,3,0))</f>
        <v/>
      </c>
      <c r="F2243" s="118"/>
      <c r="G2243" s="122" t="str">
        <f>IF(A2243&amp;B2243="","",VLOOKUP(A2243&amp;B2243,INSUMOS!C:G,4,0))</f>
        <v/>
      </c>
      <c r="H2243" s="119" t="str">
        <f t="shared" si="384"/>
        <v/>
      </c>
      <c r="I2243" s="119" t="str">
        <f t="shared" si="385"/>
        <v/>
      </c>
      <c r="J2243" s="115" t="str">
        <f t="shared" si="386"/>
        <v/>
      </c>
      <c r="K2243" s="102" t="str">
        <f>IF(A2243&amp;B2243="","",VLOOKUP(A2243&amp;B2243,INSUMOS!C:G,5,0))</f>
        <v/>
      </c>
    </row>
    <row r="2244" spans="1:17" ht="15" x14ac:dyDescent="0.25">
      <c r="A2244" s="120"/>
      <c r="B2244" s="121"/>
      <c r="C2244" s="518" t="str">
        <f>IF(A2244&amp;B2244="","",VLOOKUP(A2244&amp;B2244,INSUMOS!C:G,2,0))</f>
        <v/>
      </c>
      <c r="D2244" s="519"/>
      <c r="E2244" s="117" t="str">
        <f>IF(A2244&amp;B2244="","",VLOOKUP(A2244&amp;B2244,INSUMOS!C:G,3,0))</f>
        <v/>
      </c>
      <c r="F2244" s="118"/>
      <c r="G2244" s="122" t="str">
        <f>IF(A2244&amp;B2244="","",VLOOKUP(A2244&amp;B2244,INSUMOS!C:G,4,0))</f>
        <v/>
      </c>
      <c r="H2244" s="119" t="str">
        <f t="shared" si="384"/>
        <v/>
      </c>
      <c r="I2244" s="119" t="str">
        <f t="shared" si="385"/>
        <v/>
      </c>
      <c r="J2244" s="115" t="str">
        <f t="shared" si="386"/>
        <v/>
      </c>
      <c r="K2244" s="102" t="str">
        <f>IF(A2244&amp;B2244="","",VLOOKUP(A2244&amp;B2244,INSUMOS!C:G,5,0))</f>
        <v/>
      </c>
    </row>
    <row r="2245" spans="1:17" ht="15" x14ac:dyDescent="0.25">
      <c r="A2245" s="120"/>
      <c r="B2245" s="121"/>
      <c r="C2245" s="518" t="str">
        <f>IF(A2245&amp;B2245="","",VLOOKUP(A2245&amp;B2245,INSUMOS!C:G,2,0))</f>
        <v/>
      </c>
      <c r="D2245" s="519"/>
      <c r="E2245" s="117" t="str">
        <f>IF(A2245&amp;B2245="","",VLOOKUP(A2245&amp;B2245,INSUMOS!C:G,3,0))</f>
        <v/>
      </c>
      <c r="F2245" s="118"/>
      <c r="G2245" s="122" t="str">
        <f>IF(A2245&amp;B2245="","",VLOOKUP(A2245&amp;B2245,INSUMOS!C:G,4,0))</f>
        <v/>
      </c>
      <c r="H2245" s="119" t="str">
        <f t="shared" si="384"/>
        <v/>
      </c>
      <c r="I2245" s="119" t="str">
        <f t="shared" si="385"/>
        <v/>
      </c>
      <c r="J2245" s="115" t="str">
        <f t="shared" si="386"/>
        <v/>
      </c>
      <c r="K2245" s="102" t="str">
        <f>IF(A2245&amp;B2245="","",VLOOKUP(A2245&amp;B2245,INSUMOS!C:G,5,0))</f>
        <v/>
      </c>
    </row>
    <row r="2246" spans="1:17" ht="15" x14ac:dyDescent="0.25">
      <c r="A2246" s="123" t="s">
        <v>4399</v>
      </c>
      <c r="B2246" s="542" t="s">
        <v>5308</v>
      </c>
      <c r="C2246" s="542"/>
      <c r="D2246" s="542"/>
      <c r="E2246" s="542"/>
      <c r="F2246" s="543"/>
      <c r="G2246" s="124" t="s">
        <v>50</v>
      </c>
      <c r="H2246" s="125">
        <f>SUM(H2233:H2245)</f>
        <v>3.8899999999999997</v>
      </c>
      <c r="I2246" s="125">
        <f>SUM(I2233:I2245)</f>
        <v>25.52</v>
      </c>
      <c r="J2246" s="126">
        <f>SUM(J2233:J2245)</f>
        <v>0</v>
      </c>
    </row>
    <row r="2247" spans="1:17" ht="15" x14ac:dyDescent="0.25">
      <c r="A2247" s="127" t="s">
        <v>4400</v>
      </c>
      <c r="B2247" s="128"/>
      <c r="C2247" s="128"/>
      <c r="D2247" s="127" t="s">
        <v>51</v>
      </c>
      <c r="E2247" s="128"/>
      <c r="F2247" s="129"/>
      <c r="G2247" s="130" t="s">
        <v>55</v>
      </c>
      <c r="H2247" s="131" t="s">
        <v>52</v>
      </c>
      <c r="I2247" s="132"/>
      <c r="J2247" s="125">
        <f>SUM(H2246:J2246)</f>
        <v>29.41</v>
      </c>
    </row>
    <row r="2248" spans="1:17" ht="15" x14ac:dyDescent="0.25">
      <c r="A2248" s="313" t="str">
        <f>$I$3</f>
        <v>Carlos Wieck</v>
      </c>
      <c r="B2248" s="133"/>
      <c r="C2248" s="133"/>
      <c r="D2248" s="134"/>
      <c r="E2248" s="133"/>
      <c r="F2248" s="135"/>
      <c r="G2248" s="522">
        <f>$J$5</f>
        <v>43040</v>
      </c>
      <c r="H2248" s="136" t="s">
        <v>53</v>
      </c>
      <c r="I2248" s="137"/>
      <c r="J2248" s="125">
        <f>TRUNC(I2248*J2247,2)</f>
        <v>0</v>
      </c>
    </row>
    <row r="2249" spans="1:17" ht="15" x14ac:dyDescent="0.25">
      <c r="A2249" s="314"/>
      <c r="B2249" s="139"/>
      <c r="C2249" s="139"/>
      <c r="D2249" s="138"/>
      <c r="E2249" s="139"/>
      <c r="F2249" s="140"/>
      <c r="G2249" s="523"/>
      <c r="H2249" s="141" t="s">
        <v>54</v>
      </c>
      <c r="I2249" s="142"/>
      <c r="J2249" s="143">
        <f>J2248+J2247</f>
        <v>29.41</v>
      </c>
      <c r="L2249" s="102" t="str">
        <f>A2230</f>
        <v>COMPOSIÇÃO</v>
      </c>
      <c r="M2249" s="144" t="str">
        <f>B2230</f>
        <v>FF-095</v>
      </c>
      <c r="N2249" s="102" t="str">
        <f>L2249&amp;M2249</f>
        <v>COMPOSIÇÃOFF-095</v>
      </c>
      <c r="O2249" s="103" t="str">
        <f>D2229</f>
        <v>Joelho 90 graus de PVC série R diam. 100mm, fornecimento e instalação</v>
      </c>
      <c r="P2249" s="145" t="str">
        <f>J2230</f>
        <v>un</v>
      </c>
      <c r="Q2249" s="145">
        <f>J2249</f>
        <v>29.41</v>
      </c>
    </row>
    <row r="2250" spans="1:17" ht="15" customHeight="1" x14ac:dyDescent="0.25">
      <c r="A2250" s="524" t="s">
        <v>40</v>
      </c>
      <c r="B2250" s="525"/>
      <c r="C2250" s="104" t="s">
        <v>41</v>
      </c>
      <c r="D2250" s="526" t="str">
        <f>IF(B2251="","",VLOOKUP(B2251,SERVIÇOS!B:E,3,0))</f>
        <v>Joelho 90 graus de PVC série R diam. 50mm, fornecimento e instalação</v>
      </c>
      <c r="E2250" s="526"/>
      <c r="F2250" s="526"/>
      <c r="G2250" s="526"/>
      <c r="H2250" s="526"/>
      <c r="I2250" s="527"/>
      <c r="J2250" s="105" t="s">
        <v>42</v>
      </c>
    </row>
    <row r="2251" spans="1:17" ht="15" x14ac:dyDescent="0.25">
      <c r="A2251" s="230" t="s">
        <v>4715</v>
      </c>
      <c r="B2251" s="230" t="s">
        <v>5249</v>
      </c>
      <c r="C2251" s="106"/>
      <c r="D2251" s="528"/>
      <c r="E2251" s="528"/>
      <c r="F2251" s="528"/>
      <c r="G2251" s="528"/>
      <c r="H2251" s="528"/>
      <c r="I2251" s="529"/>
      <c r="J2251" s="107" t="str">
        <f>IF(B2251="","",VLOOKUP(B2251,SERVIÇOS!B:E,4,0))</f>
        <v>un</v>
      </c>
    </row>
    <row r="2252" spans="1:17" ht="15" x14ac:dyDescent="0.25">
      <c r="A2252" s="530" t="s">
        <v>4397</v>
      </c>
      <c r="B2252" s="531" t="s">
        <v>11</v>
      </c>
      <c r="C2252" s="533" t="s">
        <v>43</v>
      </c>
      <c r="D2252" s="534"/>
      <c r="E2252" s="530" t="s">
        <v>13</v>
      </c>
      <c r="F2252" s="530" t="s">
        <v>44</v>
      </c>
      <c r="G2252" s="538" t="s">
        <v>45</v>
      </c>
      <c r="H2252" s="108" t="s">
        <v>46</v>
      </c>
      <c r="I2252" s="108"/>
      <c r="J2252" s="108"/>
    </row>
    <row r="2253" spans="1:17" ht="15" x14ac:dyDescent="0.25">
      <c r="A2253" s="530"/>
      <c r="B2253" s="532"/>
      <c r="C2253" s="535"/>
      <c r="D2253" s="536"/>
      <c r="E2253" s="537"/>
      <c r="F2253" s="537"/>
      <c r="G2253" s="539"/>
      <c r="H2253" s="108" t="s">
        <v>47</v>
      </c>
      <c r="I2253" s="108" t="s">
        <v>48</v>
      </c>
      <c r="J2253" s="108" t="s">
        <v>49</v>
      </c>
    </row>
    <row r="2254" spans="1:17" ht="15" x14ac:dyDescent="0.25">
      <c r="A2254" s="109" t="s">
        <v>4398</v>
      </c>
      <c r="B2254" s="110">
        <v>10119</v>
      </c>
      <c r="C2254" s="540" t="str">
        <f>IF(A2254&amp;B2254="","",VLOOKUP(A2254&amp;B2254,INSUMOS!C:G,2,0))</f>
        <v>Ajudante de encanador</v>
      </c>
      <c r="D2254" s="541"/>
      <c r="E2254" s="111" t="str">
        <f>IF(A2254&amp;B2254="","",VLOOKUP(A2254&amp;B2254,INSUMOS!C:G,3,0))</f>
        <v>h</v>
      </c>
      <c r="F2254" s="112">
        <v>6.5000000000000002E-2</v>
      </c>
      <c r="G2254" s="113">
        <f>IF(A2254&amp;B2254="","",VLOOKUP(A2254&amp;B2254,INSUMOS!C:G,4,0))</f>
        <v>10.985028</v>
      </c>
      <c r="H2254" s="114">
        <f>IF(K2254="MO",TRUNC(F2254*G2254,2),"")</f>
        <v>0.71</v>
      </c>
      <c r="I2254" s="114" t="str">
        <f>IF(K2254="MT",TRUNC(F2254*G2254,2),"")</f>
        <v/>
      </c>
      <c r="J2254" s="115" t="str">
        <f>IF(K2254="EQ",TRUNC(F2254*G2254,2),"")</f>
        <v/>
      </c>
      <c r="K2254" s="102" t="str">
        <f>IF(A2254&amp;B2254="","",VLOOKUP(A2254&amp;B2254,INSUMOS!C:G,5,0))</f>
        <v>MO</v>
      </c>
    </row>
    <row r="2255" spans="1:17" ht="15" x14ac:dyDescent="0.25">
      <c r="A2255" s="109" t="s">
        <v>4398</v>
      </c>
      <c r="B2255" s="116">
        <v>10118</v>
      </c>
      <c r="C2255" s="518" t="str">
        <f>IF(A2255&amp;B2255="","",VLOOKUP(A2255&amp;B2255,INSUMOS!C:G,2,0))</f>
        <v xml:space="preserve">Encanador </v>
      </c>
      <c r="D2255" s="519"/>
      <c r="E2255" s="117" t="str">
        <f>IF(A2255&amp;B2255="","",VLOOKUP(A2255&amp;B2255,INSUMOS!C:G,3,0))</f>
        <v>h</v>
      </c>
      <c r="F2255" s="118">
        <v>6.5000000000000002E-2</v>
      </c>
      <c r="G2255" s="113">
        <f>IF(A2255&amp;B2255="","",VLOOKUP(A2255&amp;B2255,INSUMOS!C:G,4,0))</f>
        <v>16.906036</v>
      </c>
      <c r="H2255" s="119">
        <f t="shared" ref="H2255:H2266" si="387">IF(K2255="MO",TRUNC(F2255*G2255,2),"")</f>
        <v>1.0900000000000001</v>
      </c>
      <c r="I2255" s="119" t="str">
        <f t="shared" ref="I2255:I2266" si="388">IF(K2255="MT",TRUNC(F2255*G2255,2),"")</f>
        <v/>
      </c>
      <c r="J2255" s="115" t="str">
        <f t="shared" ref="J2255:J2266" si="389">IF(K2255="EQ",TRUNC(F2255*G2255,2),"")</f>
        <v/>
      </c>
      <c r="K2255" s="102" t="str">
        <f>IF(A2255&amp;B2255="","",VLOOKUP(A2255&amp;B2255,INSUMOS!C:G,5,0))</f>
        <v>MO</v>
      </c>
    </row>
    <row r="2256" spans="1:17" ht="15" x14ac:dyDescent="0.25">
      <c r="A2256" s="109" t="s">
        <v>4810</v>
      </c>
      <c r="B2256" s="116">
        <v>296</v>
      </c>
      <c r="C2256" s="518" t="str">
        <f>IF(A2256&amp;B2256="","",VLOOKUP(A2256&amp;B2256,INSUMOS!C:G,2,0))</f>
        <v>Anel de borracha para tubo de esgoto predial, DN 50 mm (NBR 5688)</v>
      </c>
      <c r="D2256" s="519"/>
      <c r="E2256" s="117" t="str">
        <f>IF(A2256&amp;B2256="","",VLOOKUP(A2256&amp;B2256,INSUMOS!C:G,3,0))</f>
        <v>un</v>
      </c>
      <c r="F2256" s="118">
        <v>1</v>
      </c>
      <c r="G2256" s="113">
        <f>IF(A2256&amp;B2256="","",VLOOKUP(A2256&amp;B2256,INSUMOS!C:G,4,0))</f>
        <v>0.83</v>
      </c>
      <c r="H2256" s="119" t="str">
        <f t="shared" si="387"/>
        <v/>
      </c>
      <c r="I2256" s="119">
        <f t="shared" si="388"/>
        <v>0.83</v>
      </c>
      <c r="J2256" s="115" t="str">
        <f t="shared" si="389"/>
        <v/>
      </c>
      <c r="K2256" s="102" t="str">
        <f>IF(A2256&amp;B2256="","",VLOOKUP(A2256&amp;B2256,INSUMOS!C:G,5,0))</f>
        <v>MT</v>
      </c>
    </row>
    <row r="2257" spans="1:17" ht="15" x14ac:dyDescent="0.25">
      <c r="A2257" s="109" t="s">
        <v>4810</v>
      </c>
      <c r="B2257" s="116">
        <v>20078</v>
      </c>
      <c r="C2257" s="518" t="str">
        <f>IF(A2257&amp;B2257="","",VLOOKUP(A2257&amp;B2257,INSUMOS!C:G,2,0))</f>
        <v>Pasta lubrificante para uso em tubos de PVC com anel de borracha (pote de 400G)</v>
      </c>
      <c r="D2257" s="519"/>
      <c r="E2257" s="117" t="str">
        <f>IF(A2257&amp;B2257="","",VLOOKUP(A2257&amp;B2257,INSUMOS!C:G,3,0))</f>
        <v>un</v>
      </c>
      <c r="F2257" s="118">
        <v>0.02</v>
      </c>
      <c r="G2257" s="113">
        <f>IF(A2257&amp;B2257="","",VLOOKUP(A2257&amp;B2257,INSUMOS!C:G,4,0))</f>
        <v>13.33</v>
      </c>
      <c r="H2257" s="119" t="str">
        <f t="shared" si="387"/>
        <v/>
      </c>
      <c r="I2257" s="119">
        <f t="shared" si="388"/>
        <v>0.26</v>
      </c>
      <c r="J2257" s="115" t="str">
        <f t="shared" si="389"/>
        <v/>
      </c>
      <c r="K2257" s="102" t="str">
        <f>IF(A2257&amp;B2257="","",VLOOKUP(A2257&amp;B2257,INSUMOS!C:G,5,0))</f>
        <v>MT</v>
      </c>
    </row>
    <row r="2258" spans="1:17" ht="15" x14ac:dyDescent="0.25">
      <c r="A2258" s="109" t="s">
        <v>4810</v>
      </c>
      <c r="B2258" s="116">
        <v>20155</v>
      </c>
      <c r="C2258" s="518" t="str">
        <f>IF(A2258&amp;B2258="","",VLOOKUP(A2258&amp;B2258,INSUMOS!C:G,2,0))</f>
        <v>Joelho PVC série R p/ Esgoto Predial 90G DN 50 MM</v>
      </c>
      <c r="D2258" s="519"/>
      <c r="E2258" s="117" t="str">
        <f>IF(A2258&amp;B2258="","",VLOOKUP(A2258&amp;B2258,INSUMOS!C:G,3,0))</f>
        <v>un</v>
      </c>
      <c r="F2258" s="118">
        <v>1</v>
      </c>
      <c r="G2258" s="113">
        <f>IF(A2258&amp;B2258="","",VLOOKUP(A2258&amp;B2258,INSUMOS!C:G,4,0))</f>
        <v>6.59</v>
      </c>
      <c r="H2258" s="119" t="str">
        <f t="shared" si="387"/>
        <v/>
      </c>
      <c r="I2258" s="119">
        <f t="shared" si="388"/>
        <v>6.59</v>
      </c>
      <c r="J2258" s="115" t="str">
        <f t="shared" si="389"/>
        <v/>
      </c>
      <c r="K2258" s="102" t="str">
        <f>IF(A2258&amp;B2258="","",VLOOKUP(A2258&amp;B2258,INSUMOS!C:G,5,0))</f>
        <v>MT</v>
      </c>
    </row>
    <row r="2259" spans="1:17" ht="15" x14ac:dyDescent="0.25">
      <c r="A2259" s="109"/>
      <c r="B2259" s="116"/>
      <c r="C2259" s="518" t="str">
        <f>IF(A2259&amp;B2259="","",VLOOKUP(A2259&amp;B2259,INSUMOS!C:G,2,0))</f>
        <v/>
      </c>
      <c r="D2259" s="519"/>
      <c r="E2259" s="117" t="str">
        <f>IF(A2259&amp;B2259="","",VLOOKUP(A2259&amp;B2259,INSUMOS!C:G,3,0))</f>
        <v/>
      </c>
      <c r="F2259" s="118"/>
      <c r="G2259" s="113" t="str">
        <f>IF(A2259&amp;B2259="","",VLOOKUP(A2259&amp;B2259,INSUMOS!C:G,4,0))</f>
        <v/>
      </c>
      <c r="H2259" s="119" t="str">
        <f t="shared" si="387"/>
        <v/>
      </c>
      <c r="I2259" s="119" t="str">
        <f t="shared" si="388"/>
        <v/>
      </c>
      <c r="J2259" s="115" t="str">
        <f t="shared" si="389"/>
        <v/>
      </c>
      <c r="K2259" s="102" t="str">
        <f>IF(A2259&amp;B2259="","",VLOOKUP(A2259&amp;B2259,INSUMOS!C:G,5,0))</f>
        <v/>
      </c>
    </row>
    <row r="2260" spans="1:17" ht="15" x14ac:dyDescent="0.25">
      <c r="A2260" s="109"/>
      <c r="B2260" s="116"/>
      <c r="C2260" s="518" t="str">
        <f>IF(A2260&amp;B2260="","",VLOOKUP(A2260&amp;B2260,INSUMOS!C:G,2,0))</f>
        <v/>
      </c>
      <c r="D2260" s="519"/>
      <c r="E2260" s="117" t="str">
        <f>IF(A2260&amp;B2260="","",VLOOKUP(A2260&amp;B2260,INSUMOS!C:G,3,0))</f>
        <v/>
      </c>
      <c r="F2260" s="118"/>
      <c r="G2260" s="113" t="str">
        <f>IF(A2260&amp;B2260="","",VLOOKUP(A2260&amp;B2260,INSUMOS!C:G,4,0))</f>
        <v/>
      </c>
      <c r="H2260" s="119" t="str">
        <f t="shared" si="387"/>
        <v/>
      </c>
      <c r="I2260" s="119" t="str">
        <f t="shared" si="388"/>
        <v/>
      </c>
      <c r="J2260" s="115" t="str">
        <f t="shared" si="389"/>
        <v/>
      </c>
      <c r="K2260" s="102" t="str">
        <f>IF(A2260&amp;B2260="","",VLOOKUP(A2260&amp;B2260,INSUMOS!C:G,5,0))</f>
        <v/>
      </c>
    </row>
    <row r="2261" spans="1:17" ht="15" x14ac:dyDescent="0.25">
      <c r="A2261" s="109"/>
      <c r="B2261" s="116"/>
      <c r="C2261" s="518" t="str">
        <f>IF(A2261&amp;B2261="","",VLOOKUP(A2261&amp;B2261,INSUMOS!C:G,2,0))</f>
        <v/>
      </c>
      <c r="D2261" s="519"/>
      <c r="E2261" s="117" t="str">
        <f>IF(A2261&amp;B2261="","",VLOOKUP(A2261&amp;B2261,INSUMOS!C:G,3,0))</f>
        <v/>
      </c>
      <c r="F2261" s="118"/>
      <c r="G2261" s="113" t="str">
        <f>IF(A2261&amp;B2261="","",VLOOKUP(A2261&amp;B2261,INSUMOS!C:G,4,0))</f>
        <v/>
      </c>
      <c r="H2261" s="119" t="str">
        <f t="shared" si="387"/>
        <v/>
      </c>
      <c r="I2261" s="119" t="str">
        <f t="shared" si="388"/>
        <v/>
      </c>
      <c r="J2261" s="115" t="str">
        <f t="shared" si="389"/>
        <v/>
      </c>
      <c r="K2261" s="102" t="str">
        <f>IF(A2261&amp;B2261="","",VLOOKUP(A2261&amp;B2261,INSUMOS!C:G,5,0))</f>
        <v/>
      </c>
    </row>
    <row r="2262" spans="1:17" ht="15" x14ac:dyDescent="0.25">
      <c r="A2262" s="109"/>
      <c r="B2262" s="116"/>
      <c r="C2262" s="518" t="str">
        <f>IF(A2262&amp;B2262="","",VLOOKUP(A2262&amp;B2262,INSUMOS!C:G,2,0))</f>
        <v/>
      </c>
      <c r="D2262" s="519"/>
      <c r="E2262" s="117" t="str">
        <f>IF(A2262&amp;B2262="","",VLOOKUP(A2262&amp;B2262,INSUMOS!C:G,3,0))</f>
        <v/>
      </c>
      <c r="F2262" s="118"/>
      <c r="G2262" s="113" t="str">
        <f>IF(A2262&amp;B2262="","",VLOOKUP(A2262&amp;B2262,INSUMOS!C:G,4,0))</f>
        <v/>
      </c>
      <c r="H2262" s="119" t="str">
        <f t="shared" si="387"/>
        <v/>
      </c>
      <c r="I2262" s="119" t="str">
        <f t="shared" si="388"/>
        <v/>
      </c>
      <c r="J2262" s="115" t="str">
        <f t="shared" si="389"/>
        <v/>
      </c>
      <c r="K2262" s="102" t="str">
        <f>IF(A2262&amp;B2262="","",VLOOKUP(A2262&amp;B2262,INSUMOS!C:G,5,0))</f>
        <v/>
      </c>
    </row>
    <row r="2263" spans="1:17" ht="15" x14ac:dyDescent="0.25">
      <c r="A2263" s="109"/>
      <c r="B2263" s="116"/>
      <c r="C2263" s="518" t="str">
        <f>IF(A2263&amp;B2263="","",VLOOKUP(A2263&amp;B2263,INSUMOS!C:G,2,0))</f>
        <v/>
      </c>
      <c r="D2263" s="519"/>
      <c r="E2263" s="117" t="str">
        <f>IF(A2263&amp;B2263="","",VLOOKUP(A2263&amp;B2263,INSUMOS!C:G,3,0))</f>
        <v/>
      </c>
      <c r="F2263" s="118"/>
      <c r="G2263" s="113" t="str">
        <f>IF(A2263&amp;B2263="","",VLOOKUP(A2263&amp;B2263,INSUMOS!C:G,4,0))</f>
        <v/>
      </c>
      <c r="H2263" s="119" t="str">
        <f t="shared" si="387"/>
        <v/>
      </c>
      <c r="I2263" s="119" t="str">
        <f t="shared" si="388"/>
        <v/>
      </c>
      <c r="J2263" s="115" t="str">
        <f t="shared" si="389"/>
        <v/>
      </c>
      <c r="K2263" s="102" t="str">
        <f>IF(A2263&amp;B2263="","",VLOOKUP(A2263&amp;B2263,INSUMOS!C:G,5,0))</f>
        <v/>
      </c>
    </row>
    <row r="2264" spans="1:17" ht="15" x14ac:dyDescent="0.25">
      <c r="A2264" s="120"/>
      <c r="B2264" s="121"/>
      <c r="C2264" s="518" t="str">
        <f>IF(A2264&amp;B2264="","",VLOOKUP(A2264&amp;B2264,INSUMOS!C:G,2,0))</f>
        <v/>
      </c>
      <c r="D2264" s="519"/>
      <c r="E2264" s="117" t="str">
        <f>IF(A2264&amp;B2264="","",VLOOKUP(A2264&amp;B2264,INSUMOS!C:G,3,0))</f>
        <v/>
      </c>
      <c r="F2264" s="118"/>
      <c r="G2264" s="122" t="str">
        <f>IF(A2264&amp;B2264="","",VLOOKUP(A2264&amp;B2264,INSUMOS!C:G,4,0))</f>
        <v/>
      </c>
      <c r="H2264" s="119" t="str">
        <f t="shared" si="387"/>
        <v/>
      </c>
      <c r="I2264" s="119" t="str">
        <f t="shared" si="388"/>
        <v/>
      </c>
      <c r="J2264" s="115" t="str">
        <f t="shared" si="389"/>
        <v/>
      </c>
      <c r="K2264" s="102" t="str">
        <f>IF(A2264&amp;B2264="","",VLOOKUP(A2264&amp;B2264,INSUMOS!C:G,5,0))</f>
        <v/>
      </c>
    </row>
    <row r="2265" spans="1:17" ht="15" x14ac:dyDescent="0.25">
      <c r="A2265" s="120"/>
      <c r="B2265" s="121"/>
      <c r="C2265" s="518" t="str">
        <f>IF(A2265&amp;B2265="","",VLOOKUP(A2265&amp;B2265,INSUMOS!C:G,2,0))</f>
        <v/>
      </c>
      <c r="D2265" s="519"/>
      <c r="E2265" s="117" t="str">
        <f>IF(A2265&amp;B2265="","",VLOOKUP(A2265&amp;B2265,INSUMOS!C:G,3,0))</f>
        <v/>
      </c>
      <c r="F2265" s="118"/>
      <c r="G2265" s="122" t="str">
        <f>IF(A2265&amp;B2265="","",VLOOKUP(A2265&amp;B2265,INSUMOS!C:G,4,0))</f>
        <v/>
      </c>
      <c r="H2265" s="119" t="str">
        <f t="shared" si="387"/>
        <v/>
      </c>
      <c r="I2265" s="119" t="str">
        <f t="shared" si="388"/>
        <v/>
      </c>
      <c r="J2265" s="115" t="str">
        <f t="shared" si="389"/>
        <v/>
      </c>
      <c r="K2265" s="102" t="str">
        <f>IF(A2265&amp;B2265="","",VLOOKUP(A2265&amp;B2265,INSUMOS!C:G,5,0))</f>
        <v/>
      </c>
    </row>
    <row r="2266" spans="1:17" ht="15" x14ac:dyDescent="0.25">
      <c r="A2266" s="120"/>
      <c r="B2266" s="121"/>
      <c r="C2266" s="518" t="str">
        <f>IF(A2266&amp;B2266="","",VLOOKUP(A2266&amp;B2266,INSUMOS!C:G,2,0))</f>
        <v/>
      </c>
      <c r="D2266" s="519"/>
      <c r="E2266" s="117" t="str">
        <f>IF(A2266&amp;B2266="","",VLOOKUP(A2266&amp;B2266,INSUMOS!C:G,3,0))</f>
        <v/>
      </c>
      <c r="F2266" s="118"/>
      <c r="G2266" s="122" t="str">
        <f>IF(A2266&amp;B2266="","",VLOOKUP(A2266&amp;B2266,INSUMOS!C:G,4,0))</f>
        <v/>
      </c>
      <c r="H2266" s="119" t="str">
        <f t="shared" si="387"/>
        <v/>
      </c>
      <c r="I2266" s="119" t="str">
        <f t="shared" si="388"/>
        <v/>
      </c>
      <c r="J2266" s="115" t="str">
        <f t="shared" si="389"/>
        <v/>
      </c>
      <c r="K2266" s="102" t="str">
        <f>IF(A2266&amp;B2266="","",VLOOKUP(A2266&amp;B2266,INSUMOS!C:G,5,0))</f>
        <v/>
      </c>
    </row>
    <row r="2267" spans="1:17" ht="15" x14ac:dyDescent="0.25">
      <c r="A2267" s="123" t="s">
        <v>4399</v>
      </c>
      <c r="B2267" s="542" t="s">
        <v>5309</v>
      </c>
      <c r="C2267" s="542"/>
      <c r="D2267" s="542"/>
      <c r="E2267" s="542"/>
      <c r="F2267" s="543"/>
      <c r="G2267" s="124" t="s">
        <v>50</v>
      </c>
      <c r="H2267" s="125">
        <f>SUM(H2254:H2266)</f>
        <v>1.8</v>
      </c>
      <c r="I2267" s="125">
        <f>SUM(I2254:I2266)</f>
        <v>7.68</v>
      </c>
      <c r="J2267" s="126">
        <f>SUM(J2254:J2266)</f>
        <v>0</v>
      </c>
    </row>
    <row r="2268" spans="1:17" ht="15" x14ac:dyDescent="0.25">
      <c r="A2268" s="127" t="s">
        <v>4400</v>
      </c>
      <c r="B2268" s="128"/>
      <c r="C2268" s="128"/>
      <c r="D2268" s="127" t="s">
        <v>51</v>
      </c>
      <c r="E2268" s="128"/>
      <c r="F2268" s="129"/>
      <c r="G2268" s="130" t="s">
        <v>55</v>
      </c>
      <c r="H2268" s="131" t="s">
        <v>52</v>
      </c>
      <c r="I2268" s="132"/>
      <c r="J2268" s="125">
        <f>SUM(H2267:J2267)</f>
        <v>9.48</v>
      </c>
    </row>
    <row r="2269" spans="1:17" ht="15" x14ac:dyDescent="0.25">
      <c r="A2269" s="313" t="str">
        <f>$I$3</f>
        <v>Carlos Wieck</v>
      </c>
      <c r="B2269" s="133"/>
      <c r="C2269" s="133"/>
      <c r="D2269" s="134"/>
      <c r="E2269" s="133"/>
      <c r="F2269" s="135"/>
      <c r="G2269" s="522">
        <f>$J$5</f>
        <v>43040</v>
      </c>
      <c r="H2269" s="136" t="s">
        <v>53</v>
      </c>
      <c r="I2269" s="137"/>
      <c r="J2269" s="125">
        <f>TRUNC(I2269*J2268,2)</f>
        <v>0</v>
      </c>
    </row>
    <row r="2270" spans="1:17" ht="15" x14ac:dyDescent="0.25">
      <c r="A2270" s="314"/>
      <c r="B2270" s="139"/>
      <c r="C2270" s="139"/>
      <c r="D2270" s="138"/>
      <c r="E2270" s="139"/>
      <c r="F2270" s="140"/>
      <c r="G2270" s="523"/>
      <c r="H2270" s="141" t="s">
        <v>54</v>
      </c>
      <c r="I2270" s="142"/>
      <c r="J2270" s="143">
        <f>J2269+J2268</f>
        <v>9.48</v>
      </c>
      <c r="L2270" s="102" t="str">
        <f>A2251</f>
        <v>COMPOSIÇÃO</v>
      </c>
      <c r="M2270" s="144" t="str">
        <f>B2251</f>
        <v>FF-096</v>
      </c>
      <c r="N2270" s="102" t="str">
        <f>L2270&amp;M2270</f>
        <v>COMPOSIÇÃOFF-096</v>
      </c>
      <c r="O2270" s="103" t="str">
        <f>D2250</f>
        <v>Joelho 90 graus de PVC série R diam. 50mm, fornecimento e instalação</v>
      </c>
      <c r="P2270" s="145" t="str">
        <f>J2251</f>
        <v>un</v>
      </c>
      <c r="Q2270" s="145">
        <f>J2270</f>
        <v>9.48</v>
      </c>
    </row>
    <row r="2271" spans="1:17" ht="15" customHeight="1" x14ac:dyDescent="0.25">
      <c r="A2271" s="524" t="s">
        <v>40</v>
      </c>
      <c r="B2271" s="525"/>
      <c r="C2271" s="104" t="s">
        <v>41</v>
      </c>
      <c r="D2271" s="526" t="str">
        <f>IF(B2272="","",VLOOKUP(B2272,SERVIÇOS!B:E,3,0))</f>
        <v>Joelho 45 graus de PVC série R diam. 50mm, fornecimento e instalação</v>
      </c>
      <c r="E2271" s="526"/>
      <c r="F2271" s="526"/>
      <c r="G2271" s="526"/>
      <c r="H2271" s="526"/>
      <c r="I2271" s="527"/>
      <c r="J2271" s="105" t="s">
        <v>42</v>
      </c>
    </row>
    <row r="2272" spans="1:17" ht="15" x14ac:dyDescent="0.25">
      <c r="A2272" s="230" t="s">
        <v>4715</v>
      </c>
      <c r="B2272" s="230" t="s">
        <v>5252</v>
      </c>
      <c r="C2272" s="106"/>
      <c r="D2272" s="528"/>
      <c r="E2272" s="528"/>
      <c r="F2272" s="528"/>
      <c r="G2272" s="528"/>
      <c r="H2272" s="528"/>
      <c r="I2272" s="529"/>
      <c r="J2272" s="107" t="str">
        <f>IF(B2272="","",VLOOKUP(B2272,SERVIÇOS!B:E,4,0))</f>
        <v>un</v>
      </c>
    </row>
    <row r="2273" spans="1:11" ht="15" x14ac:dyDescent="0.25">
      <c r="A2273" s="530" t="s">
        <v>4397</v>
      </c>
      <c r="B2273" s="531" t="s">
        <v>11</v>
      </c>
      <c r="C2273" s="533" t="s">
        <v>43</v>
      </c>
      <c r="D2273" s="534"/>
      <c r="E2273" s="530" t="s">
        <v>13</v>
      </c>
      <c r="F2273" s="530" t="s">
        <v>44</v>
      </c>
      <c r="G2273" s="538" t="s">
        <v>45</v>
      </c>
      <c r="H2273" s="108" t="s">
        <v>46</v>
      </c>
      <c r="I2273" s="108"/>
      <c r="J2273" s="108"/>
    </row>
    <row r="2274" spans="1:11" ht="15" x14ac:dyDescent="0.25">
      <c r="A2274" s="530"/>
      <c r="B2274" s="532"/>
      <c r="C2274" s="535"/>
      <c r="D2274" s="536"/>
      <c r="E2274" s="537"/>
      <c r="F2274" s="537"/>
      <c r="G2274" s="539"/>
      <c r="H2274" s="108" t="s">
        <v>47</v>
      </c>
      <c r="I2274" s="108" t="s">
        <v>48</v>
      </c>
      <c r="J2274" s="108" t="s">
        <v>49</v>
      </c>
    </row>
    <row r="2275" spans="1:11" ht="15" x14ac:dyDescent="0.25">
      <c r="A2275" s="109" t="s">
        <v>4398</v>
      </c>
      <c r="B2275" s="110">
        <v>10119</v>
      </c>
      <c r="C2275" s="540" t="str">
        <f>IF(A2275&amp;B2275="","",VLOOKUP(A2275&amp;B2275,INSUMOS!C:G,2,0))</f>
        <v>Ajudante de encanador</v>
      </c>
      <c r="D2275" s="541"/>
      <c r="E2275" s="111" t="str">
        <f>IF(A2275&amp;B2275="","",VLOOKUP(A2275&amp;B2275,INSUMOS!C:G,3,0))</f>
        <v>h</v>
      </c>
      <c r="F2275" s="112">
        <v>6.5000000000000002E-2</v>
      </c>
      <c r="G2275" s="113">
        <f>IF(A2275&amp;B2275="","",VLOOKUP(A2275&amp;B2275,INSUMOS!C:G,4,0))</f>
        <v>10.985028</v>
      </c>
      <c r="H2275" s="114">
        <f>IF(K2275="MO",TRUNC(F2275*G2275,2),"")</f>
        <v>0.71</v>
      </c>
      <c r="I2275" s="114" t="str">
        <f>IF(K2275="MT",TRUNC(F2275*G2275,2),"")</f>
        <v/>
      </c>
      <c r="J2275" s="115" t="str">
        <f>IF(K2275="EQ",TRUNC(F2275*G2275,2),"")</f>
        <v/>
      </c>
      <c r="K2275" s="102" t="str">
        <f>IF(A2275&amp;B2275="","",VLOOKUP(A2275&amp;B2275,INSUMOS!C:G,5,0))</f>
        <v>MO</v>
      </c>
    </row>
    <row r="2276" spans="1:11" ht="15" x14ac:dyDescent="0.25">
      <c r="A2276" s="109" t="s">
        <v>4398</v>
      </c>
      <c r="B2276" s="116">
        <v>10118</v>
      </c>
      <c r="C2276" s="518" t="str">
        <f>IF(A2276&amp;B2276="","",VLOOKUP(A2276&amp;B2276,INSUMOS!C:G,2,0))</f>
        <v xml:space="preserve">Encanador </v>
      </c>
      <c r="D2276" s="519"/>
      <c r="E2276" s="117" t="str">
        <f>IF(A2276&amp;B2276="","",VLOOKUP(A2276&amp;B2276,INSUMOS!C:G,3,0))</f>
        <v>h</v>
      </c>
      <c r="F2276" s="118">
        <v>6.5000000000000002E-2</v>
      </c>
      <c r="G2276" s="113">
        <f>IF(A2276&amp;B2276="","",VLOOKUP(A2276&amp;B2276,INSUMOS!C:G,4,0))</f>
        <v>16.906036</v>
      </c>
      <c r="H2276" s="119">
        <f t="shared" ref="H2276:H2287" si="390">IF(K2276="MO",TRUNC(F2276*G2276,2),"")</f>
        <v>1.0900000000000001</v>
      </c>
      <c r="I2276" s="119" t="str">
        <f t="shared" ref="I2276:I2287" si="391">IF(K2276="MT",TRUNC(F2276*G2276,2),"")</f>
        <v/>
      </c>
      <c r="J2276" s="115" t="str">
        <f t="shared" ref="J2276:J2287" si="392">IF(K2276="EQ",TRUNC(F2276*G2276,2),"")</f>
        <v/>
      </c>
      <c r="K2276" s="102" t="str">
        <f>IF(A2276&amp;B2276="","",VLOOKUP(A2276&amp;B2276,INSUMOS!C:G,5,0))</f>
        <v>MO</v>
      </c>
    </row>
    <row r="2277" spans="1:11" ht="15" x14ac:dyDescent="0.25">
      <c r="A2277" s="109" t="s">
        <v>4810</v>
      </c>
      <c r="B2277" s="116">
        <v>301</v>
      </c>
      <c r="C2277" s="518" t="str">
        <f>IF(A2277&amp;B2277="","",VLOOKUP(A2277&amp;B2277,INSUMOS!C:G,2,0))</f>
        <v>Anel de borracha para tubo de esgoto predial, DN 100 mm (NBR 5688)</v>
      </c>
      <c r="D2277" s="519"/>
      <c r="E2277" s="117" t="str">
        <f>IF(A2277&amp;B2277="","",VLOOKUP(A2277&amp;B2277,INSUMOS!C:G,3,0))</f>
        <v>un</v>
      </c>
      <c r="F2277" s="118">
        <v>0.02</v>
      </c>
      <c r="G2277" s="113">
        <f>IF(A2277&amp;B2277="","",VLOOKUP(A2277&amp;B2277,INSUMOS!C:G,4,0))</f>
        <v>1.48</v>
      </c>
      <c r="H2277" s="119" t="str">
        <f t="shared" si="390"/>
        <v/>
      </c>
      <c r="I2277" s="119">
        <f t="shared" si="391"/>
        <v>0.02</v>
      </c>
      <c r="J2277" s="115" t="str">
        <f t="shared" si="392"/>
        <v/>
      </c>
      <c r="K2277" s="102" t="str">
        <f>IF(A2277&amp;B2277="","",VLOOKUP(A2277&amp;B2277,INSUMOS!C:G,5,0))</f>
        <v>MT</v>
      </c>
    </row>
    <row r="2278" spans="1:11" ht="15" x14ac:dyDescent="0.25">
      <c r="A2278" s="109" t="s">
        <v>4810</v>
      </c>
      <c r="B2278" s="116">
        <v>20078</v>
      </c>
      <c r="C2278" s="518" t="str">
        <f>IF(A2278&amp;B2278="","",VLOOKUP(A2278&amp;B2278,INSUMOS!C:G,2,0))</f>
        <v>Pasta lubrificante para uso em tubos de PVC com anel de borracha (pote de 400G)</v>
      </c>
      <c r="D2278" s="519"/>
      <c r="E2278" s="117" t="str">
        <f>IF(A2278&amp;B2278="","",VLOOKUP(A2278&amp;B2278,INSUMOS!C:G,3,0))</f>
        <v>un</v>
      </c>
      <c r="F2278" s="118">
        <v>1</v>
      </c>
      <c r="G2278" s="113">
        <f>IF(A2278&amp;B2278="","",VLOOKUP(A2278&amp;B2278,INSUMOS!C:G,4,0))</f>
        <v>13.33</v>
      </c>
      <c r="H2278" s="119" t="str">
        <f t="shared" si="390"/>
        <v/>
      </c>
      <c r="I2278" s="119">
        <f t="shared" si="391"/>
        <v>13.33</v>
      </c>
      <c r="J2278" s="115" t="str">
        <f t="shared" si="392"/>
        <v/>
      </c>
      <c r="K2278" s="102" t="str">
        <f>IF(A2278&amp;B2278="","",VLOOKUP(A2278&amp;B2278,INSUMOS!C:G,5,0))</f>
        <v>MT</v>
      </c>
    </row>
    <row r="2279" spans="1:11" ht="15" x14ac:dyDescent="0.25">
      <c r="A2279" s="109" t="s">
        <v>4810</v>
      </c>
      <c r="B2279" s="116">
        <v>20149</v>
      </c>
      <c r="C2279" s="518" t="str">
        <f>IF(A2279&amp;B2279="","",VLOOKUP(A2279&amp;B2279,INSUMOS!C:G,2,0))</f>
        <v>Joelho PVC série R p/ Esgoto Predial 45G DN 50 MM</v>
      </c>
      <c r="D2279" s="519"/>
      <c r="E2279" s="117" t="str">
        <f>IF(A2279&amp;B2279="","",VLOOKUP(A2279&amp;B2279,INSUMOS!C:G,3,0))</f>
        <v>un</v>
      </c>
      <c r="F2279" s="118">
        <v>1</v>
      </c>
      <c r="G2279" s="113">
        <f>IF(A2279&amp;B2279="","",VLOOKUP(A2279&amp;B2279,INSUMOS!C:G,4,0))</f>
        <v>5.77</v>
      </c>
      <c r="H2279" s="119" t="str">
        <f t="shared" si="390"/>
        <v/>
      </c>
      <c r="I2279" s="119">
        <f t="shared" si="391"/>
        <v>5.77</v>
      </c>
      <c r="J2279" s="115" t="str">
        <f t="shared" si="392"/>
        <v/>
      </c>
      <c r="K2279" s="102" t="str">
        <f>IF(A2279&amp;B2279="","",VLOOKUP(A2279&amp;B2279,INSUMOS!C:G,5,0))</f>
        <v>MT</v>
      </c>
    </row>
    <row r="2280" spans="1:11" ht="15" x14ac:dyDescent="0.25">
      <c r="A2280" s="109"/>
      <c r="B2280" s="116"/>
      <c r="C2280" s="518" t="str">
        <f>IF(A2280&amp;B2280="","",VLOOKUP(A2280&amp;B2280,INSUMOS!C:G,2,0))</f>
        <v/>
      </c>
      <c r="D2280" s="519"/>
      <c r="E2280" s="117" t="str">
        <f>IF(A2280&amp;B2280="","",VLOOKUP(A2280&amp;B2280,INSUMOS!C:G,3,0))</f>
        <v/>
      </c>
      <c r="F2280" s="118"/>
      <c r="G2280" s="113" t="str">
        <f>IF(A2280&amp;B2280="","",VLOOKUP(A2280&amp;B2280,INSUMOS!C:G,4,0))</f>
        <v/>
      </c>
      <c r="H2280" s="119" t="str">
        <f t="shared" si="390"/>
        <v/>
      </c>
      <c r="I2280" s="119" t="str">
        <f t="shared" si="391"/>
        <v/>
      </c>
      <c r="J2280" s="115" t="str">
        <f t="shared" si="392"/>
        <v/>
      </c>
      <c r="K2280" s="102" t="str">
        <f>IF(A2280&amp;B2280="","",VLOOKUP(A2280&amp;B2280,INSUMOS!C:G,5,0))</f>
        <v/>
      </c>
    </row>
    <row r="2281" spans="1:11" ht="15" x14ac:dyDescent="0.25">
      <c r="A2281" s="109"/>
      <c r="B2281" s="116"/>
      <c r="C2281" s="518" t="str">
        <f>IF(A2281&amp;B2281="","",VLOOKUP(A2281&amp;B2281,INSUMOS!C:G,2,0))</f>
        <v/>
      </c>
      <c r="D2281" s="519"/>
      <c r="E2281" s="117" t="str">
        <f>IF(A2281&amp;B2281="","",VLOOKUP(A2281&amp;B2281,INSUMOS!C:G,3,0))</f>
        <v/>
      </c>
      <c r="F2281" s="118"/>
      <c r="G2281" s="113" t="str">
        <f>IF(A2281&amp;B2281="","",VLOOKUP(A2281&amp;B2281,INSUMOS!C:G,4,0))</f>
        <v/>
      </c>
      <c r="H2281" s="119" t="str">
        <f t="shared" si="390"/>
        <v/>
      </c>
      <c r="I2281" s="119" t="str">
        <f t="shared" si="391"/>
        <v/>
      </c>
      <c r="J2281" s="115" t="str">
        <f t="shared" si="392"/>
        <v/>
      </c>
      <c r="K2281" s="102" t="str">
        <f>IF(A2281&amp;B2281="","",VLOOKUP(A2281&amp;B2281,INSUMOS!C:G,5,0))</f>
        <v/>
      </c>
    </row>
    <row r="2282" spans="1:11" ht="15" x14ac:dyDescent="0.25">
      <c r="A2282" s="109"/>
      <c r="B2282" s="116"/>
      <c r="C2282" s="518" t="str">
        <f>IF(A2282&amp;B2282="","",VLOOKUP(A2282&amp;B2282,INSUMOS!C:G,2,0))</f>
        <v/>
      </c>
      <c r="D2282" s="519"/>
      <c r="E2282" s="117" t="str">
        <f>IF(A2282&amp;B2282="","",VLOOKUP(A2282&amp;B2282,INSUMOS!C:G,3,0))</f>
        <v/>
      </c>
      <c r="F2282" s="118"/>
      <c r="G2282" s="113" t="str">
        <f>IF(A2282&amp;B2282="","",VLOOKUP(A2282&amp;B2282,INSUMOS!C:G,4,0))</f>
        <v/>
      </c>
      <c r="H2282" s="119" t="str">
        <f t="shared" si="390"/>
        <v/>
      </c>
      <c r="I2282" s="119" t="str">
        <f t="shared" si="391"/>
        <v/>
      </c>
      <c r="J2282" s="115" t="str">
        <f t="shared" si="392"/>
        <v/>
      </c>
      <c r="K2282" s="102" t="str">
        <f>IF(A2282&amp;B2282="","",VLOOKUP(A2282&amp;B2282,INSUMOS!C:G,5,0))</f>
        <v/>
      </c>
    </row>
    <row r="2283" spans="1:11" ht="15" x14ac:dyDescent="0.25">
      <c r="A2283" s="109"/>
      <c r="B2283" s="116"/>
      <c r="C2283" s="518" t="str">
        <f>IF(A2283&amp;B2283="","",VLOOKUP(A2283&amp;B2283,INSUMOS!C:G,2,0))</f>
        <v/>
      </c>
      <c r="D2283" s="519"/>
      <c r="E2283" s="117" t="str">
        <f>IF(A2283&amp;B2283="","",VLOOKUP(A2283&amp;B2283,INSUMOS!C:G,3,0))</f>
        <v/>
      </c>
      <c r="F2283" s="118"/>
      <c r="G2283" s="113" t="str">
        <f>IF(A2283&amp;B2283="","",VLOOKUP(A2283&amp;B2283,INSUMOS!C:G,4,0))</f>
        <v/>
      </c>
      <c r="H2283" s="119" t="str">
        <f t="shared" si="390"/>
        <v/>
      </c>
      <c r="I2283" s="119" t="str">
        <f t="shared" si="391"/>
        <v/>
      </c>
      <c r="J2283" s="115" t="str">
        <f t="shared" si="392"/>
        <v/>
      </c>
      <c r="K2283" s="102" t="str">
        <f>IF(A2283&amp;B2283="","",VLOOKUP(A2283&amp;B2283,INSUMOS!C:G,5,0))</f>
        <v/>
      </c>
    </row>
    <row r="2284" spans="1:11" ht="15" x14ac:dyDescent="0.25">
      <c r="A2284" s="109"/>
      <c r="B2284" s="116"/>
      <c r="C2284" s="518" t="str">
        <f>IF(A2284&amp;B2284="","",VLOOKUP(A2284&amp;B2284,INSUMOS!C:G,2,0))</f>
        <v/>
      </c>
      <c r="D2284" s="519"/>
      <c r="E2284" s="117" t="str">
        <f>IF(A2284&amp;B2284="","",VLOOKUP(A2284&amp;B2284,INSUMOS!C:G,3,0))</f>
        <v/>
      </c>
      <c r="F2284" s="118"/>
      <c r="G2284" s="113" t="str">
        <f>IF(A2284&amp;B2284="","",VLOOKUP(A2284&amp;B2284,INSUMOS!C:G,4,0))</f>
        <v/>
      </c>
      <c r="H2284" s="119" t="str">
        <f t="shared" si="390"/>
        <v/>
      </c>
      <c r="I2284" s="119" t="str">
        <f t="shared" si="391"/>
        <v/>
      </c>
      <c r="J2284" s="115" t="str">
        <f t="shared" si="392"/>
        <v/>
      </c>
      <c r="K2284" s="102" t="str">
        <f>IF(A2284&amp;B2284="","",VLOOKUP(A2284&amp;B2284,INSUMOS!C:G,5,0))</f>
        <v/>
      </c>
    </row>
    <row r="2285" spans="1:11" ht="15" x14ac:dyDescent="0.25">
      <c r="A2285" s="120"/>
      <c r="B2285" s="121"/>
      <c r="C2285" s="518" t="str">
        <f>IF(A2285&amp;B2285="","",VLOOKUP(A2285&amp;B2285,INSUMOS!C:G,2,0))</f>
        <v/>
      </c>
      <c r="D2285" s="519"/>
      <c r="E2285" s="117" t="str">
        <f>IF(A2285&amp;B2285="","",VLOOKUP(A2285&amp;B2285,INSUMOS!C:G,3,0))</f>
        <v/>
      </c>
      <c r="F2285" s="118"/>
      <c r="G2285" s="122" t="str">
        <f>IF(A2285&amp;B2285="","",VLOOKUP(A2285&amp;B2285,INSUMOS!C:G,4,0))</f>
        <v/>
      </c>
      <c r="H2285" s="119" t="str">
        <f t="shared" si="390"/>
        <v/>
      </c>
      <c r="I2285" s="119" t="str">
        <f t="shared" si="391"/>
        <v/>
      </c>
      <c r="J2285" s="115" t="str">
        <f t="shared" si="392"/>
        <v/>
      </c>
      <c r="K2285" s="102" t="str">
        <f>IF(A2285&amp;B2285="","",VLOOKUP(A2285&amp;B2285,INSUMOS!C:G,5,0))</f>
        <v/>
      </c>
    </row>
    <row r="2286" spans="1:11" ht="15" x14ac:dyDescent="0.25">
      <c r="A2286" s="120"/>
      <c r="B2286" s="121"/>
      <c r="C2286" s="518" t="str">
        <f>IF(A2286&amp;B2286="","",VLOOKUP(A2286&amp;B2286,INSUMOS!C:G,2,0))</f>
        <v/>
      </c>
      <c r="D2286" s="519"/>
      <c r="E2286" s="117" t="str">
        <f>IF(A2286&amp;B2286="","",VLOOKUP(A2286&amp;B2286,INSUMOS!C:G,3,0))</f>
        <v/>
      </c>
      <c r="F2286" s="118"/>
      <c r="G2286" s="122" t="str">
        <f>IF(A2286&amp;B2286="","",VLOOKUP(A2286&amp;B2286,INSUMOS!C:G,4,0))</f>
        <v/>
      </c>
      <c r="H2286" s="119" t="str">
        <f t="shared" si="390"/>
        <v/>
      </c>
      <c r="I2286" s="119" t="str">
        <f t="shared" si="391"/>
        <v/>
      </c>
      <c r="J2286" s="115" t="str">
        <f t="shared" si="392"/>
        <v/>
      </c>
      <c r="K2286" s="102" t="str">
        <f>IF(A2286&amp;B2286="","",VLOOKUP(A2286&amp;B2286,INSUMOS!C:G,5,0))</f>
        <v/>
      </c>
    </row>
    <row r="2287" spans="1:11" ht="15" x14ac:dyDescent="0.25">
      <c r="A2287" s="120"/>
      <c r="B2287" s="121"/>
      <c r="C2287" s="518" t="str">
        <f>IF(A2287&amp;B2287="","",VLOOKUP(A2287&amp;B2287,INSUMOS!C:G,2,0))</f>
        <v/>
      </c>
      <c r="D2287" s="519"/>
      <c r="E2287" s="117" t="str">
        <f>IF(A2287&amp;B2287="","",VLOOKUP(A2287&amp;B2287,INSUMOS!C:G,3,0))</f>
        <v/>
      </c>
      <c r="F2287" s="118"/>
      <c r="G2287" s="122" t="str">
        <f>IF(A2287&amp;B2287="","",VLOOKUP(A2287&amp;B2287,INSUMOS!C:G,4,0))</f>
        <v/>
      </c>
      <c r="H2287" s="119" t="str">
        <f t="shared" si="390"/>
        <v/>
      </c>
      <c r="I2287" s="119" t="str">
        <f t="shared" si="391"/>
        <v/>
      </c>
      <c r="J2287" s="115" t="str">
        <f t="shared" si="392"/>
        <v/>
      </c>
      <c r="K2287" s="102" t="str">
        <f>IF(A2287&amp;B2287="","",VLOOKUP(A2287&amp;B2287,INSUMOS!C:G,5,0))</f>
        <v/>
      </c>
    </row>
    <row r="2288" spans="1:11" ht="15" x14ac:dyDescent="0.25">
      <c r="A2288" s="123" t="s">
        <v>4399</v>
      </c>
      <c r="B2288" s="542" t="s">
        <v>5309</v>
      </c>
      <c r="C2288" s="542"/>
      <c r="D2288" s="542"/>
      <c r="E2288" s="542"/>
      <c r="F2288" s="543"/>
      <c r="G2288" s="124" t="s">
        <v>50</v>
      </c>
      <c r="H2288" s="125">
        <f>SUM(H2275:H2287)</f>
        <v>1.8</v>
      </c>
      <c r="I2288" s="125">
        <f>SUM(I2275:I2287)</f>
        <v>19.119999999999997</v>
      </c>
      <c r="J2288" s="126">
        <f>SUM(J2275:J2287)</f>
        <v>0</v>
      </c>
    </row>
    <row r="2289" spans="1:17" ht="15" x14ac:dyDescent="0.25">
      <c r="A2289" s="127" t="s">
        <v>4400</v>
      </c>
      <c r="B2289" s="128"/>
      <c r="C2289" s="128"/>
      <c r="D2289" s="127" t="s">
        <v>51</v>
      </c>
      <c r="E2289" s="128"/>
      <c r="F2289" s="129"/>
      <c r="G2289" s="130" t="s">
        <v>55</v>
      </c>
      <c r="H2289" s="131" t="s">
        <v>52</v>
      </c>
      <c r="I2289" s="132"/>
      <c r="J2289" s="125">
        <f>SUM(H2288:J2288)</f>
        <v>20.919999999999998</v>
      </c>
    </row>
    <row r="2290" spans="1:17" ht="15" x14ac:dyDescent="0.25">
      <c r="A2290" s="313" t="str">
        <f>$I$3</f>
        <v>Carlos Wieck</v>
      </c>
      <c r="B2290" s="133"/>
      <c r="C2290" s="133"/>
      <c r="D2290" s="134"/>
      <c r="E2290" s="133"/>
      <c r="F2290" s="135"/>
      <c r="G2290" s="522">
        <f>$J$5</f>
        <v>43040</v>
      </c>
      <c r="H2290" s="136" t="s">
        <v>53</v>
      </c>
      <c r="I2290" s="137"/>
      <c r="J2290" s="125">
        <f>TRUNC(I2290*J2289,2)</f>
        <v>0</v>
      </c>
    </row>
    <row r="2291" spans="1:17" ht="15" x14ac:dyDescent="0.25">
      <c r="A2291" s="314"/>
      <c r="B2291" s="139"/>
      <c r="C2291" s="139"/>
      <c r="D2291" s="138"/>
      <c r="E2291" s="139"/>
      <c r="F2291" s="140"/>
      <c r="G2291" s="523"/>
      <c r="H2291" s="141" t="s">
        <v>54</v>
      </c>
      <c r="I2291" s="142"/>
      <c r="J2291" s="143">
        <f>J2290+J2289</f>
        <v>20.919999999999998</v>
      </c>
      <c r="L2291" s="102" t="str">
        <f>A2272</f>
        <v>COMPOSIÇÃO</v>
      </c>
      <c r="M2291" s="144" t="str">
        <f>B2272</f>
        <v>FF-099</v>
      </c>
      <c r="N2291" s="102" t="str">
        <f>L2291&amp;M2291</f>
        <v>COMPOSIÇÃOFF-099</v>
      </c>
      <c r="O2291" s="103" t="str">
        <f>D2271</f>
        <v>Joelho 45 graus de PVC série R diam. 50mm, fornecimento e instalação</v>
      </c>
      <c r="P2291" s="145" t="str">
        <f>J2272</f>
        <v>un</v>
      </c>
      <c r="Q2291" s="145">
        <f>J2291</f>
        <v>20.919999999999998</v>
      </c>
    </row>
    <row r="2292" spans="1:17" ht="15" customHeight="1" x14ac:dyDescent="0.25">
      <c r="A2292" s="524" t="s">
        <v>40</v>
      </c>
      <c r="B2292" s="525"/>
      <c r="C2292" s="104" t="s">
        <v>41</v>
      </c>
      <c r="D2292" s="526" t="str">
        <f>IF(B2293="","",VLOOKUP(B2293,SERVIÇOS!B:E,3,0))</f>
        <v>Joelho 90 graus de PVC série R diam. 40mm, fornecimento e instalação</v>
      </c>
      <c r="E2292" s="526"/>
      <c r="F2292" s="526"/>
      <c r="G2292" s="526"/>
      <c r="H2292" s="526"/>
      <c r="I2292" s="527"/>
      <c r="J2292" s="105" t="s">
        <v>42</v>
      </c>
    </row>
    <row r="2293" spans="1:17" ht="15" x14ac:dyDescent="0.25">
      <c r="A2293" s="230" t="s">
        <v>4715</v>
      </c>
      <c r="B2293" s="230" t="s">
        <v>5250</v>
      </c>
      <c r="C2293" s="106"/>
      <c r="D2293" s="528"/>
      <c r="E2293" s="528"/>
      <c r="F2293" s="528"/>
      <c r="G2293" s="528"/>
      <c r="H2293" s="528"/>
      <c r="I2293" s="529"/>
      <c r="J2293" s="107" t="str">
        <f>IF(B2293="","",VLOOKUP(B2293,SERVIÇOS!B:E,4,0))</f>
        <v>un</v>
      </c>
    </row>
    <row r="2294" spans="1:17" ht="15" x14ac:dyDescent="0.25">
      <c r="A2294" s="530" t="s">
        <v>4397</v>
      </c>
      <c r="B2294" s="531" t="s">
        <v>11</v>
      </c>
      <c r="C2294" s="533" t="s">
        <v>43</v>
      </c>
      <c r="D2294" s="534"/>
      <c r="E2294" s="530" t="s">
        <v>13</v>
      </c>
      <c r="F2294" s="530" t="s">
        <v>44</v>
      </c>
      <c r="G2294" s="538" t="s">
        <v>45</v>
      </c>
      <c r="H2294" s="108" t="s">
        <v>46</v>
      </c>
      <c r="I2294" s="108"/>
      <c r="J2294" s="108"/>
    </row>
    <row r="2295" spans="1:17" ht="15" x14ac:dyDescent="0.25">
      <c r="A2295" s="530"/>
      <c r="B2295" s="532"/>
      <c r="C2295" s="535"/>
      <c r="D2295" s="536"/>
      <c r="E2295" s="537"/>
      <c r="F2295" s="537"/>
      <c r="G2295" s="539"/>
      <c r="H2295" s="108" t="s">
        <v>47</v>
      </c>
      <c r="I2295" s="108" t="s">
        <v>48</v>
      </c>
      <c r="J2295" s="108" t="s">
        <v>49</v>
      </c>
    </row>
    <row r="2296" spans="1:17" ht="15" x14ac:dyDescent="0.25">
      <c r="A2296" s="109" t="s">
        <v>4398</v>
      </c>
      <c r="B2296" s="110">
        <v>10119</v>
      </c>
      <c r="C2296" s="540" t="str">
        <f>IF(A2296&amp;B2296="","",VLOOKUP(A2296&amp;B2296,INSUMOS!C:G,2,0))</f>
        <v>Ajudante de encanador</v>
      </c>
      <c r="D2296" s="541"/>
      <c r="E2296" s="111" t="str">
        <f>IF(A2296&amp;B2296="","",VLOOKUP(A2296&amp;B2296,INSUMOS!C:G,3,0))</f>
        <v>h</v>
      </c>
      <c r="F2296" s="112">
        <v>0.05</v>
      </c>
      <c r="G2296" s="113">
        <f>IF(A2296&amp;B2296="","",VLOOKUP(A2296&amp;B2296,INSUMOS!C:G,4,0))</f>
        <v>10.985028</v>
      </c>
      <c r="H2296" s="114">
        <f>IF(K2296="MO",TRUNC(F2296*G2296,2),"")</f>
        <v>0.54</v>
      </c>
      <c r="I2296" s="114" t="str">
        <f>IF(K2296="MT",TRUNC(F2296*G2296,2),"")</f>
        <v/>
      </c>
      <c r="J2296" s="115" t="str">
        <f>IF(K2296="EQ",TRUNC(F2296*G2296,2),"")</f>
        <v/>
      </c>
      <c r="K2296" s="102" t="str">
        <f>IF(A2296&amp;B2296="","",VLOOKUP(A2296&amp;B2296,INSUMOS!C:G,5,0))</f>
        <v>MO</v>
      </c>
    </row>
    <row r="2297" spans="1:17" ht="15" x14ac:dyDescent="0.25">
      <c r="A2297" s="109" t="s">
        <v>4398</v>
      </c>
      <c r="B2297" s="116">
        <v>10118</v>
      </c>
      <c r="C2297" s="518" t="str">
        <f>IF(A2297&amp;B2297="","",VLOOKUP(A2297&amp;B2297,INSUMOS!C:G,2,0))</f>
        <v xml:space="preserve">Encanador </v>
      </c>
      <c r="D2297" s="519"/>
      <c r="E2297" s="117" t="str">
        <f>IF(A2297&amp;B2297="","",VLOOKUP(A2297&amp;B2297,INSUMOS!C:G,3,0))</f>
        <v>h</v>
      </c>
      <c r="F2297" s="118">
        <v>0.05</v>
      </c>
      <c r="G2297" s="113">
        <f>IF(A2297&amp;B2297="","",VLOOKUP(A2297&amp;B2297,INSUMOS!C:G,4,0))</f>
        <v>16.906036</v>
      </c>
      <c r="H2297" s="119">
        <f t="shared" ref="H2297:H2308" si="393">IF(K2297="MO",TRUNC(F2297*G2297,2),"")</f>
        <v>0.84</v>
      </c>
      <c r="I2297" s="119" t="str">
        <f t="shared" ref="I2297:I2308" si="394">IF(K2297="MT",TRUNC(F2297*G2297,2),"")</f>
        <v/>
      </c>
      <c r="J2297" s="115" t="str">
        <f t="shared" ref="J2297:J2308" si="395">IF(K2297="EQ",TRUNC(F2297*G2297,2),"")</f>
        <v/>
      </c>
      <c r="K2297" s="102" t="str">
        <f>IF(A2297&amp;B2297="","",VLOOKUP(A2297&amp;B2297,INSUMOS!C:G,5,0))</f>
        <v>MO</v>
      </c>
    </row>
    <row r="2298" spans="1:17" ht="15" x14ac:dyDescent="0.25">
      <c r="A2298" s="109" t="s">
        <v>4398</v>
      </c>
      <c r="B2298" s="116">
        <v>69513</v>
      </c>
      <c r="C2298" s="518" t="str">
        <f>IF(A2298&amp;B2298="","",VLOOKUP(A2298&amp;B2298,INSUMOS!C:G,2,0))</f>
        <v>Adesivo para tubos PVC</v>
      </c>
      <c r="D2298" s="519"/>
      <c r="E2298" s="117" t="str">
        <f>IF(A2298&amp;B2298="","",VLOOKUP(A2298&amp;B2298,INSUMOS!C:G,3,0))</f>
        <v>kg</v>
      </c>
      <c r="F2298" s="118">
        <v>9.9000000000000008E-3</v>
      </c>
      <c r="G2298" s="113">
        <f>IF(A2298&amp;B2298="","",VLOOKUP(A2298&amp;B2298,INSUMOS!C:G,4,0))</f>
        <v>42.49</v>
      </c>
      <c r="H2298" s="119" t="str">
        <f t="shared" si="393"/>
        <v/>
      </c>
      <c r="I2298" s="119">
        <f t="shared" si="394"/>
        <v>0.42</v>
      </c>
      <c r="J2298" s="115" t="str">
        <f t="shared" si="395"/>
        <v/>
      </c>
      <c r="K2298" s="102" t="str">
        <f>IF(A2298&amp;B2298="","",VLOOKUP(A2298&amp;B2298,INSUMOS!C:G,5,0))</f>
        <v>MT</v>
      </c>
    </row>
    <row r="2299" spans="1:17" ht="15" x14ac:dyDescent="0.25">
      <c r="A2299" s="109" t="s">
        <v>4398</v>
      </c>
      <c r="B2299" s="116">
        <v>38040</v>
      </c>
      <c r="C2299" s="518" t="str">
        <f>IF(A2299&amp;B2299="","",VLOOKUP(A2299&amp;B2299,INSUMOS!C:G,2,0))</f>
        <v>Lixa d´água, ref. Norton n° 80, Aquaflex ou equivalente</v>
      </c>
      <c r="D2299" s="519"/>
      <c r="E2299" s="117" t="str">
        <f>IF(A2299&amp;B2299="","",VLOOKUP(A2299&amp;B2299,INSUMOS!C:G,3,0))</f>
        <v>un</v>
      </c>
      <c r="F2299" s="118">
        <v>2.4500000000000001E-2</v>
      </c>
      <c r="G2299" s="113">
        <f>IF(A2299&amp;B2299="","",VLOOKUP(A2299&amp;B2299,INSUMOS!C:G,4,0))</f>
        <v>1.04</v>
      </c>
      <c r="H2299" s="119" t="str">
        <f t="shared" si="393"/>
        <v/>
      </c>
      <c r="I2299" s="119">
        <f t="shared" si="394"/>
        <v>0.02</v>
      </c>
      <c r="J2299" s="115" t="str">
        <f t="shared" si="395"/>
        <v/>
      </c>
      <c r="K2299" s="102" t="str">
        <f>IF(A2299&amp;B2299="","",VLOOKUP(A2299&amp;B2299,INSUMOS!C:G,5,0))</f>
        <v>MT</v>
      </c>
    </row>
    <row r="2300" spans="1:17" ht="15" x14ac:dyDescent="0.25">
      <c r="A2300" s="109" t="s">
        <v>4398</v>
      </c>
      <c r="B2300" s="116">
        <v>69514</v>
      </c>
      <c r="C2300" s="518" t="str">
        <f>IF(A2300&amp;B2300="","",VLOOKUP(A2300&amp;B2300,INSUMOS!C:G,2,0))</f>
        <v>Solução limpadora para PVC</v>
      </c>
      <c r="D2300" s="519"/>
      <c r="E2300" s="117" t="str">
        <f>IF(A2300&amp;B2300="","",VLOOKUP(A2300&amp;B2300,INSUMOS!C:G,3,0))</f>
        <v>l</v>
      </c>
      <c r="F2300" s="118">
        <v>1.4999999999999999E-2</v>
      </c>
      <c r="G2300" s="113">
        <f>IF(A2300&amp;B2300="","",VLOOKUP(A2300&amp;B2300,INSUMOS!C:G,4,0))</f>
        <v>29.11</v>
      </c>
      <c r="H2300" s="119" t="str">
        <f t="shared" si="393"/>
        <v/>
      </c>
      <c r="I2300" s="119">
        <f t="shared" si="394"/>
        <v>0.43</v>
      </c>
      <c r="J2300" s="115" t="str">
        <f t="shared" si="395"/>
        <v/>
      </c>
      <c r="K2300" s="102" t="str">
        <f>IF(A2300&amp;B2300="","",VLOOKUP(A2300&amp;B2300,INSUMOS!C:G,5,0))</f>
        <v>MT</v>
      </c>
    </row>
    <row r="2301" spans="1:17" ht="15" x14ac:dyDescent="0.25">
      <c r="A2301" s="109" t="s">
        <v>4810</v>
      </c>
      <c r="B2301" s="116">
        <v>20148</v>
      </c>
      <c r="C2301" s="518" t="str">
        <f>IF(A2301&amp;B2301="","",VLOOKUP(A2301&amp;B2301,INSUMOS!C:G,2,0))</f>
        <v>Joelho PVC série R p/ Esgoto Predial 45G DN 40MM</v>
      </c>
      <c r="D2301" s="519"/>
      <c r="E2301" s="117" t="str">
        <f>IF(A2301&amp;B2301="","",VLOOKUP(A2301&amp;B2301,INSUMOS!C:G,3,0))</f>
        <v>un</v>
      </c>
      <c r="F2301" s="118">
        <v>1</v>
      </c>
      <c r="G2301" s="113">
        <f>IF(A2301&amp;B2301="","",VLOOKUP(A2301&amp;B2301,INSUMOS!C:G,4,0))</f>
        <v>3.79</v>
      </c>
      <c r="H2301" s="119" t="str">
        <f t="shared" si="393"/>
        <v/>
      </c>
      <c r="I2301" s="119">
        <f t="shared" si="394"/>
        <v>3.79</v>
      </c>
      <c r="J2301" s="115" t="str">
        <f t="shared" si="395"/>
        <v/>
      </c>
      <c r="K2301" s="102" t="str">
        <f>IF(A2301&amp;B2301="","",VLOOKUP(A2301&amp;B2301,INSUMOS!C:G,5,0))</f>
        <v>MT</v>
      </c>
    </row>
    <row r="2302" spans="1:17" ht="15" x14ac:dyDescent="0.25">
      <c r="A2302" s="109"/>
      <c r="B2302" s="116"/>
      <c r="C2302" s="518" t="str">
        <f>IF(A2302&amp;B2302="","",VLOOKUP(A2302&amp;B2302,INSUMOS!C:G,2,0))</f>
        <v/>
      </c>
      <c r="D2302" s="519"/>
      <c r="E2302" s="117" t="str">
        <f>IF(A2302&amp;B2302="","",VLOOKUP(A2302&amp;B2302,INSUMOS!C:G,3,0))</f>
        <v/>
      </c>
      <c r="F2302" s="118"/>
      <c r="G2302" s="113" t="str">
        <f>IF(A2302&amp;B2302="","",VLOOKUP(A2302&amp;B2302,INSUMOS!C:G,4,0))</f>
        <v/>
      </c>
      <c r="H2302" s="119" t="str">
        <f t="shared" si="393"/>
        <v/>
      </c>
      <c r="I2302" s="119" t="str">
        <f t="shared" si="394"/>
        <v/>
      </c>
      <c r="J2302" s="115" t="str">
        <f t="shared" si="395"/>
        <v/>
      </c>
      <c r="K2302" s="102" t="str">
        <f>IF(A2302&amp;B2302="","",VLOOKUP(A2302&amp;B2302,INSUMOS!C:G,5,0))</f>
        <v/>
      </c>
    </row>
    <row r="2303" spans="1:17" ht="15" x14ac:dyDescent="0.25">
      <c r="A2303" s="109"/>
      <c r="B2303" s="116"/>
      <c r="C2303" s="518" t="str">
        <f>IF(A2303&amp;B2303="","",VLOOKUP(A2303&amp;B2303,INSUMOS!C:G,2,0))</f>
        <v/>
      </c>
      <c r="D2303" s="519"/>
      <c r="E2303" s="117" t="str">
        <f>IF(A2303&amp;B2303="","",VLOOKUP(A2303&amp;B2303,INSUMOS!C:G,3,0))</f>
        <v/>
      </c>
      <c r="F2303" s="118"/>
      <c r="G2303" s="113" t="str">
        <f>IF(A2303&amp;B2303="","",VLOOKUP(A2303&amp;B2303,INSUMOS!C:G,4,0))</f>
        <v/>
      </c>
      <c r="H2303" s="119" t="str">
        <f t="shared" si="393"/>
        <v/>
      </c>
      <c r="I2303" s="119" t="str">
        <f t="shared" si="394"/>
        <v/>
      </c>
      <c r="J2303" s="115" t="str">
        <f t="shared" si="395"/>
        <v/>
      </c>
      <c r="K2303" s="102" t="str">
        <f>IF(A2303&amp;B2303="","",VLOOKUP(A2303&amp;B2303,INSUMOS!C:G,5,0))</f>
        <v/>
      </c>
    </row>
    <row r="2304" spans="1:17" ht="15" x14ac:dyDescent="0.25">
      <c r="A2304" s="109"/>
      <c r="B2304" s="116"/>
      <c r="C2304" s="518" t="str">
        <f>IF(A2304&amp;B2304="","",VLOOKUP(A2304&amp;B2304,INSUMOS!C:G,2,0))</f>
        <v/>
      </c>
      <c r="D2304" s="519"/>
      <c r="E2304" s="117" t="str">
        <f>IF(A2304&amp;B2304="","",VLOOKUP(A2304&amp;B2304,INSUMOS!C:G,3,0))</f>
        <v/>
      </c>
      <c r="F2304" s="118"/>
      <c r="G2304" s="113" t="str">
        <f>IF(A2304&amp;B2304="","",VLOOKUP(A2304&amp;B2304,INSUMOS!C:G,4,0))</f>
        <v/>
      </c>
      <c r="H2304" s="119" t="str">
        <f t="shared" si="393"/>
        <v/>
      </c>
      <c r="I2304" s="119" t="str">
        <f t="shared" si="394"/>
        <v/>
      </c>
      <c r="J2304" s="115" t="str">
        <f t="shared" si="395"/>
        <v/>
      </c>
      <c r="K2304" s="102" t="str">
        <f>IF(A2304&amp;B2304="","",VLOOKUP(A2304&amp;B2304,INSUMOS!C:G,5,0))</f>
        <v/>
      </c>
    </row>
    <row r="2305" spans="1:17" ht="15" x14ac:dyDescent="0.25">
      <c r="A2305" s="109"/>
      <c r="B2305" s="116"/>
      <c r="C2305" s="518" t="str">
        <f>IF(A2305&amp;B2305="","",VLOOKUP(A2305&amp;B2305,INSUMOS!C:G,2,0))</f>
        <v/>
      </c>
      <c r="D2305" s="519"/>
      <c r="E2305" s="117" t="str">
        <f>IF(A2305&amp;B2305="","",VLOOKUP(A2305&amp;B2305,INSUMOS!C:G,3,0))</f>
        <v/>
      </c>
      <c r="F2305" s="118"/>
      <c r="G2305" s="113" t="str">
        <f>IF(A2305&amp;B2305="","",VLOOKUP(A2305&amp;B2305,INSUMOS!C:G,4,0))</f>
        <v/>
      </c>
      <c r="H2305" s="119" t="str">
        <f t="shared" si="393"/>
        <v/>
      </c>
      <c r="I2305" s="119" t="str">
        <f t="shared" si="394"/>
        <v/>
      </c>
      <c r="J2305" s="115" t="str">
        <f t="shared" si="395"/>
        <v/>
      </c>
      <c r="K2305" s="102" t="str">
        <f>IF(A2305&amp;B2305="","",VLOOKUP(A2305&amp;B2305,INSUMOS!C:G,5,0))</f>
        <v/>
      </c>
    </row>
    <row r="2306" spans="1:17" ht="15" x14ac:dyDescent="0.25">
      <c r="A2306" s="120"/>
      <c r="B2306" s="121"/>
      <c r="C2306" s="518" t="str">
        <f>IF(A2306&amp;B2306="","",VLOOKUP(A2306&amp;B2306,INSUMOS!C:G,2,0))</f>
        <v/>
      </c>
      <c r="D2306" s="519"/>
      <c r="E2306" s="117" t="str">
        <f>IF(A2306&amp;B2306="","",VLOOKUP(A2306&amp;B2306,INSUMOS!C:G,3,0))</f>
        <v/>
      </c>
      <c r="F2306" s="118"/>
      <c r="G2306" s="122" t="str">
        <f>IF(A2306&amp;B2306="","",VLOOKUP(A2306&amp;B2306,INSUMOS!C:G,4,0))</f>
        <v/>
      </c>
      <c r="H2306" s="119" t="str">
        <f t="shared" si="393"/>
        <v/>
      </c>
      <c r="I2306" s="119" t="str">
        <f t="shared" si="394"/>
        <v/>
      </c>
      <c r="J2306" s="115" t="str">
        <f t="shared" si="395"/>
        <v/>
      </c>
      <c r="K2306" s="102" t="str">
        <f>IF(A2306&amp;B2306="","",VLOOKUP(A2306&amp;B2306,INSUMOS!C:G,5,0))</f>
        <v/>
      </c>
    </row>
    <row r="2307" spans="1:17" ht="15" x14ac:dyDescent="0.25">
      <c r="A2307" s="120"/>
      <c r="B2307" s="121"/>
      <c r="C2307" s="518" t="str">
        <f>IF(A2307&amp;B2307="","",VLOOKUP(A2307&amp;B2307,INSUMOS!C:G,2,0))</f>
        <v/>
      </c>
      <c r="D2307" s="519"/>
      <c r="E2307" s="117" t="str">
        <f>IF(A2307&amp;B2307="","",VLOOKUP(A2307&amp;B2307,INSUMOS!C:G,3,0))</f>
        <v/>
      </c>
      <c r="F2307" s="118"/>
      <c r="G2307" s="122" t="str">
        <f>IF(A2307&amp;B2307="","",VLOOKUP(A2307&amp;B2307,INSUMOS!C:G,4,0))</f>
        <v/>
      </c>
      <c r="H2307" s="119" t="str">
        <f t="shared" si="393"/>
        <v/>
      </c>
      <c r="I2307" s="119" t="str">
        <f t="shared" si="394"/>
        <v/>
      </c>
      <c r="J2307" s="115" t="str">
        <f t="shared" si="395"/>
        <v/>
      </c>
      <c r="K2307" s="102" t="str">
        <f>IF(A2307&amp;B2307="","",VLOOKUP(A2307&amp;B2307,INSUMOS!C:G,5,0))</f>
        <v/>
      </c>
    </row>
    <row r="2308" spans="1:17" ht="15" x14ac:dyDescent="0.25">
      <c r="A2308" s="120"/>
      <c r="B2308" s="121"/>
      <c r="C2308" s="518" t="str">
        <f>IF(A2308&amp;B2308="","",VLOOKUP(A2308&amp;B2308,INSUMOS!C:G,2,0))</f>
        <v/>
      </c>
      <c r="D2308" s="519"/>
      <c r="E2308" s="117" t="str">
        <f>IF(A2308&amp;B2308="","",VLOOKUP(A2308&amp;B2308,INSUMOS!C:G,3,0))</f>
        <v/>
      </c>
      <c r="F2308" s="118"/>
      <c r="G2308" s="122" t="str">
        <f>IF(A2308&amp;B2308="","",VLOOKUP(A2308&amp;B2308,INSUMOS!C:G,4,0))</f>
        <v/>
      </c>
      <c r="H2308" s="119" t="str">
        <f t="shared" si="393"/>
        <v/>
      </c>
      <c r="I2308" s="119" t="str">
        <f t="shared" si="394"/>
        <v/>
      </c>
      <c r="J2308" s="115" t="str">
        <f t="shared" si="395"/>
        <v/>
      </c>
      <c r="K2308" s="102" t="str">
        <f>IF(A2308&amp;B2308="","",VLOOKUP(A2308&amp;B2308,INSUMOS!C:G,5,0))</f>
        <v/>
      </c>
    </row>
    <row r="2309" spans="1:17" ht="15" x14ac:dyDescent="0.25">
      <c r="A2309" s="123" t="s">
        <v>4399</v>
      </c>
      <c r="B2309" s="542" t="s">
        <v>5315</v>
      </c>
      <c r="C2309" s="542"/>
      <c r="D2309" s="542"/>
      <c r="E2309" s="542"/>
      <c r="F2309" s="543"/>
      <c r="G2309" s="124" t="s">
        <v>50</v>
      </c>
      <c r="H2309" s="125">
        <f>SUM(H2296:H2308)</f>
        <v>1.38</v>
      </c>
      <c r="I2309" s="125">
        <f>SUM(I2296:I2308)</f>
        <v>4.66</v>
      </c>
      <c r="J2309" s="126">
        <f>SUM(J2296:J2308)</f>
        <v>0</v>
      </c>
    </row>
    <row r="2310" spans="1:17" ht="15" x14ac:dyDescent="0.25">
      <c r="A2310" s="127" t="s">
        <v>4400</v>
      </c>
      <c r="B2310" s="128"/>
      <c r="C2310" s="128"/>
      <c r="D2310" s="127" t="s">
        <v>51</v>
      </c>
      <c r="E2310" s="128"/>
      <c r="F2310" s="129"/>
      <c r="G2310" s="130" t="s">
        <v>55</v>
      </c>
      <c r="H2310" s="131" t="s">
        <v>52</v>
      </c>
      <c r="I2310" s="132"/>
      <c r="J2310" s="125">
        <f>SUM(H2309:J2309)</f>
        <v>6.04</v>
      </c>
    </row>
    <row r="2311" spans="1:17" ht="15" x14ac:dyDescent="0.25">
      <c r="A2311" s="313" t="str">
        <f>$I$3</f>
        <v>Carlos Wieck</v>
      </c>
      <c r="B2311" s="133"/>
      <c r="C2311" s="133"/>
      <c r="D2311" s="134"/>
      <c r="E2311" s="133"/>
      <c r="F2311" s="135"/>
      <c r="G2311" s="522">
        <f>$J$5</f>
        <v>43040</v>
      </c>
      <c r="H2311" s="136" t="s">
        <v>53</v>
      </c>
      <c r="I2311" s="137"/>
      <c r="J2311" s="125">
        <f>TRUNC(I2311*J2310,2)</f>
        <v>0</v>
      </c>
    </row>
    <row r="2312" spans="1:17" ht="15" x14ac:dyDescent="0.25">
      <c r="A2312" s="314"/>
      <c r="B2312" s="139"/>
      <c r="C2312" s="139"/>
      <c r="D2312" s="138"/>
      <c r="E2312" s="139"/>
      <c r="F2312" s="140"/>
      <c r="G2312" s="523"/>
      <c r="H2312" s="141" t="s">
        <v>54</v>
      </c>
      <c r="I2312" s="142"/>
      <c r="J2312" s="143">
        <f>J2311+J2310</f>
        <v>6.04</v>
      </c>
      <c r="L2312" s="102" t="str">
        <f>A2293</f>
        <v>COMPOSIÇÃO</v>
      </c>
      <c r="M2312" s="144" t="str">
        <f>B2293</f>
        <v>FF-097</v>
      </c>
      <c r="N2312" s="102" t="str">
        <f>L2312&amp;M2312</f>
        <v>COMPOSIÇÃOFF-097</v>
      </c>
      <c r="O2312" s="103" t="str">
        <f>D2292</f>
        <v>Joelho 90 graus de PVC série R diam. 40mm, fornecimento e instalação</v>
      </c>
      <c r="P2312" s="145" t="str">
        <f>J2293</f>
        <v>un</v>
      </c>
      <c r="Q2312" s="145">
        <f>J2312</f>
        <v>6.04</v>
      </c>
    </row>
    <row r="2313" spans="1:17" ht="15" customHeight="1" x14ac:dyDescent="0.25">
      <c r="A2313" s="524" t="s">
        <v>40</v>
      </c>
      <c r="B2313" s="525"/>
      <c r="C2313" s="104" t="s">
        <v>41</v>
      </c>
      <c r="D2313" s="526" t="str">
        <f>IF(B2314="","",VLOOKUP(B2314,SERVIÇOS!B:E,3,0))</f>
        <v>Joelho 45 graus de PVC série R diam. 100mm, fornecimento e instalação</v>
      </c>
      <c r="E2313" s="526"/>
      <c r="F2313" s="526"/>
      <c r="G2313" s="526"/>
      <c r="H2313" s="526"/>
      <c r="I2313" s="527"/>
      <c r="J2313" s="105" t="s">
        <v>42</v>
      </c>
    </row>
    <row r="2314" spans="1:17" ht="15" x14ac:dyDescent="0.25">
      <c r="A2314" s="230" t="s">
        <v>4715</v>
      </c>
      <c r="B2314" s="230" t="s">
        <v>5251</v>
      </c>
      <c r="C2314" s="106"/>
      <c r="D2314" s="528"/>
      <c r="E2314" s="528"/>
      <c r="F2314" s="528"/>
      <c r="G2314" s="528"/>
      <c r="H2314" s="528"/>
      <c r="I2314" s="529"/>
      <c r="J2314" s="107" t="str">
        <f>IF(B2314="","",VLOOKUP(B2314,SERVIÇOS!B:E,4,0))</f>
        <v>un</v>
      </c>
    </row>
    <row r="2315" spans="1:17" ht="15" x14ac:dyDescent="0.25">
      <c r="A2315" s="530" t="s">
        <v>4397</v>
      </c>
      <c r="B2315" s="531" t="s">
        <v>11</v>
      </c>
      <c r="C2315" s="533" t="s">
        <v>43</v>
      </c>
      <c r="D2315" s="534"/>
      <c r="E2315" s="530" t="s">
        <v>13</v>
      </c>
      <c r="F2315" s="530" t="s">
        <v>44</v>
      </c>
      <c r="G2315" s="538" t="s">
        <v>45</v>
      </c>
      <c r="H2315" s="108" t="s">
        <v>46</v>
      </c>
      <c r="I2315" s="108"/>
      <c r="J2315" s="108"/>
    </row>
    <row r="2316" spans="1:17" ht="15" x14ac:dyDescent="0.25">
      <c r="A2316" s="530"/>
      <c r="B2316" s="532"/>
      <c r="C2316" s="535"/>
      <c r="D2316" s="536"/>
      <c r="E2316" s="537"/>
      <c r="F2316" s="537"/>
      <c r="G2316" s="539"/>
      <c r="H2316" s="108" t="s">
        <v>47</v>
      </c>
      <c r="I2316" s="108" t="s">
        <v>48</v>
      </c>
      <c r="J2316" s="108" t="s">
        <v>49</v>
      </c>
    </row>
    <row r="2317" spans="1:17" ht="15" x14ac:dyDescent="0.25">
      <c r="A2317" s="109" t="s">
        <v>4398</v>
      </c>
      <c r="B2317" s="110">
        <v>10119</v>
      </c>
      <c r="C2317" s="540" t="str">
        <f>IF(A2317&amp;B2317="","",VLOOKUP(A2317&amp;B2317,INSUMOS!C:G,2,0))</f>
        <v>Ajudante de encanador</v>
      </c>
      <c r="D2317" s="541"/>
      <c r="E2317" s="111" t="str">
        <f>IF(A2317&amp;B2317="","",VLOOKUP(A2317&amp;B2317,INSUMOS!C:G,3,0))</f>
        <v>h</v>
      </c>
      <c r="F2317" s="112">
        <v>0.14000000000000001</v>
      </c>
      <c r="G2317" s="113">
        <f>IF(A2317&amp;B2317="","",VLOOKUP(A2317&amp;B2317,INSUMOS!C:G,4,0))</f>
        <v>10.985028</v>
      </c>
      <c r="H2317" s="114">
        <f>IF(K2317="MO",TRUNC(F2317*G2317,2),"")</f>
        <v>1.53</v>
      </c>
      <c r="I2317" s="114" t="str">
        <f>IF(K2317="MT",TRUNC(F2317*G2317,2),"")</f>
        <v/>
      </c>
      <c r="J2317" s="115" t="str">
        <f>IF(K2317="EQ",TRUNC(F2317*G2317,2),"")</f>
        <v/>
      </c>
      <c r="K2317" s="102" t="str">
        <f>IF(A2317&amp;B2317="","",VLOOKUP(A2317&amp;B2317,INSUMOS!C:G,5,0))</f>
        <v>MO</v>
      </c>
    </row>
    <row r="2318" spans="1:17" ht="15" x14ac:dyDescent="0.25">
      <c r="A2318" s="109" t="s">
        <v>4398</v>
      </c>
      <c r="B2318" s="116">
        <v>10118</v>
      </c>
      <c r="C2318" s="518" t="str">
        <f>IF(A2318&amp;B2318="","",VLOOKUP(A2318&amp;B2318,INSUMOS!C:G,2,0))</f>
        <v xml:space="preserve">Encanador </v>
      </c>
      <c r="D2318" s="519"/>
      <c r="E2318" s="117" t="str">
        <f>IF(A2318&amp;B2318="","",VLOOKUP(A2318&amp;B2318,INSUMOS!C:G,3,0))</f>
        <v>h</v>
      </c>
      <c r="F2318" s="118">
        <v>0.14000000000000001</v>
      </c>
      <c r="G2318" s="113">
        <f>IF(A2318&amp;B2318="","",VLOOKUP(A2318&amp;B2318,INSUMOS!C:G,4,0))</f>
        <v>16.906036</v>
      </c>
      <c r="H2318" s="119">
        <f t="shared" ref="H2318:H2329" si="396">IF(K2318="MO",TRUNC(F2318*G2318,2),"")</f>
        <v>2.36</v>
      </c>
      <c r="I2318" s="119" t="str">
        <f t="shared" ref="I2318:I2329" si="397">IF(K2318="MT",TRUNC(F2318*G2318,2),"")</f>
        <v/>
      </c>
      <c r="J2318" s="115" t="str">
        <f t="shared" ref="J2318:J2329" si="398">IF(K2318="EQ",TRUNC(F2318*G2318,2),"")</f>
        <v/>
      </c>
      <c r="K2318" s="102" t="str">
        <f>IF(A2318&amp;B2318="","",VLOOKUP(A2318&amp;B2318,INSUMOS!C:G,5,0))</f>
        <v>MO</v>
      </c>
    </row>
    <row r="2319" spans="1:17" ht="15" x14ac:dyDescent="0.25">
      <c r="A2319" s="109" t="s">
        <v>4810</v>
      </c>
      <c r="B2319" s="116">
        <v>301</v>
      </c>
      <c r="C2319" s="518" t="str">
        <f>IF(A2319&amp;B2319="","",VLOOKUP(A2319&amp;B2319,INSUMOS!C:G,2,0))</f>
        <v>Anel de borracha para tubo de esgoto predial, DN 100 mm (NBR 5688)</v>
      </c>
      <c r="D2319" s="519"/>
      <c r="E2319" s="117" t="str">
        <f>IF(A2319&amp;B2319="","",VLOOKUP(A2319&amp;B2319,INSUMOS!C:G,3,0))</f>
        <v>un</v>
      </c>
      <c r="F2319" s="118">
        <v>1</v>
      </c>
      <c r="G2319" s="113">
        <f>IF(A2319&amp;B2319="","",VLOOKUP(A2319&amp;B2319,INSUMOS!C:G,4,0))</f>
        <v>1.48</v>
      </c>
      <c r="H2319" s="119" t="str">
        <f t="shared" si="396"/>
        <v/>
      </c>
      <c r="I2319" s="119">
        <f t="shared" si="397"/>
        <v>1.48</v>
      </c>
      <c r="J2319" s="115" t="str">
        <f t="shared" si="398"/>
        <v/>
      </c>
      <c r="K2319" s="102" t="str">
        <f>IF(A2319&amp;B2319="","",VLOOKUP(A2319&amp;B2319,INSUMOS!C:G,5,0))</f>
        <v>MT</v>
      </c>
    </row>
    <row r="2320" spans="1:17" ht="15" x14ac:dyDescent="0.25">
      <c r="A2320" s="109" t="s">
        <v>4810</v>
      </c>
      <c r="B2320" s="116">
        <v>20078</v>
      </c>
      <c r="C2320" s="518" t="str">
        <f>IF(A2320&amp;B2320="","",VLOOKUP(A2320&amp;B2320,INSUMOS!C:G,2,0))</f>
        <v>Pasta lubrificante para uso em tubos de PVC com anel de borracha (pote de 400G)</v>
      </c>
      <c r="D2320" s="519"/>
      <c r="E2320" s="117" t="str">
        <f>IF(A2320&amp;B2320="","",VLOOKUP(A2320&amp;B2320,INSUMOS!C:G,3,0))</f>
        <v>un</v>
      </c>
      <c r="F2320" s="118">
        <v>4.5999999999999999E-2</v>
      </c>
      <c r="G2320" s="113">
        <f>IF(A2320&amp;B2320="","",VLOOKUP(A2320&amp;B2320,INSUMOS!C:G,4,0))</f>
        <v>13.33</v>
      </c>
      <c r="H2320" s="119" t="str">
        <f t="shared" si="396"/>
        <v/>
      </c>
      <c r="I2320" s="119">
        <f t="shared" si="397"/>
        <v>0.61</v>
      </c>
      <c r="J2320" s="115" t="str">
        <f t="shared" si="398"/>
        <v/>
      </c>
      <c r="K2320" s="102" t="str">
        <f>IF(A2320&amp;B2320="","",VLOOKUP(A2320&amp;B2320,INSUMOS!C:G,5,0))</f>
        <v>MT</v>
      </c>
    </row>
    <row r="2321" spans="1:17" ht="15" x14ac:dyDescent="0.25">
      <c r="A2321" s="109" t="s">
        <v>4810</v>
      </c>
      <c r="B2321" s="116">
        <v>20151</v>
      </c>
      <c r="C2321" s="518" t="str">
        <f>IF(A2321&amp;B2321="","",VLOOKUP(A2321&amp;B2321,INSUMOS!C:G,2,0))</f>
        <v>Joelho PVC série R p/ Esgoto Predial 45G DN 100 MM</v>
      </c>
      <c r="D2321" s="519"/>
      <c r="E2321" s="117" t="str">
        <f>IF(A2321&amp;B2321="","",VLOOKUP(A2321&amp;B2321,INSUMOS!C:G,3,0))</f>
        <v>un</v>
      </c>
      <c r="F2321" s="118">
        <v>1</v>
      </c>
      <c r="G2321" s="113">
        <f>IF(A2321&amp;B2321="","",VLOOKUP(A2321&amp;B2321,INSUMOS!C:G,4,0))</f>
        <v>19.190000000000001</v>
      </c>
      <c r="H2321" s="119" t="str">
        <f t="shared" si="396"/>
        <v/>
      </c>
      <c r="I2321" s="119">
        <f t="shared" si="397"/>
        <v>19.190000000000001</v>
      </c>
      <c r="J2321" s="115" t="str">
        <f t="shared" si="398"/>
        <v/>
      </c>
      <c r="K2321" s="102" t="str">
        <f>IF(A2321&amp;B2321="","",VLOOKUP(A2321&amp;B2321,INSUMOS!C:G,5,0))</f>
        <v>MT</v>
      </c>
    </row>
    <row r="2322" spans="1:17" ht="15" x14ac:dyDescent="0.25">
      <c r="A2322" s="109"/>
      <c r="B2322" s="116"/>
      <c r="C2322" s="518" t="str">
        <f>IF(A2322&amp;B2322="","",VLOOKUP(A2322&amp;B2322,INSUMOS!C:G,2,0))</f>
        <v/>
      </c>
      <c r="D2322" s="519"/>
      <c r="E2322" s="117" t="str">
        <f>IF(A2322&amp;B2322="","",VLOOKUP(A2322&amp;B2322,INSUMOS!C:G,3,0))</f>
        <v/>
      </c>
      <c r="F2322" s="118"/>
      <c r="G2322" s="113" t="str">
        <f>IF(A2322&amp;B2322="","",VLOOKUP(A2322&amp;B2322,INSUMOS!C:G,4,0))</f>
        <v/>
      </c>
      <c r="H2322" s="119" t="str">
        <f t="shared" si="396"/>
        <v/>
      </c>
      <c r="I2322" s="119" t="str">
        <f t="shared" si="397"/>
        <v/>
      </c>
      <c r="J2322" s="115" t="str">
        <f t="shared" si="398"/>
        <v/>
      </c>
      <c r="K2322" s="102" t="str">
        <f>IF(A2322&amp;B2322="","",VLOOKUP(A2322&amp;B2322,INSUMOS!C:G,5,0))</f>
        <v/>
      </c>
    </row>
    <row r="2323" spans="1:17" ht="15" x14ac:dyDescent="0.25">
      <c r="A2323" s="109"/>
      <c r="B2323" s="116"/>
      <c r="C2323" s="518" t="str">
        <f>IF(A2323&amp;B2323="","",VLOOKUP(A2323&amp;B2323,INSUMOS!C:G,2,0))</f>
        <v/>
      </c>
      <c r="D2323" s="519"/>
      <c r="E2323" s="117" t="str">
        <f>IF(A2323&amp;B2323="","",VLOOKUP(A2323&amp;B2323,INSUMOS!C:G,3,0))</f>
        <v/>
      </c>
      <c r="F2323" s="118"/>
      <c r="G2323" s="113" t="str">
        <f>IF(A2323&amp;B2323="","",VLOOKUP(A2323&amp;B2323,INSUMOS!C:G,4,0))</f>
        <v/>
      </c>
      <c r="H2323" s="119" t="str">
        <f t="shared" si="396"/>
        <v/>
      </c>
      <c r="I2323" s="119" t="str">
        <f t="shared" si="397"/>
        <v/>
      </c>
      <c r="J2323" s="115" t="str">
        <f t="shared" si="398"/>
        <v/>
      </c>
      <c r="K2323" s="102" t="str">
        <f>IF(A2323&amp;B2323="","",VLOOKUP(A2323&amp;B2323,INSUMOS!C:G,5,0))</f>
        <v/>
      </c>
    </row>
    <row r="2324" spans="1:17" ht="15" x14ac:dyDescent="0.25">
      <c r="A2324" s="109"/>
      <c r="B2324" s="116"/>
      <c r="C2324" s="518" t="str">
        <f>IF(A2324&amp;B2324="","",VLOOKUP(A2324&amp;B2324,INSUMOS!C:G,2,0))</f>
        <v/>
      </c>
      <c r="D2324" s="519"/>
      <c r="E2324" s="117" t="str">
        <f>IF(A2324&amp;B2324="","",VLOOKUP(A2324&amp;B2324,INSUMOS!C:G,3,0))</f>
        <v/>
      </c>
      <c r="F2324" s="118"/>
      <c r="G2324" s="113" t="str">
        <f>IF(A2324&amp;B2324="","",VLOOKUP(A2324&amp;B2324,INSUMOS!C:G,4,0))</f>
        <v/>
      </c>
      <c r="H2324" s="119" t="str">
        <f t="shared" si="396"/>
        <v/>
      </c>
      <c r="I2324" s="119" t="str">
        <f t="shared" si="397"/>
        <v/>
      </c>
      <c r="J2324" s="115" t="str">
        <f t="shared" si="398"/>
        <v/>
      </c>
      <c r="K2324" s="102" t="str">
        <f>IF(A2324&amp;B2324="","",VLOOKUP(A2324&amp;B2324,INSUMOS!C:G,5,0))</f>
        <v/>
      </c>
    </row>
    <row r="2325" spans="1:17" ht="15" x14ac:dyDescent="0.25">
      <c r="A2325" s="109"/>
      <c r="B2325" s="116"/>
      <c r="C2325" s="518" t="str">
        <f>IF(A2325&amp;B2325="","",VLOOKUP(A2325&amp;B2325,INSUMOS!C:G,2,0))</f>
        <v/>
      </c>
      <c r="D2325" s="519"/>
      <c r="E2325" s="117" t="str">
        <f>IF(A2325&amp;B2325="","",VLOOKUP(A2325&amp;B2325,INSUMOS!C:G,3,0))</f>
        <v/>
      </c>
      <c r="F2325" s="118"/>
      <c r="G2325" s="113" t="str">
        <f>IF(A2325&amp;B2325="","",VLOOKUP(A2325&amp;B2325,INSUMOS!C:G,4,0))</f>
        <v/>
      </c>
      <c r="H2325" s="119" t="str">
        <f t="shared" si="396"/>
        <v/>
      </c>
      <c r="I2325" s="119" t="str">
        <f t="shared" si="397"/>
        <v/>
      </c>
      <c r="J2325" s="115" t="str">
        <f t="shared" si="398"/>
        <v/>
      </c>
      <c r="K2325" s="102" t="str">
        <f>IF(A2325&amp;B2325="","",VLOOKUP(A2325&amp;B2325,INSUMOS!C:G,5,0))</f>
        <v/>
      </c>
    </row>
    <row r="2326" spans="1:17" ht="15" x14ac:dyDescent="0.25">
      <c r="A2326" s="109"/>
      <c r="B2326" s="116"/>
      <c r="C2326" s="518" t="str">
        <f>IF(A2326&amp;B2326="","",VLOOKUP(A2326&amp;B2326,INSUMOS!C:G,2,0))</f>
        <v/>
      </c>
      <c r="D2326" s="519"/>
      <c r="E2326" s="117" t="str">
        <f>IF(A2326&amp;B2326="","",VLOOKUP(A2326&amp;B2326,INSUMOS!C:G,3,0))</f>
        <v/>
      </c>
      <c r="F2326" s="118"/>
      <c r="G2326" s="113" t="str">
        <f>IF(A2326&amp;B2326="","",VLOOKUP(A2326&amp;B2326,INSUMOS!C:G,4,0))</f>
        <v/>
      </c>
      <c r="H2326" s="119" t="str">
        <f t="shared" si="396"/>
        <v/>
      </c>
      <c r="I2326" s="119" t="str">
        <f t="shared" si="397"/>
        <v/>
      </c>
      <c r="J2326" s="115" t="str">
        <f t="shared" si="398"/>
        <v/>
      </c>
      <c r="K2326" s="102" t="str">
        <f>IF(A2326&amp;B2326="","",VLOOKUP(A2326&amp;B2326,INSUMOS!C:G,5,0))</f>
        <v/>
      </c>
    </row>
    <row r="2327" spans="1:17" ht="15" x14ac:dyDescent="0.25">
      <c r="A2327" s="120"/>
      <c r="B2327" s="121"/>
      <c r="C2327" s="518" t="str">
        <f>IF(A2327&amp;B2327="","",VLOOKUP(A2327&amp;B2327,INSUMOS!C:G,2,0))</f>
        <v/>
      </c>
      <c r="D2327" s="519"/>
      <c r="E2327" s="117" t="str">
        <f>IF(A2327&amp;B2327="","",VLOOKUP(A2327&amp;B2327,INSUMOS!C:G,3,0))</f>
        <v/>
      </c>
      <c r="F2327" s="118"/>
      <c r="G2327" s="122" t="str">
        <f>IF(A2327&amp;B2327="","",VLOOKUP(A2327&amp;B2327,INSUMOS!C:G,4,0))</f>
        <v/>
      </c>
      <c r="H2327" s="119" t="str">
        <f t="shared" si="396"/>
        <v/>
      </c>
      <c r="I2327" s="119" t="str">
        <f t="shared" si="397"/>
        <v/>
      </c>
      <c r="J2327" s="115" t="str">
        <f t="shared" si="398"/>
        <v/>
      </c>
      <c r="K2327" s="102" t="str">
        <f>IF(A2327&amp;B2327="","",VLOOKUP(A2327&amp;B2327,INSUMOS!C:G,5,0))</f>
        <v/>
      </c>
    </row>
    <row r="2328" spans="1:17" ht="15" x14ac:dyDescent="0.25">
      <c r="A2328" s="120"/>
      <c r="B2328" s="121"/>
      <c r="C2328" s="518" t="str">
        <f>IF(A2328&amp;B2328="","",VLOOKUP(A2328&amp;B2328,INSUMOS!C:G,2,0))</f>
        <v/>
      </c>
      <c r="D2328" s="519"/>
      <c r="E2328" s="117" t="str">
        <f>IF(A2328&amp;B2328="","",VLOOKUP(A2328&amp;B2328,INSUMOS!C:G,3,0))</f>
        <v/>
      </c>
      <c r="F2328" s="118"/>
      <c r="G2328" s="122" t="str">
        <f>IF(A2328&amp;B2328="","",VLOOKUP(A2328&amp;B2328,INSUMOS!C:G,4,0))</f>
        <v/>
      </c>
      <c r="H2328" s="119" t="str">
        <f t="shared" si="396"/>
        <v/>
      </c>
      <c r="I2328" s="119" t="str">
        <f t="shared" si="397"/>
        <v/>
      </c>
      <c r="J2328" s="115" t="str">
        <f t="shared" si="398"/>
        <v/>
      </c>
      <c r="K2328" s="102" t="str">
        <f>IF(A2328&amp;B2328="","",VLOOKUP(A2328&amp;B2328,INSUMOS!C:G,5,0))</f>
        <v/>
      </c>
    </row>
    <row r="2329" spans="1:17" ht="15" x14ac:dyDescent="0.25">
      <c r="A2329" s="120"/>
      <c r="B2329" s="121"/>
      <c r="C2329" s="518" t="str">
        <f>IF(A2329&amp;B2329="","",VLOOKUP(A2329&amp;B2329,INSUMOS!C:G,2,0))</f>
        <v/>
      </c>
      <c r="D2329" s="519"/>
      <c r="E2329" s="117" t="str">
        <f>IF(A2329&amp;B2329="","",VLOOKUP(A2329&amp;B2329,INSUMOS!C:G,3,0))</f>
        <v/>
      </c>
      <c r="F2329" s="118"/>
      <c r="G2329" s="122" t="str">
        <f>IF(A2329&amp;B2329="","",VLOOKUP(A2329&amp;B2329,INSUMOS!C:G,4,0))</f>
        <v/>
      </c>
      <c r="H2329" s="119" t="str">
        <f t="shared" si="396"/>
        <v/>
      </c>
      <c r="I2329" s="119" t="str">
        <f t="shared" si="397"/>
        <v/>
      </c>
      <c r="J2329" s="115" t="str">
        <f t="shared" si="398"/>
        <v/>
      </c>
      <c r="K2329" s="102" t="str">
        <f>IF(A2329&amp;B2329="","",VLOOKUP(A2329&amp;B2329,INSUMOS!C:G,5,0))</f>
        <v/>
      </c>
    </row>
    <row r="2330" spans="1:17" ht="15" x14ac:dyDescent="0.25">
      <c r="A2330" s="123" t="s">
        <v>4399</v>
      </c>
      <c r="B2330" s="542" t="s">
        <v>5312</v>
      </c>
      <c r="C2330" s="542"/>
      <c r="D2330" s="542"/>
      <c r="E2330" s="542"/>
      <c r="F2330" s="543"/>
      <c r="G2330" s="124" t="s">
        <v>50</v>
      </c>
      <c r="H2330" s="125">
        <f>SUM(H2317:H2329)</f>
        <v>3.8899999999999997</v>
      </c>
      <c r="I2330" s="125">
        <f>SUM(I2317:I2329)</f>
        <v>21.28</v>
      </c>
      <c r="J2330" s="126">
        <f>SUM(J2317:J2329)</f>
        <v>0</v>
      </c>
    </row>
    <row r="2331" spans="1:17" ht="15" x14ac:dyDescent="0.25">
      <c r="A2331" s="127" t="s">
        <v>4400</v>
      </c>
      <c r="B2331" s="128"/>
      <c r="C2331" s="128"/>
      <c r="D2331" s="127" t="s">
        <v>51</v>
      </c>
      <c r="E2331" s="128"/>
      <c r="F2331" s="129"/>
      <c r="G2331" s="130" t="s">
        <v>55</v>
      </c>
      <c r="H2331" s="131" t="s">
        <v>52</v>
      </c>
      <c r="I2331" s="132"/>
      <c r="J2331" s="125">
        <f>SUM(H2330:J2330)</f>
        <v>25.17</v>
      </c>
    </row>
    <row r="2332" spans="1:17" ht="15" x14ac:dyDescent="0.25">
      <c r="A2332" s="313" t="str">
        <f>$I$3</f>
        <v>Carlos Wieck</v>
      </c>
      <c r="B2332" s="133"/>
      <c r="C2332" s="133"/>
      <c r="D2332" s="134"/>
      <c r="E2332" s="133"/>
      <c r="F2332" s="135"/>
      <c r="G2332" s="522">
        <f>$J$5</f>
        <v>43040</v>
      </c>
      <c r="H2332" s="136" t="s">
        <v>53</v>
      </c>
      <c r="I2332" s="137"/>
      <c r="J2332" s="125">
        <f>TRUNC(I2332*J2331,2)</f>
        <v>0</v>
      </c>
    </row>
    <row r="2333" spans="1:17" ht="15" x14ac:dyDescent="0.25">
      <c r="A2333" s="314"/>
      <c r="B2333" s="139"/>
      <c r="C2333" s="139"/>
      <c r="D2333" s="138"/>
      <c r="E2333" s="139"/>
      <c r="F2333" s="140"/>
      <c r="G2333" s="523"/>
      <c r="H2333" s="141" t="s">
        <v>54</v>
      </c>
      <c r="I2333" s="142"/>
      <c r="J2333" s="143">
        <f>J2332+J2331</f>
        <v>25.17</v>
      </c>
      <c r="L2333" s="102" t="str">
        <f>A2314</f>
        <v>COMPOSIÇÃO</v>
      </c>
      <c r="M2333" s="144" t="str">
        <f>B2314</f>
        <v>FF-098</v>
      </c>
      <c r="N2333" s="102" t="str">
        <f>L2333&amp;M2333</f>
        <v>COMPOSIÇÃOFF-098</v>
      </c>
      <c r="O2333" s="103" t="str">
        <f>D2313</f>
        <v>Joelho 45 graus de PVC série R diam. 100mm, fornecimento e instalação</v>
      </c>
      <c r="P2333" s="145" t="str">
        <f>J2314</f>
        <v>un</v>
      </c>
      <c r="Q2333" s="145">
        <f>J2333</f>
        <v>25.17</v>
      </c>
    </row>
    <row r="2334" spans="1:17" ht="15" customHeight="1" x14ac:dyDescent="0.25">
      <c r="A2334" s="524" t="s">
        <v>40</v>
      </c>
      <c r="B2334" s="525"/>
      <c r="C2334" s="104" t="s">
        <v>41</v>
      </c>
      <c r="D2334" s="526" t="str">
        <f>IF(B2335="","",VLOOKUP(B2335,SERVIÇOS!B:E,3,0))</f>
        <v>Joelho 45 graus de PVC série R diam. 50mm, fornecimento e instalação</v>
      </c>
      <c r="E2334" s="526"/>
      <c r="F2334" s="526"/>
      <c r="G2334" s="526"/>
      <c r="H2334" s="526"/>
      <c r="I2334" s="527"/>
      <c r="J2334" s="105" t="s">
        <v>42</v>
      </c>
    </row>
    <row r="2335" spans="1:17" ht="15" x14ac:dyDescent="0.25">
      <c r="A2335" s="230" t="s">
        <v>4715</v>
      </c>
      <c r="B2335" s="230" t="s">
        <v>5252</v>
      </c>
      <c r="C2335" s="106"/>
      <c r="D2335" s="528"/>
      <c r="E2335" s="528"/>
      <c r="F2335" s="528"/>
      <c r="G2335" s="528"/>
      <c r="H2335" s="528"/>
      <c r="I2335" s="529"/>
      <c r="J2335" s="107" t="str">
        <f>IF(B2335="","",VLOOKUP(B2335,SERVIÇOS!B:E,4,0))</f>
        <v>un</v>
      </c>
    </row>
    <row r="2336" spans="1:17" ht="15" x14ac:dyDescent="0.25">
      <c r="A2336" s="530" t="s">
        <v>4397</v>
      </c>
      <c r="B2336" s="531" t="s">
        <v>11</v>
      </c>
      <c r="C2336" s="533" t="s">
        <v>43</v>
      </c>
      <c r="D2336" s="534"/>
      <c r="E2336" s="530" t="s">
        <v>13</v>
      </c>
      <c r="F2336" s="530" t="s">
        <v>44</v>
      </c>
      <c r="G2336" s="538" t="s">
        <v>45</v>
      </c>
      <c r="H2336" s="108" t="s">
        <v>46</v>
      </c>
      <c r="I2336" s="108"/>
      <c r="J2336" s="108"/>
    </row>
    <row r="2337" spans="1:11" ht="15" x14ac:dyDescent="0.25">
      <c r="A2337" s="530"/>
      <c r="B2337" s="532"/>
      <c r="C2337" s="535"/>
      <c r="D2337" s="536"/>
      <c r="E2337" s="537"/>
      <c r="F2337" s="537"/>
      <c r="G2337" s="539"/>
      <c r="H2337" s="108" t="s">
        <v>47</v>
      </c>
      <c r="I2337" s="108" t="s">
        <v>48</v>
      </c>
      <c r="J2337" s="108" t="s">
        <v>49</v>
      </c>
    </row>
    <row r="2338" spans="1:11" ht="15" x14ac:dyDescent="0.25">
      <c r="A2338" s="109" t="s">
        <v>4398</v>
      </c>
      <c r="B2338" s="110">
        <v>10119</v>
      </c>
      <c r="C2338" s="540" t="str">
        <f>IF(A2338&amp;B2338="","",VLOOKUP(A2338&amp;B2338,INSUMOS!C:G,2,0))</f>
        <v>Ajudante de encanador</v>
      </c>
      <c r="D2338" s="541"/>
      <c r="E2338" s="111" t="str">
        <f>IF(A2338&amp;B2338="","",VLOOKUP(A2338&amp;B2338,INSUMOS!C:G,3,0))</f>
        <v>h</v>
      </c>
      <c r="F2338" s="112">
        <v>6.5000000000000002E-2</v>
      </c>
      <c r="G2338" s="113">
        <f>IF(A2338&amp;B2338="","",VLOOKUP(A2338&amp;B2338,INSUMOS!C:G,4,0))</f>
        <v>10.985028</v>
      </c>
      <c r="H2338" s="114">
        <f>IF(K2338="MO",TRUNC(F2338*G2338,2),"")</f>
        <v>0.71</v>
      </c>
      <c r="I2338" s="114" t="str">
        <f>IF(K2338="MT",TRUNC(F2338*G2338,2),"")</f>
        <v/>
      </c>
      <c r="J2338" s="115" t="str">
        <f>IF(K2338="EQ",TRUNC(F2338*G2338,2),"")</f>
        <v/>
      </c>
      <c r="K2338" s="102" t="str">
        <f>IF(A2338&amp;B2338="","",VLOOKUP(A2338&amp;B2338,INSUMOS!C:G,5,0))</f>
        <v>MO</v>
      </c>
    </row>
    <row r="2339" spans="1:11" ht="15" x14ac:dyDescent="0.25">
      <c r="A2339" s="109" t="s">
        <v>4398</v>
      </c>
      <c r="B2339" s="116">
        <v>10118</v>
      </c>
      <c r="C2339" s="518" t="str">
        <f>IF(A2339&amp;B2339="","",VLOOKUP(A2339&amp;B2339,INSUMOS!C:G,2,0))</f>
        <v xml:space="preserve">Encanador </v>
      </c>
      <c r="D2339" s="519"/>
      <c r="E2339" s="117" t="str">
        <f>IF(A2339&amp;B2339="","",VLOOKUP(A2339&amp;B2339,INSUMOS!C:G,3,0))</f>
        <v>h</v>
      </c>
      <c r="F2339" s="118">
        <v>6.5000000000000002E-2</v>
      </c>
      <c r="G2339" s="113">
        <f>IF(A2339&amp;B2339="","",VLOOKUP(A2339&amp;B2339,INSUMOS!C:G,4,0))</f>
        <v>16.906036</v>
      </c>
      <c r="H2339" s="119">
        <f t="shared" ref="H2339:H2350" si="399">IF(K2339="MO",TRUNC(F2339*G2339,2),"")</f>
        <v>1.0900000000000001</v>
      </c>
      <c r="I2339" s="119" t="str">
        <f t="shared" ref="I2339:I2350" si="400">IF(K2339="MT",TRUNC(F2339*G2339,2),"")</f>
        <v/>
      </c>
      <c r="J2339" s="115" t="str">
        <f t="shared" ref="J2339:J2350" si="401">IF(K2339="EQ",TRUNC(F2339*G2339,2),"")</f>
        <v/>
      </c>
      <c r="K2339" s="102" t="str">
        <f>IF(A2339&amp;B2339="","",VLOOKUP(A2339&amp;B2339,INSUMOS!C:G,5,0))</f>
        <v>MO</v>
      </c>
    </row>
    <row r="2340" spans="1:11" ht="15" x14ac:dyDescent="0.25">
      <c r="A2340" s="109" t="s">
        <v>4810</v>
      </c>
      <c r="B2340" s="116">
        <v>301</v>
      </c>
      <c r="C2340" s="518" t="str">
        <f>IF(A2340&amp;B2340="","",VLOOKUP(A2340&amp;B2340,INSUMOS!C:G,2,0))</f>
        <v>Anel de borracha para tubo de esgoto predial, DN 100 mm (NBR 5688)</v>
      </c>
      <c r="D2340" s="519"/>
      <c r="E2340" s="117" t="str">
        <f>IF(A2340&amp;B2340="","",VLOOKUP(A2340&amp;B2340,INSUMOS!C:G,3,0))</f>
        <v>un</v>
      </c>
      <c r="F2340" s="118">
        <v>0.02</v>
      </c>
      <c r="G2340" s="113">
        <f>IF(A2340&amp;B2340="","",VLOOKUP(A2340&amp;B2340,INSUMOS!C:G,4,0))</f>
        <v>1.48</v>
      </c>
      <c r="H2340" s="119" t="str">
        <f t="shared" si="399"/>
        <v/>
      </c>
      <c r="I2340" s="119">
        <f t="shared" si="400"/>
        <v>0.02</v>
      </c>
      <c r="J2340" s="115" t="str">
        <f t="shared" si="401"/>
        <v/>
      </c>
      <c r="K2340" s="102" t="str">
        <f>IF(A2340&amp;B2340="","",VLOOKUP(A2340&amp;B2340,INSUMOS!C:G,5,0))</f>
        <v>MT</v>
      </c>
    </row>
    <row r="2341" spans="1:11" ht="15" x14ac:dyDescent="0.25">
      <c r="A2341" s="109" t="s">
        <v>4810</v>
      </c>
      <c r="B2341" s="116">
        <v>20078</v>
      </c>
      <c r="C2341" s="518" t="str">
        <f>IF(A2341&amp;B2341="","",VLOOKUP(A2341&amp;B2341,INSUMOS!C:G,2,0))</f>
        <v>Pasta lubrificante para uso em tubos de PVC com anel de borracha (pote de 400G)</v>
      </c>
      <c r="D2341" s="519"/>
      <c r="E2341" s="117" t="str">
        <f>IF(A2341&amp;B2341="","",VLOOKUP(A2341&amp;B2341,INSUMOS!C:G,3,0))</f>
        <v>un</v>
      </c>
      <c r="F2341" s="118">
        <v>1</v>
      </c>
      <c r="G2341" s="113">
        <f>IF(A2341&amp;B2341="","",VLOOKUP(A2341&amp;B2341,INSUMOS!C:G,4,0))</f>
        <v>13.33</v>
      </c>
      <c r="H2341" s="119" t="str">
        <f t="shared" si="399"/>
        <v/>
      </c>
      <c r="I2341" s="119">
        <f t="shared" si="400"/>
        <v>13.33</v>
      </c>
      <c r="J2341" s="115" t="str">
        <f t="shared" si="401"/>
        <v/>
      </c>
      <c r="K2341" s="102" t="str">
        <f>IF(A2341&amp;B2341="","",VLOOKUP(A2341&amp;B2341,INSUMOS!C:G,5,0))</f>
        <v>MT</v>
      </c>
    </row>
    <row r="2342" spans="1:11" ht="15" x14ac:dyDescent="0.25">
      <c r="A2342" s="109" t="s">
        <v>4810</v>
      </c>
      <c r="B2342" s="116">
        <v>20149</v>
      </c>
      <c r="C2342" s="518" t="str">
        <f>IF(A2342&amp;B2342="","",VLOOKUP(A2342&amp;B2342,INSUMOS!C:G,2,0))</f>
        <v>Joelho PVC série R p/ Esgoto Predial 45G DN 50 MM</v>
      </c>
      <c r="D2342" s="519"/>
      <c r="E2342" s="117" t="str">
        <f>IF(A2342&amp;B2342="","",VLOOKUP(A2342&amp;B2342,INSUMOS!C:G,3,0))</f>
        <v>un</v>
      </c>
      <c r="F2342" s="118">
        <v>1</v>
      </c>
      <c r="G2342" s="113">
        <f>IF(A2342&amp;B2342="","",VLOOKUP(A2342&amp;B2342,INSUMOS!C:G,4,0))</f>
        <v>5.77</v>
      </c>
      <c r="H2342" s="119" t="str">
        <f t="shared" si="399"/>
        <v/>
      </c>
      <c r="I2342" s="119">
        <f t="shared" si="400"/>
        <v>5.77</v>
      </c>
      <c r="J2342" s="115" t="str">
        <f t="shared" si="401"/>
        <v/>
      </c>
      <c r="K2342" s="102" t="str">
        <f>IF(A2342&amp;B2342="","",VLOOKUP(A2342&amp;B2342,INSUMOS!C:G,5,0))</f>
        <v>MT</v>
      </c>
    </row>
    <row r="2343" spans="1:11" ht="15" x14ac:dyDescent="0.25">
      <c r="A2343" s="109"/>
      <c r="B2343" s="116"/>
      <c r="C2343" s="518" t="str">
        <f>IF(A2343&amp;B2343="","",VLOOKUP(A2343&amp;B2343,INSUMOS!C:G,2,0))</f>
        <v/>
      </c>
      <c r="D2343" s="519"/>
      <c r="E2343" s="117" t="str">
        <f>IF(A2343&amp;B2343="","",VLOOKUP(A2343&amp;B2343,INSUMOS!C:G,3,0))</f>
        <v/>
      </c>
      <c r="F2343" s="118"/>
      <c r="G2343" s="113" t="str">
        <f>IF(A2343&amp;B2343="","",VLOOKUP(A2343&amp;B2343,INSUMOS!C:G,4,0))</f>
        <v/>
      </c>
      <c r="H2343" s="119" t="str">
        <f t="shared" si="399"/>
        <v/>
      </c>
      <c r="I2343" s="119" t="str">
        <f t="shared" si="400"/>
        <v/>
      </c>
      <c r="J2343" s="115" t="str">
        <f t="shared" si="401"/>
        <v/>
      </c>
      <c r="K2343" s="102" t="str">
        <f>IF(A2343&amp;B2343="","",VLOOKUP(A2343&amp;B2343,INSUMOS!C:G,5,0))</f>
        <v/>
      </c>
    </row>
    <row r="2344" spans="1:11" ht="15" x14ac:dyDescent="0.25">
      <c r="A2344" s="109"/>
      <c r="B2344" s="116"/>
      <c r="C2344" s="518" t="str">
        <f>IF(A2344&amp;B2344="","",VLOOKUP(A2344&amp;B2344,INSUMOS!C:G,2,0))</f>
        <v/>
      </c>
      <c r="D2344" s="519"/>
      <c r="E2344" s="117" t="str">
        <f>IF(A2344&amp;B2344="","",VLOOKUP(A2344&amp;B2344,INSUMOS!C:G,3,0))</f>
        <v/>
      </c>
      <c r="F2344" s="118"/>
      <c r="G2344" s="113" t="str">
        <f>IF(A2344&amp;B2344="","",VLOOKUP(A2344&amp;B2344,INSUMOS!C:G,4,0))</f>
        <v/>
      </c>
      <c r="H2344" s="119" t="str">
        <f t="shared" si="399"/>
        <v/>
      </c>
      <c r="I2344" s="119" t="str">
        <f t="shared" si="400"/>
        <v/>
      </c>
      <c r="J2344" s="115" t="str">
        <f t="shared" si="401"/>
        <v/>
      </c>
      <c r="K2344" s="102" t="str">
        <f>IF(A2344&amp;B2344="","",VLOOKUP(A2344&amp;B2344,INSUMOS!C:G,5,0))</f>
        <v/>
      </c>
    </row>
    <row r="2345" spans="1:11" ht="15" x14ac:dyDescent="0.25">
      <c r="A2345" s="109"/>
      <c r="B2345" s="116"/>
      <c r="C2345" s="518" t="str">
        <f>IF(A2345&amp;B2345="","",VLOOKUP(A2345&amp;B2345,INSUMOS!C:G,2,0))</f>
        <v/>
      </c>
      <c r="D2345" s="519"/>
      <c r="E2345" s="117" t="str">
        <f>IF(A2345&amp;B2345="","",VLOOKUP(A2345&amp;B2345,INSUMOS!C:G,3,0))</f>
        <v/>
      </c>
      <c r="F2345" s="118"/>
      <c r="G2345" s="113" t="str">
        <f>IF(A2345&amp;B2345="","",VLOOKUP(A2345&amp;B2345,INSUMOS!C:G,4,0))</f>
        <v/>
      </c>
      <c r="H2345" s="119" t="str">
        <f t="shared" si="399"/>
        <v/>
      </c>
      <c r="I2345" s="119" t="str">
        <f t="shared" si="400"/>
        <v/>
      </c>
      <c r="J2345" s="115" t="str">
        <f t="shared" si="401"/>
        <v/>
      </c>
      <c r="K2345" s="102" t="str">
        <f>IF(A2345&amp;B2345="","",VLOOKUP(A2345&amp;B2345,INSUMOS!C:G,5,0))</f>
        <v/>
      </c>
    </row>
    <row r="2346" spans="1:11" ht="15" x14ac:dyDescent="0.25">
      <c r="A2346" s="109"/>
      <c r="B2346" s="116"/>
      <c r="C2346" s="518" t="str">
        <f>IF(A2346&amp;B2346="","",VLOOKUP(A2346&amp;B2346,INSUMOS!C:G,2,0))</f>
        <v/>
      </c>
      <c r="D2346" s="519"/>
      <c r="E2346" s="117" t="str">
        <f>IF(A2346&amp;B2346="","",VLOOKUP(A2346&amp;B2346,INSUMOS!C:G,3,0))</f>
        <v/>
      </c>
      <c r="F2346" s="118"/>
      <c r="G2346" s="113" t="str">
        <f>IF(A2346&amp;B2346="","",VLOOKUP(A2346&amp;B2346,INSUMOS!C:G,4,0))</f>
        <v/>
      </c>
      <c r="H2346" s="119" t="str">
        <f t="shared" si="399"/>
        <v/>
      </c>
      <c r="I2346" s="119" t="str">
        <f t="shared" si="400"/>
        <v/>
      </c>
      <c r="J2346" s="115" t="str">
        <f t="shared" si="401"/>
        <v/>
      </c>
      <c r="K2346" s="102" t="str">
        <f>IF(A2346&amp;B2346="","",VLOOKUP(A2346&amp;B2346,INSUMOS!C:G,5,0))</f>
        <v/>
      </c>
    </row>
    <row r="2347" spans="1:11" ht="15" x14ac:dyDescent="0.25">
      <c r="A2347" s="109"/>
      <c r="B2347" s="116"/>
      <c r="C2347" s="518" t="str">
        <f>IF(A2347&amp;B2347="","",VLOOKUP(A2347&amp;B2347,INSUMOS!C:G,2,0))</f>
        <v/>
      </c>
      <c r="D2347" s="519"/>
      <c r="E2347" s="117" t="str">
        <f>IF(A2347&amp;B2347="","",VLOOKUP(A2347&amp;B2347,INSUMOS!C:G,3,0))</f>
        <v/>
      </c>
      <c r="F2347" s="118"/>
      <c r="G2347" s="113" t="str">
        <f>IF(A2347&amp;B2347="","",VLOOKUP(A2347&amp;B2347,INSUMOS!C:G,4,0))</f>
        <v/>
      </c>
      <c r="H2347" s="119" t="str">
        <f t="shared" si="399"/>
        <v/>
      </c>
      <c r="I2347" s="119" t="str">
        <f t="shared" si="400"/>
        <v/>
      </c>
      <c r="J2347" s="115" t="str">
        <f t="shared" si="401"/>
        <v/>
      </c>
      <c r="K2347" s="102" t="str">
        <f>IF(A2347&amp;B2347="","",VLOOKUP(A2347&amp;B2347,INSUMOS!C:G,5,0))</f>
        <v/>
      </c>
    </row>
    <row r="2348" spans="1:11" ht="15" x14ac:dyDescent="0.25">
      <c r="A2348" s="120"/>
      <c r="B2348" s="121"/>
      <c r="C2348" s="518" t="str">
        <f>IF(A2348&amp;B2348="","",VLOOKUP(A2348&amp;B2348,INSUMOS!C:G,2,0))</f>
        <v/>
      </c>
      <c r="D2348" s="519"/>
      <c r="E2348" s="117" t="str">
        <f>IF(A2348&amp;B2348="","",VLOOKUP(A2348&amp;B2348,INSUMOS!C:G,3,0))</f>
        <v/>
      </c>
      <c r="F2348" s="118"/>
      <c r="G2348" s="122" t="str">
        <f>IF(A2348&amp;B2348="","",VLOOKUP(A2348&amp;B2348,INSUMOS!C:G,4,0))</f>
        <v/>
      </c>
      <c r="H2348" s="119" t="str">
        <f t="shared" si="399"/>
        <v/>
      </c>
      <c r="I2348" s="119" t="str">
        <f t="shared" si="400"/>
        <v/>
      </c>
      <c r="J2348" s="115" t="str">
        <f t="shared" si="401"/>
        <v/>
      </c>
      <c r="K2348" s="102" t="str">
        <f>IF(A2348&amp;B2348="","",VLOOKUP(A2348&amp;B2348,INSUMOS!C:G,5,0))</f>
        <v/>
      </c>
    </row>
    <row r="2349" spans="1:11" ht="15" x14ac:dyDescent="0.25">
      <c r="A2349" s="120"/>
      <c r="B2349" s="121"/>
      <c r="C2349" s="518" t="str">
        <f>IF(A2349&amp;B2349="","",VLOOKUP(A2349&amp;B2349,INSUMOS!C:G,2,0))</f>
        <v/>
      </c>
      <c r="D2349" s="519"/>
      <c r="E2349" s="117" t="str">
        <f>IF(A2349&amp;B2349="","",VLOOKUP(A2349&amp;B2349,INSUMOS!C:G,3,0))</f>
        <v/>
      </c>
      <c r="F2349" s="118"/>
      <c r="G2349" s="122" t="str">
        <f>IF(A2349&amp;B2349="","",VLOOKUP(A2349&amp;B2349,INSUMOS!C:G,4,0))</f>
        <v/>
      </c>
      <c r="H2349" s="119" t="str">
        <f t="shared" si="399"/>
        <v/>
      </c>
      <c r="I2349" s="119" t="str">
        <f t="shared" si="400"/>
        <v/>
      </c>
      <c r="J2349" s="115" t="str">
        <f t="shared" si="401"/>
        <v/>
      </c>
      <c r="K2349" s="102" t="str">
        <f>IF(A2349&amp;B2349="","",VLOOKUP(A2349&amp;B2349,INSUMOS!C:G,5,0))</f>
        <v/>
      </c>
    </row>
    <row r="2350" spans="1:11" ht="15" x14ac:dyDescent="0.25">
      <c r="A2350" s="120"/>
      <c r="B2350" s="121"/>
      <c r="C2350" s="518" t="str">
        <f>IF(A2350&amp;B2350="","",VLOOKUP(A2350&amp;B2350,INSUMOS!C:G,2,0))</f>
        <v/>
      </c>
      <c r="D2350" s="519"/>
      <c r="E2350" s="117" t="str">
        <f>IF(A2350&amp;B2350="","",VLOOKUP(A2350&amp;B2350,INSUMOS!C:G,3,0))</f>
        <v/>
      </c>
      <c r="F2350" s="118"/>
      <c r="G2350" s="122" t="str">
        <f>IF(A2350&amp;B2350="","",VLOOKUP(A2350&amp;B2350,INSUMOS!C:G,4,0))</f>
        <v/>
      </c>
      <c r="H2350" s="119" t="str">
        <f t="shared" si="399"/>
        <v/>
      </c>
      <c r="I2350" s="119" t="str">
        <f t="shared" si="400"/>
        <v/>
      </c>
      <c r="J2350" s="115" t="str">
        <f t="shared" si="401"/>
        <v/>
      </c>
      <c r="K2350" s="102" t="str">
        <f>IF(A2350&amp;B2350="","",VLOOKUP(A2350&amp;B2350,INSUMOS!C:G,5,0))</f>
        <v/>
      </c>
    </row>
    <row r="2351" spans="1:11" ht="15" x14ac:dyDescent="0.25">
      <c r="A2351" s="123" t="s">
        <v>4399</v>
      </c>
      <c r="B2351" s="542" t="s">
        <v>5309</v>
      </c>
      <c r="C2351" s="542"/>
      <c r="D2351" s="542"/>
      <c r="E2351" s="542"/>
      <c r="F2351" s="543"/>
      <c r="G2351" s="124" t="s">
        <v>50</v>
      </c>
      <c r="H2351" s="125">
        <f>SUM(H2338:H2350)</f>
        <v>1.8</v>
      </c>
      <c r="I2351" s="125">
        <f>SUM(I2338:I2350)</f>
        <v>19.119999999999997</v>
      </c>
      <c r="J2351" s="126">
        <f>SUM(J2338:J2350)</f>
        <v>0</v>
      </c>
    </row>
    <row r="2352" spans="1:11" ht="15" x14ac:dyDescent="0.25">
      <c r="A2352" s="127" t="s">
        <v>4400</v>
      </c>
      <c r="B2352" s="128"/>
      <c r="C2352" s="128"/>
      <c r="D2352" s="127" t="s">
        <v>51</v>
      </c>
      <c r="E2352" s="128"/>
      <c r="F2352" s="129"/>
      <c r="G2352" s="130" t="s">
        <v>55</v>
      </c>
      <c r="H2352" s="131" t="s">
        <v>52</v>
      </c>
      <c r="I2352" s="132"/>
      <c r="J2352" s="125">
        <f>SUM(H2351:J2351)</f>
        <v>20.919999999999998</v>
      </c>
    </row>
    <row r="2353" spans="1:17" ht="15" x14ac:dyDescent="0.25">
      <c r="A2353" s="313" t="str">
        <f>$I$3</f>
        <v>Carlos Wieck</v>
      </c>
      <c r="B2353" s="133"/>
      <c r="C2353" s="133"/>
      <c r="D2353" s="134"/>
      <c r="E2353" s="133"/>
      <c r="F2353" s="135"/>
      <c r="G2353" s="522">
        <f>$J$5</f>
        <v>43040</v>
      </c>
      <c r="H2353" s="136" t="s">
        <v>53</v>
      </c>
      <c r="I2353" s="137"/>
      <c r="J2353" s="125">
        <f>TRUNC(I2353*J2352,2)</f>
        <v>0</v>
      </c>
    </row>
    <row r="2354" spans="1:17" ht="15" x14ac:dyDescent="0.25">
      <c r="A2354" s="314"/>
      <c r="B2354" s="139"/>
      <c r="C2354" s="139"/>
      <c r="D2354" s="138"/>
      <c r="E2354" s="139"/>
      <c r="F2354" s="140"/>
      <c r="G2354" s="523"/>
      <c r="H2354" s="141" t="s">
        <v>54</v>
      </c>
      <c r="I2354" s="142"/>
      <c r="J2354" s="143">
        <f>J2353+J2352</f>
        <v>20.919999999999998</v>
      </c>
      <c r="L2354" s="102" t="str">
        <f>A2335</f>
        <v>COMPOSIÇÃO</v>
      </c>
      <c r="M2354" s="144" t="str">
        <f>B2335</f>
        <v>FF-099</v>
      </c>
      <c r="N2354" s="102" t="str">
        <f>L2354&amp;M2354</f>
        <v>COMPOSIÇÃOFF-099</v>
      </c>
      <c r="O2354" s="103" t="str">
        <f>D2334</f>
        <v>Joelho 45 graus de PVC série R diam. 50mm, fornecimento e instalação</v>
      </c>
      <c r="P2354" s="145" t="str">
        <f>J2335</f>
        <v>un</v>
      </c>
      <c r="Q2354" s="145">
        <f>J2354</f>
        <v>20.919999999999998</v>
      </c>
    </row>
    <row r="2355" spans="1:17" ht="15" customHeight="1" x14ac:dyDescent="0.25">
      <c r="A2355" s="524" t="s">
        <v>40</v>
      </c>
      <c r="B2355" s="525"/>
      <c r="C2355" s="104" t="s">
        <v>41</v>
      </c>
      <c r="D2355" s="526" t="str">
        <f>IF(B2356="","",VLOOKUP(B2356,SERVIÇOS!B:E,3,0))</f>
        <v>Junção simples de PVC série R diam. 100mm, fornecimento e instalação</v>
      </c>
      <c r="E2355" s="526"/>
      <c r="F2355" s="526"/>
      <c r="G2355" s="526"/>
      <c r="H2355" s="526"/>
      <c r="I2355" s="527"/>
      <c r="J2355" s="105" t="s">
        <v>42</v>
      </c>
    </row>
    <row r="2356" spans="1:17" ht="15" x14ac:dyDescent="0.25">
      <c r="A2356" s="230" t="s">
        <v>4715</v>
      </c>
      <c r="B2356" s="230" t="s">
        <v>5268</v>
      </c>
      <c r="C2356" s="106"/>
      <c r="D2356" s="528"/>
      <c r="E2356" s="528"/>
      <c r="F2356" s="528"/>
      <c r="G2356" s="528"/>
      <c r="H2356" s="528"/>
      <c r="I2356" s="529"/>
      <c r="J2356" s="107" t="str">
        <f>IF(B2356="","",VLOOKUP(B2356,SERVIÇOS!B:E,4,0))</f>
        <v>un</v>
      </c>
    </row>
    <row r="2357" spans="1:17" ht="15" x14ac:dyDescent="0.25">
      <c r="A2357" s="530" t="s">
        <v>4397</v>
      </c>
      <c r="B2357" s="531" t="s">
        <v>11</v>
      </c>
      <c r="C2357" s="533" t="s">
        <v>43</v>
      </c>
      <c r="D2357" s="534"/>
      <c r="E2357" s="530" t="s">
        <v>13</v>
      </c>
      <c r="F2357" s="530" t="s">
        <v>44</v>
      </c>
      <c r="G2357" s="538" t="s">
        <v>45</v>
      </c>
      <c r="H2357" s="108" t="s">
        <v>46</v>
      </c>
      <c r="I2357" s="108"/>
      <c r="J2357" s="108"/>
    </row>
    <row r="2358" spans="1:17" ht="15" x14ac:dyDescent="0.25">
      <c r="A2358" s="530"/>
      <c r="B2358" s="532"/>
      <c r="C2358" s="535"/>
      <c r="D2358" s="536"/>
      <c r="E2358" s="537"/>
      <c r="F2358" s="537"/>
      <c r="G2358" s="539"/>
      <c r="H2358" s="108" t="s">
        <v>47</v>
      </c>
      <c r="I2358" s="108" t="s">
        <v>48</v>
      </c>
      <c r="J2358" s="108" t="s">
        <v>49</v>
      </c>
    </row>
    <row r="2359" spans="1:17" ht="15" x14ac:dyDescent="0.25">
      <c r="A2359" s="109" t="s">
        <v>4398</v>
      </c>
      <c r="B2359" s="110">
        <v>10119</v>
      </c>
      <c r="C2359" s="540" t="str">
        <f>IF(A2359&amp;B2359="","",VLOOKUP(A2359&amp;B2359,INSUMOS!C:G,2,0))</f>
        <v>Ajudante de encanador</v>
      </c>
      <c r="D2359" s="541"/>
      <c r="E2359" s="111" t="str">
        <f>IF(A2359&amp;B2359="","",VLOOKUP(A2359&amp;B2359,INSUMOS!C:G,3,0))</f>
        <v>h</v>
      </c>
      <c r="F2359" s="112">
        <v>0.33</v>
      </c>
      <c r="G2359" s="113">
        <f>IF(A2359&amp;B2359="","",VLOOKUP(A2359&amp;B2359,INSUMOS!C:G,4,0))</f>
        <v>10.985028</v>
      </c>
      <c r="H2359" s="114">
        <f>IF(K2359="MO",TRUNC(F2359*G2359,2),"")</f>
        <v>3.62</v>
      </c>
      <c r="I2359" s="114" t="str">
        <f>IF(K2359="MT",TRUNC(F2359*G2359,2),"")</f>
        <v/>
      </c>
      <c r="J2359" s="115" t="str">
        <f>IF(K2359="EQ",TRUNC(F2359*G2359,2),"")</f>
        <v/>
      </c>
      <c r="K2359" s="102" t="str">
        <f>IF(A2359&amp;B2359="","",VLOOKUP(A2359&amp;B2359,INSUMOS!C:G,5,0))</f>
        <v>MO</v>
      </c>
    </row>
    <row r="2360" spans="1:17" ht="15" x14ac:dyDescent="0.25">
      <c r="A2360" s="109" t="s">
        <v>4398</v>
      </c>
      <c r="B2360" s="116">
        <v>10118</v>
      </c>
      <c r="C2360" s="518" t="str">
        <f>IF(A2360&amp;B2360="","",VLOOKUP(A2360&amp;B2360,INSUMOS!C:G,2,0))</f>
        <v xml:space="preserve">Encanador </v>
      </c>
      <c r="D2360" s="519"/>
      <c r="E2360" s="117" t="str">
        <f>IF(A2360&amp;B2360="","",VLOOKUP(A2360&amp;B2360,INSUMOS!C:G,3,0))</f>
        <v>h</v>
      </c>
      <c r="F2360" s="118">
        <v>0.33</v>
      </c>
      <c r="G2360" s="113">
        <f>IF(A2360&amp;B2360="","",VLOOKUP(A2360&amp;B2360,INSUMOS!C:G,4,0))</f>
        <v>16.906036</v>
      </c>
      <c r="H2360" s="119">
        <f t="shared" ref="H2360:H2371" si="402">IF(K2360="MO",TRUNC(F2360*G2360,2),"")</f>
        <v>5.57</v>
      </c>
      <c r="I2360" s="119" t="str">
        <f t="shared" ref="I2360:I2371" si="403">IF(K2360="MT",TRUNC(F2360*G2360,2),"")</f>
        <v/>
      </c>
      <c r="J2360" s="115" t="str">
        <f t="shared" ref="J2360:J2371" si="404">IF(K2360="EQ",TRUNC(F2360*G2360,2),"")</f>
        <v/>
      </c>
      <c r="K2360" s="102" t="str">
        <f>IF(A2360&amp;B2360="","",VLOOKUP(A2360&amp;B2360,INSUMOS!C:G,5,0))</f>
        <v>MO</v>
      </c>
    </row>
    <row r="2361" spans="1:17" ht="15" x14ac:dyDescent="0.25">
      <c r="A2361" s="109" t="s">
        <v>4810</v>
      </c>
      <c r="B2361" s="116">
        <v>301</v>
      </c>
      <c r="C2361" s="518" t="str">
        <f>IF(A2361&amp;B2361="","",VLOOKUP(A2361&amp;B2361,INSUMOS!C:G,2,0))</f>
        <v>Anel de borracha para tubo de esgoto predial, DN 100 mm (NBR 5688)</v>
      </c>
      <c r="D2361" s="519"/>
      <c r="E2361" s="117" t="str">
        <f>IF(A2361&amp;B2361="","",VLOOKUP(A2361&amp;B2361,INSUMOS!C:G,3,0))</f>
        <v>un</v>
      </c>
      <c r="F2361" s="118">
        <v>2</v>
      </c>
      <c r="G2361" s="113">
        <f>IF(A2361&amp;B2361="","",VLOOKUP(A2361&amp;B2361,INSUMOS!C:G,4,0))</f>
        <v>1.48</v>
      </c>
      <c r="H2361" s="119" t="str">
        <f t="shared" si="402"/>
        <v/>
      </c>
      <c r="I2361" s="119">
        <f t="shared" si="403"/>
        <v>2.96</v>
      </c>
      <c r="J2361" s="115" t="str">
        <f t="shared" si="404"/>
        <v/>
      </c>
      <c r="K2361" s="102" t="str">
        <f>IF(A2361&amp;B2361="","",VLOOKUP(A2361&amp;B2361,INSUMOS!C:G,5,0))</f>
        <v>MT</v>
      </c>
    </row>
    <row r="2362" spans="1:17" ht="15" x14ac:dyDescent="0.25">
      <c r="A2362" s="109" t="s">
        <v>4810</v>
      </c>
      <c r="B2362" s="116">
        <v>3670</v>
      </c>
      <c r="C2362" s="518" t="str">
        <f>IF(A2362&amp;B2362="","",VLOOKUP(A2362&amp;B2362,INSUMOS!C:G,2,0))</f>
        <v>Junção simples PVC p/esgoto predial DN 100x100mm</v>
      </c>
      <c r="D2362" s="519"/>
      <c r="E2362" s="117" t="str">
        <f>IF(A2362&amp;B2362="","",VLOOKUP(A2362&amp;B2362,INSUMOS!C:G,3,0))</f>
        <v>un</v>
      </c>
      <c r="F2362" s="118">
        <v>1</v>
      </c>
      <c r="G2362" s="113">
        <f>IF(A2362&amp;B2362="","",VLOOKUP(A2362&amp;B2362,INSUMOS!C:G,4,0))</f>
        <v>15.61</v>
      </c>
      <c r="H2362" s="119" t="str">
        <f t="shared" si="402"/>
        <v/>
      </c>
      <c r="I2362" s="119">
        <f t="shared" si="403"/>
        <v>15.61</v>
      </c>
      <c r="J2362" s="115" t="str">
        <f t="shared" si="404"/>
        <v/>
      </c>
      <c r="K2362" s="102" t="str">
        <f>IF(A2362&amp;B2362="","",VLOOKUP(A2362&amp;B2362,INSUMOS!C:G,5,0))</f>
        <v>MT</v>
      </c>
    </row>
    <row r="2363" spans="1:17" ht="15" x14ac:dyDescent="0.25">
      <c r="A2363" s="109" t="s">
        <v>4810</v>
      </c>
      <c r="B2363" s="116">
        <v>20078</v>
      </c>
      <c r="C2363" s="518" t="str">
        <f>IF(A2363&amp;B2363="","",VLOOKUP(A2363&amp;B2363,INSUMOS!C:G,2,0))</f>
        <v>Pasta lubrificante para uso em tubos de PVC com anel de borracha (pote de 400G)</v>
      </c>
      <c r="D2363" s="519"/>
      <c r="E2363" s="117" t="str">
        <f>IF(A2363&amp;B2363="","",VLOOKUP(A2363&amp;B2363,INSUMOS!C:G,3,0))</f>
        <v>un</v>
      </c>
      <c r="F2363" s="118">
        <v>9.1999999999999998E-2</v>
      </c>
      <c r="G2363" s="113">
        <f>IF(A2363&amp;B2363="","",VLOOKUP(A2363&amp;B2363,INSUMOS!C:G,4,0))</f>
        <v>13.33</v>
      </c>
      <c r="H2363" s="119" t="str">
        <f t="shared" si="402"/>
        <v/>
      </c>
      <c r="I2363" s="119">
        <f t="shared" si="403"/>
        <v>1.22</v>
      </c>
      <c r="J2363" s="115" t="str">
        <f t="shared" si="404"/>
        <v/>
      </c>
      <c r="K2363" s="102" t="str">
        <f>IF(A2363&amp;B2363="","",VLOOKUP(A2363&amp;B2363,INSUMOS!C:G,5,0))</f>
        <v>MT</v>
      </c>
    </row>
    <row r="2364" spans="1:17" ht="15" x14ac:dyDescent="0.25">
      <c r="A2364" s="109"/>
      <c r="B2364" s="116"/>
      <c r="C2364" s="518" t="str">
        <f>IF(A2364&amp;B2364="","",VLOOKUP(A2364&amp;B2364,INSUMOS!C:G,2,0))</f>
        <v/>
      </c>
      <c r="D2364" s="519"/>
      <c r="E2364" s="117" t="str">
        <f>IF(A2364&amp;B2364="","",VLOOKUP(A2364&amp;B2364,INSUMOS!C:G,3,0))</f>
        <v/>
      </c>
      <c r="F2364" s="118"/>
      <c r="G2364" s="113" t="str">
        <f>IF(A2364&amp;B2364="","",VLOOKUP(A2364&amp;B2364,INSUMOS!C:G,4,0))</f>
        <v/>
      </c>
      <c r="H2364" s="119" t="str">
        <f t="shared" si="402"/>
        <v/>
      </c>
      <c r="I2364" s="119" t="str">
        <f t="shared" si="403"/>
        <v/>
      </c>
      <c r="J2364" s="115" t="str">
        <f t="shared" si="404"/>
        <v/>
      </c>
      <c r="K2364" s="102" t="str">
        <f>IF(A2364&amp;B2364="","",VLOOKUP(A2364&amp;B2364,INSUMOS!C:G,5,0))</f>
        <v/>
      </c>
    </row>
    <row r="2365" spans="1:17" ht="15" x14ac:dyDescent="0.25">
      <c r="A2365" s="109"/>
      <c r="B2365" s="116"/>
      <c r="C2365" s="518" t="str">
        <f>IF(A2365&amp;B2365="","",VLOOKUP(A2365&amp;B2365,INSUMOS!C:G,2,0))</f>
        <v/>
      </c>
      <c r="D2365" s="519"/>
      <c r="E2365" s="117" t="str">
        <f>IF(A2365&amp;B2365="","",VLOOKUP(A2365&amp;B2365,INSUMOS!C:G,3,0))</f>
        <v/>
      </c>
      <c r="F2365" s="118"/>
      <c r="G2365" s="113" t="str">
        <f>IF(A2365&amp;B2365="","",VLOOKUP(A2365&amp;B2365,INSUMOS!C:G,4,0))</f>
        <v/>
      </c>
      <c r="H2365" s="119" t="str">
        <f t="shared" si="402"/>
        <v/>
      </c>
      <c r="I2365" s="119" t="str">
        <f t="shared" si="403"/>
        <v/>
      </c>
      <c r="J2365" s="115" t="str">
        <f t="shared" si="404"/>
        <v/>
      </c>
      <c r="K2365" s="102" t="str">
        <f>IF(A2365&amp;B2365="","",VLOOKUP(A2365&amp;B2365,INSUMOS!C:G,5,0))</f>
        <v/>
      </c>
    </row>
    <row r="2366" spans="1:17" ht="15" x14ac:dyDescent="0.25">
      <c r="A2366" s="109"/>
      <c r="B2366" s="116"/>
      <c r="C2366" s="518" t="str">
        <f>IF(A2366&amp;B2366="","",VLOOKUP(A2366&amp;B2366,INSUMOS!C:G,2,0))</f>
        <v/>
      </c>
      <c r="D2366" s="519"/>
      <c r="E2366" s="117" t="str">
        <f>IF(A2366&amp;B2366="","",VLOOKUP(A2366&amp;B2366,INSUMOS!C:G,3,0))</f>
        <v/>
      </c>
      <c r="F2366" s="118"/>
      <c r="G2366" s="113" t="str">
        <f>IF(A2366&amp;B2366="","",VLOOKUP(A2366&amp;B2366,INSUMOS!C:G,4,0))</f>
        <v/>
      </c>
      <c r="H2366" s="119" t="str">
        <f t="shared" si="402"/>
        <v/>
      </c>
      <c r="I2366" s="119" t="str">
        <f t="shared" si="403"/>
        <v/>
      </c>
      <c r="J2366" s="115" t="str">
        <f t="shared" si="404"/>
        <v/>
      </c>
      <c r="K2366" s="102" t="str">
        <f>IF(A2366&amp;B2366="","",VLOOKUP(A2366&amp;B2366,INSUMOS!C:G,5,0))</f>
        <v/>
      </c>
    </row>
    <row r="2367" spans="1:17" ht="15" x14ac:dyDescent="0.25">
      <c r="A2367" s="109"/>
      <c r="B2367" s="116"/>
      <c r="C2367" s="518" t="str">
        <f>IF(A2367&amp;B2367="","",VLOOKUP(A2367&amp;B2367,INSUMOS!C:G,2,0))</f>
        <v/>
      </c>
      <c r="D2367" s="519"/>
      <c r="E2367" s="117" t="str">
        <f>IF(A2367&amp;B2367="","",VLOOKUP(A2367&amp;B2367,INSUMOS!C:G,3,0))</f>
        <v/>
      </c>
      <c r="F2367" s="118"/>
      <c r="G2367" s="113" t="str">
        <f>IF(A2367&amp;B2367="","",VLOOKUP(A2367&amp;B2367,INSUMOS!C:G,4,0))</f>
        <v/>
      </c>
      <c r="H2367" s="119" t="str">
        <f t="shared" si="402"/>
        <v/>
      </c>
      <c r="I2367" s="119" t="str">
        <f t="shared" si="403"/>
        <v/>
      </c>
      <c r="J2367" s="115" t="str">
        <f t="shared" si="404"/>
        <v/>
      </c>
      <c r="K2367" s="102" t="str">
        <f>IF(A2367&amp;B2367="","",VLOOKUP(A2367&amp;B2367,INSUMOS!C:G,5,0))</f>
        <v/>
      </c>
    </row>
    <row r="2368" spans="1:17" ht="15" x14ac:dyDescent="0.25">
      <c r="A2368" s="109"/>
      <c r="B2368" s="116"/>
      <c r="C2368" s="518" t="str">
        <f>IF(A2368&amp;B2368="","",VLOOKUP(A2368&amp;B2368,INSUMOS!C:G,2,0))</f>
        <v/>
      </c>
      <c r="D2368" s="519"/>
      <c r="E2368" s="117" t="str">
        <f>IF(A2368&amp;B2368="","",VLOOKUP(A2368&amp;B2368,INSUMOS!C:G,3,0))</f>
        <v/>
      </c>
      <c r="F2368" s="118"/>
      <c r="G2368" s="113" t="str">
        <f>IF(A2368&amp;B2368="","",VLOOKUP(A2368&amp;B2368,INSUMOS!C:G,4,0))</f>
        <v/>
      </c>
      <c r="H2368" s="119" t="str">
        <f t="shared" si="402"/>
        <v/>
      </c>
      <c r="I2368" s="119" t="str">
        <f t="shared" si="403"/>
        <v/>
      </c>
      <c r="J2368" s="115" t="str">
        <f t="shared" si="404"/>
        <v/>
      </c>
      <c r="K2368" s="102" t="str">
        <f>IF(A2368&amp;B2368="","",VLOOKUP(A2368&amp;B2368,INSUMOS!C:G,5,0))</f>
        <v/>
      </c>
    </row>
    <row r="2369" spans="1:17" ht="15" x14ac:dyDescent="0.25">
      <c r="A2369" s="120"/>
      <c r="B2369" s="121"/>
      <c r="C2369" s="518" t="str">
        <f>IF(A2369&amp;B2369="","",VLOOKUP(A2369&amp;B2369,INSUMOS!C:G,2,0))</f>
        <v/>
      </c>
      <c r="D2369" s="519"/>
      <c r="E2369" s="117" t="str">
        <f>IF(A2369&amp;B2369="","",VLOOKUP(A2369&amp;B2369,INSUMOS!C:G,3,0))</f>
        <v/>
      </c>
      <c r="F2369" s="118"/>
      <c r="G2369" s="122" t="str">
        <f>IF(A2369&amp;B2369="","",VLOOKUP(A2369&amp;B2369,INSUMOS!C:G,4,0))</f>
        <v/>
      </c>
      <c r="H2369" s="119" t="str">
        <f t="shared" si="402"/>
        <v/>
      </c>
      <c r="I2369" s="119" t="str">
        <f t="shared" si="403"/>
        <v/>
      </c>
      <c r="J2369" s="115" t="str">
        <f t="shared" si="404"/>
        <v/>
      </c>
      <c r="K2369" s="102" t="str">
        <f>IF(A2369&amp;B2369="","",VLOOKUP(A2369&amp;B2369,INSUMOS!C:G,5,0))</f>
        <v/>
      </c>
    </row>
    <row r="2370" spans="1:17" ht="15" x14ac:dyDescent="0.25">
      <c r="A2370" s="120"/>
      <c r="B2370" s="121"/>
      <c r="C2370" s="518" t="str">
        <f>IF(A2370&amp;B2370="","",VLOOKUP(A2370&amp;B2370,INSUMOS!C:G,2,0))</f>
        <v/>
      </c>
      <c r="D2370" s="519"/>
      <c r="E2370" s="117" t="str">
        <f>IF(A2370&amp;B2370="","",VLOOKUP(A2370&amp;B2370,INSUMOS!C:G,3,0))</f>
        <v/>
      </c>
      <c r="F2370" s="118"/>
      <c r="G2370" s="122" t="str">
        <f>IF(A2370&amp;B2370="","",VLOOKUP(A2370&amp;B2370,INSUMOS!C:G,4,0))</f>
        <v/>
      </c>
      <c r="H2370" s="119" t="str">
        <f t="shared" si="402"/>
        <v/>
      </c>
      <c r="I2370" s="119" t="str">
        <f t="shared" si="403"/>
        <v/>
      </c>
      <c r="J2370" s="115" t="str">
        <f t="shared" si="404"/>
        <v/>
      </c>
      <c r="K2370" s="102" t="str">
        <f>IF(A2370&amp;B2370="","",VLOOKUP(A2370&amp;B2370,INSUMOS!C:G,5,0))</f>
        <v/>
      </c>
    </row>
    <row r="2371" spans="1:17" ht="15" x14ac:dyDescent="0.25">
      <c r="A2371" s="120"/>
      <c r="B2371" s="121"/>
      <c r="C2371" s="518" t="str">
        <f>IF(A2371&amp;B2371="","",VLOOKUP(A2371&amp;B2371,INSUMOS!C:G,2,0))</f>
        <v/>
      </c>
      <c r="D2371" s="519"/>
      <c r="E2371" s="117" t="str">
        <f>IF(A2371&amp;B2371="","",VLOOKUP(A2371&amp;B2371,INSUMOS!C:G,3,0))</f>
        <v/>
      </c>
      <c r="F2371" s="118"/>
      <c r="G2371" s="122" t="str">
        <f>IF(A2371&amp;B2371="","",VLOOKUP(A2371&amp;B2371,INSUMOS!C:G,4,0))</f>
        <v/>
      </c>
      <c r="H2371" s="119" t="str">
        <f t="shared" si="402"/>
        <v/>
      </c>
      <c r="I2371" s="119" t="str">
        <f t="shared" si="403"/>
        <v/>
      </c>
      <c r="J2371" s="115" t="str">
        <f t="shared" si="404"/>
        <v/>
      </c>
      <c r="K2371" s="102" t="str">
        <f>IF(A2371&amp;B2371="","",VLOOKUP(A2371&amp;B2371,INSUMOS!C:G,5,0))</f>
        <v/>
      </c>
    </row>
    <row r="2372" spans="1:17" ht="15" x14ac:dyDescent="0.25">
      <c r="A2372" s="123" t="s">
        <v>4399</v>
      </c>
      <c r="B2372" s="542" t="s">
        <v>5317</v>
      </c>
      <c r="C2372" s="542"/>
      <c r="D2372" s="542"/>
      <c r="E2372" s="542"/>
      <c r="F2372" s="543"/>
      <c r="G2372" s="124" t="s">
        <v>50</v>
      </c>
      <c r="H2372" s="125">
        <f>SUM(H2359:H2371)</f>
        <v>9.1900000000000013</v>
      </c>
      <c r="I2372" s="125">
        <f>SUM(I2359:I2371)</f>
        <v>19.79</v>
      </c>
      <c r="J2372" s="126">
        <f>SUM(J2359:J2371)</f>
        <v>0</v>
      </c>
    </row>
    <row r="2373" spans="1:17" ht="15" x14ac:dyDescent="0.25">
      <c r="A2373" s="127" t="s">
        <v>4400</v>
      </c>
      <c r="B2373" s="128"/>
      <c r="C2373" s="128"/>
      <c r="D2373" s="127" t="s">
        <v>51</v>
      </c>
      <c r="E2373" s="128"/>
      <c r="F2373" s="129"/>
      <c r="G2373" s="130" t="s">
        <v>55</v>
      </c>
      <c r="H2373" s="131" t="s">
        <v>52</v>
      </c>
      <c r="I2373" s="132"/>
      <c r="J2373" s="125">
        <f>SUM(H2372:J2372)</f>
        <v>28.98</v>
      </c>
    </row>
    <row r="2374" spans="1:17" ht="15" x14ac:dyDescent="0.25">
      <c r="A2374" s="313" t="str">
        <f>$I$3</f>
        <v>Carlos Wieck</v>
      </c>
      <c r="B2374" s="133"/>
      <c r="C2374" s="133"/>
      <c r="D2374" s="134"/>
      <c r="E2374" s="133"/>
      <c r="F2374" s="135"/>
      <c r="G2374" s="522">
        <f>$J$5</f>
        <v>43040</v>
      </c>
      <c r="H2374" s="136" t="s">
        <v>53</v>
      </c>
      <c r="I2374" s="137"/>
      <c r="J2374" s="125">
        <f>TRUNC(I2374*J2373,2)</f>
        <v>0</v>
      </c>
    </row>
    <row r="2375" spans="1:17" ht="15" x14ac:dyDescent="0.25">
      <c r="A2375" s="314"/>
      <c r="B2375" s="139"/>
      <c r="C2375" s="139"/>
      <c r="D2375" s="138"/>
      <c r="E2375" s="139"/>
      <c r="F2375" s="140"/>
      <c r="G2375" s="523"/>
      <c r="H2375" s="141" t="s">
        <v>54</v>
      </c>
      <c r="I2375" s="142"/>
      <c r="J2375" s="143">
        <f>J2374+J2373</f>
        <v>28.98</v>
      </c>
      <c r="L2375" s="102" t="str">
        <f>A2356</f>
        <v>COMPOSIÇÃO</v>
      </c>
      <c r="M2375" s="144" t="str">
        <f>B2356</f>
        <v>FF-100</v>
      </c>
      <c r="N2375" s="102" t="str">
        <f>L2375&amp;M2375</f>
        <v>COMPOSIÇÃOFF-100</v>
      </c>
      <c r="O2375" s="103" t="str">
        <f>D2355</f>
        <v>Junção simples de PVC série R diam. 100mm, fornecimento e instalação</v>
      </c>
      <c r="P2375" s="145" t="str">
        <f>J2356</f>
        <v>un</v>
      </c>
      <c r="Q2375" s="145">
        <f>J2375</f>
        <v>28.98</v>
      </c>
    </row>
    <row r="2376" spans="1:17" ht="15" customHeight="1" x14ac:dyDescent="0.25">
      <c r="A2376" s="524" t="s">
        <v>40</v>
      </c>
      <c r="B2376" s="525"/>
      <c r="C2376" s="104" t="s">
        <v>41</v>
      </c>
      <c r="D2376" s="526" t="str">
        <f>IF(B2377="","",VLOOKUP(B2377,SERVIÇOS!B:E,3,0))</f>
        <v>Junção simples de PVC série R diam. 50mm, fornecimento e instalação</v>
      </c>
      <c r="E2376" s="526"/>
      <c r="F2376" s="526"/>
      <c r="G2376" s="526"/>
      <c r="H2376" s="526"/>
      <c r="I2376" s="527"/>
      <c r="J2376" s="105" t="s">
        <v>42</v>
      </c>
    </row>
    <row r="2377" spans="1:17" ht="15" x14ac:dyDescent="0.25">
      <c r="A2377" s="230" t="s">
        <v>4715</v>
      </c>
      <c r="B2377" s="230" t="s">
        <v>5269</v>
      </c>
      <c r="C2377" s="106"/>
      <c r="D2377" s="528"/>
      <c r="E2377" s="528"/>
      <c r="F2377" s="528"/>
      <c r="G2377" s="528"/>
      <c r="H2377" s="528"/>
      <c r="I2377" s="529"/>
      <c r="J2377" s="107" t="str">
        <f>IF(B2377="","",VLOOKUP(B2377,SERVIÇOS!B:E,4,0))</f>
        <v>un</v>
      </c>
    </row>
    <row r="2378" spans="1:17" ht="15" x14ac:dyDescent="0.25">
      <c r="A2378" s="530" t="s">
        <v>4397</v>
      </c>
      <c r="B2378" s="531" t="s">
        <v>11</v>
      </c>
      <c r="C2378" s="533" t="s">
        <v>43</v>
      </c>
      <c r="D2378" s="534"/>
      <c r="E2378" s="530" t="s">
        <v>13</v>
      </c>
      <c r="F2378" s="530" t="s">
        <v>44</v>
      </c>
      <c r="G2378" s="538" t="s">
        <v>45</v>
      </c>
      <c r="H2378" s="108" t="s">
        <v>46</v>
      </c>
      <c r="I2378" s="108"/>
      <c r="J2378" s="108"/>
    </row>
    <row r="2379" spans="1:17" ht="15" x14ac:dyDescent="0.25">
      <c r="A2379" s="530"/>
      <c r="B2379" s="532"/>
      <c r="C2379" s="535"/>
      <c r="D2379" s="536"/>
      <c r="E2379" s="537"/>
      <c r="F2379" s="537"/>
      <c r="G2379" s="539"/>
      <c r="H2379" s="108" t="s">
        <v>47</v>
      </c>
      <c r="I2379" s="108" t="s">
        <v>48</v>
      </c>
      <c r="J2379" s="108" t="s">
        <v>49</v>
      </c>
    </row>
    <row r="2380" spans="1:17" ht="15" x14ac:dyDescent="0.25">
      <c r="A2380" s="109" t="s">
        <v>4398</v>
      </c>
      <c r="B2380" s="110">
        <v>10119</v>
      </c>
      <c r="C2380" s="540" t="str">
        <f>IF(A2380&amp;B2380="","",VLOOKUP(A2380&amp;B2380,INSUMOS!C:G,2,0))</f>
        <v>Ajudante de encanador</v>
      </c>
      <c r="D2380" s="541"/>
      <c r="E2380" s="111" t="str">
        <f>IF(A2380&amp;B2380="","",VLOOKUP(A2380&amp;B2380,INSUMOS!C:G,3,0))</f>
        <v>h</v>
      </c>
      <c r="F2380" s="112">
        <v>0.06</v>
      </c>
      <c r="G2380" s="113">
        <f>IF(A2380&amp;B2380="","",VLOOKUP(A2380&amp;B2380,INSUMOS!C:G,4,0))</f>
        <v>10.985028</v>
      </c>
      <c r="H2380" s="114">
        <f>IF(K2380="MO",TRUNC(F2380*G2380,2),"")</f>
        <v>0.65</v>
      </c>
      <c r="I2380" s="114" t="str">
        <f>IF(K2380="MT",TRUNC(F2380*G2380,2),"")</f>
        <v/>
      </c>
      <c r="J2380" s="115" t="str">
        <f>IF(K2380="EQ",TRUNC(F2380*G2380,2),"")</f>
        <v/>
      </c>
      <c r="K2380" s="102" t="str">
        <f>IF(A2380&amp;B2380="","",VLOOKUP(A2380&amp;B2380,INSUMOS!C:G,5,0))</f>
        <v>MO</v>
      </c>
    </row>
    <row r="2381" spans="1:17" ht="15" x14ac:dyDescent="0.25">
      <c r="A2381" s="109" t="s">
        <v>4398</v>
      </c>
      <c r="B2381" s="116">
        <v>10118</v>
      </c>
      <c r="C2381" s="518" t="str">
        <f>IF(A2381&amp;B2381="","",VLOOKUP(A2381&amp;B2381,INSUMOS!C:G,2,0))</f>
        <v xml:space="preserve">Encanador </v>
      </c>
      <c r="D2381" s="519"/>
      <c r="E2381" s="117" t="str">
        <f>IF(A2381&amp;B2381="","",VLOOKUP(A2381&amp;B2381,INSUMOS!C:G,3,0))</f>
        <v>h</v>
      </c>
      <c r="F2381" s="118">
        <v>0.06</v>
      </c>
      <c r="G2381" s="113">
        <f>IF(A2381&amp;B2381="","",VLOOKUP(A2381&amp;B2381,INSUMOS!C:G,4,0))</f>
        <v>16.906036</v>
      </c>
      <c r="H2381" s="119">
        <f t="shared" ref="H2381:H2392" si="405">IF(K2381="MO",TRUNC(F2381*G2381,2),"")</f>
        <v>1.01</v>
      </c>
      <c r="I2381" s="119" t="str">
        <f t="shared" ref="I2381:I2392" si="406">IF(K2381="MT",TRUNC(F2381*G2381,2),"")</f>
        <v/>
      </c>
      <c r="J2381" s="115" t="str">
        <f t="shared" ref="J2381:J2392" si="407">IF(K2381="EQ",TRUNC(F2381*G2381,2),"")</f>
        <v/>
      </c>
      <c r="K2381" s="102" t="str">
        <f>IF(A2381&amp;B2381="","",VLOOKUP(A2381&amp;B2381,INSUMOS!C:G,5,0))</f>
        <v>MO</v>
      </c>
    </row>
    <row r="2382" spans="1:17" ht="15" x14ac:dyDescent="0.25">
      <c r="A2382" s="109" t="s">
        <v>4810</v>
      </c>
      <c r="B2382" s="116">
        <v>296</v>
      </c>
      <c r="C2382" s="518" t="str">
        <f>IF(A2382&amp;B2382="","",VLOOKUP(A2382&amp;B2382,INSUMOS!C:G,2,0))</f>
        <v>Anel de borracha para tubo de esgoto predial, DN 50 mm (NBR 5688)</v>
      </c>
      <c r="D2382" s="519"/>
      <c r="E2382" s="117" t="str">
        <f>IF(A2382&amp;B2382="","",VLOOKUP(A2382&amp;B2382,INSUMOS!C:G,3,0))</f>
        <v>un</v>
      </c>
      <c r="F2382" s="118">
        <v>2</v>
      </c>
      <c r="G2382" s="113">
        <f>IF(A2382&amp;B2382="","",VLOOKUP(A2382&amp;B2382,INSUMOS!C:G,4,0))</f>
        <v>0.83</v>
      </c>
      <c r="H2382" s="119" t="str">
        <f t="shared" si="405"/>
        <v/>
      </c>
      <c r="I2382" s="119">
        <f t="shared" si="406"/>
        <v>1.66</v>
      </c>
      <c r="J2382" s="115" t="str">
        <f t="shared" si="407"/>
        <v/>
      </c>
      <c r="K2382" s="102" t="str">
        <f>IF(A2382&amp;B2382="","",VLOOKUP(A2382&amp;B2382,INSUMOS!C:G,5,0))</f>
        <v>MT</v>
      </c>
    </row>
    <row r="2383" spans="1:17" ht="15" x14ac:dyDescent="0.25">
      <c r="A2383" s="109" t="s">
        <v>4810</v>
      </c>
      <c r="B2383" s="116">
        <v>3662</v>
      </c>
      <c r="C2383" s="518" t="str">
        <f>IF(A2383&amp;B2383="","",VLOOKUP(A2383&amp;B2383,INSUMOS!C:G,2,0))</f>
        <v>Junção simples PVC p/esgoto predial DN 50x50mm</v>
      </c>
      <c r="D2383" s="519"/>
      <c r="E2383" s="117" t="str">
        <f>IF(A2383&amp;B2383="","",VLOOKUP(A2383&amp;B2383,INSUMOS!C:G,3,0))</f>
        <v>un</v>
      </c>
      <c r="F2383" s="118">
        <v>1</v>
      </c>
      <c r="G2383" s="113">
        <f>IF(A2383&amp;B2383="","",VLOOKUP(A2383&amp;B2383,INSUMOS!C:G,4,0))</f>
        <v>5.94</v>
      </c>
      <c r="H2383" s="119" t="str">
        <f t="shared" si="405"/>
        <v/>
      </c>
      <c r="I2383" s="119">
        <f t="shared" si="406"/>
        <v>5.94</v>
      </c>
      <c r="J2383" s="115" t="str">
        <f t="shared" si="407"/>
        <v/>
      </c>
      <c r="K2383" s="102" t="str">
        <f>IF(A2383&amp;B2383="","",VLOOKUP(A2383&amp;B2383,INSUMOS!C:G,5,0))</f>
        <v>MT</v>
      </c>
    </row>
    <row r="2384" spans="1:17" ht="15" x14ac:dyDescent="0.25">
      <c r="A2384" s="109" t="s">
        <v>4810</v>
      </c>
      <c r="B2384" s="116">
        <v>20078</v>
      </c>
      <c r="C2384" s="518" t="str">
        <f>IF(A2384&amp;B2384="","",VLOOKUP(A2384&amp;B2384,INSUMOS!C:G,2,0))</f>
        <v>Pasta lubrificante para uso em tubos de PVC com anel de borracha (pote de 400G)</v>
      </c>
      <c r="D2384" s="519"/>
      <c r="E2384" s="117" t="str">
        <f>IF(A2384&amp;B2384="","",VLOOKUP(A2384&amp;B2384,INSUMOS!C:G,3,0))</f>
        <v>un</v>
      </c>
      <c r="F2384" s="118">
        <v>0.04</v>
      </c>
      <c r="G2384" s="113">
        <f>IF(A2384&amp;B2384="","",VLOOKUP(A2384&amp;B2384,INSUMOS!C:G,4,0))</f>
        <v>13.33</v>
      </c>
      <c r="H2384" s="119" t="str">
        <f t="shared" si="405"/>
        <v/>
      </c>
      <c r="I2384" s="119">
        <f t="shared" si="406"/>
        <v>0.53</v>
      </c>
      <c r="J2384" s="115" t="str">
        <f t="shared" si="407"/>
        <v/>
      </c>
      <c r="K2384" s="102" t="str">
        <f>IF(A2384&amp;B2384="","",VLOOKUP(A2384&amp;B2384,INSUMOS!C:G,5,0))</f>
        <v>MT</v>
      </c>
    </row>
    <row r="2385" spans="1:17" ht="15" x14ac:dyDescent="0.25">
      <c r="A2385" s="109"/>
      <c r="B2385" s="116"/>
      <c r="C2385" s="518" t="str">
        <f>IF(A2385&amp;B2385="","",VLOOKUP(A2385&amp;B2385,INSUMOS!C:G,2,0))</f>
        <v/>
      </c>
      <c r="D2385" s="519"/>
      <c r="E2385" s="117" t="str">
        <f>IF(A2385&amp;B2385="","",VLOOKUP(A2385&amp;B2385,INSUMOS!C:G,3,0))</f>
        <v/>
      </c>
      <c r="F2385" s="118"/>
      <c r="G2385" s="113" t="str">
        <f>IF(A2385&amp;B2385="","",VLOOKUP(A2385&amp;B2385,INSUMOS!C:G,4,0))</f>
        <v/>
      </c>
      <c r="H2385" s="119" t="str">
        <f t="shared" si="405"/>
        <v/>
      </c>
      <c r="I2385" s="119" t="str">
        <f t="shared" si="406"/>
        <v/>
      </c>
      <c r="J2385" s="115" t="str">
        <f t="shared" si="407"/>
        <v/>
      </c>
      <c r="K2385" s="102" t="str">
        <f>IF(A2385&amp;B2385="","",VLOOKUP(A2385&amp;B2385,INSUMOS!C:G,5,0))</f>
        <v/>
      </c>
    </row>
    <row r="2386" spans="1:17" ht="15" x14ac:dyDescent="0.25">
      <c r="A2386" s="109"/>
      <c r="B2386" s="116"/>
      <c r="C2386" s="518" t="str">
        <f>IF(A2386&amp;B2386="","",VLOOKUP(A2386&amp;B2386,INSUMOS!C:G,2,0))</f>
        <v/>
      </c>
      <c r="D2386" s="519"/>
      <c r="E2386" s="117" t="str">
        <f>IF(A2386&amp;B2386="","",VLOOKUP(A2386&amp;B2386,INSUMOS!C:G,3,0))</f>
        <v/>
      </c>
      <c r="F2386" s="118"/>
      <c r="G2386" s="113" t="str">
        <f>IF(A2386&amp;B2386="","",VLOOKUP(A2386&amp;B2386,INSUMOS!C:G,4,0))</f>
        <v/>
      </c>
      <c r="H2386" s="119" t="str">
        <f t="shared" si="405"/>
        <v/>
      </c>
      <c r="I2386" s="119" t="str">
        <f t="shared" si="406"/>
        <v/>
      </c>
      <c r="J2386" s="115" t="str">
        <f t="shared" si="407"/>
        <v/>
      </c>
      <c r="K2386" s="102" t="str">
        <f>IF(A2386&amp;B2386="","",VLOOKUP(A2386&amp;B2386,INSUMOS!C:G,5,0))</f>
        <v/>
      </c>
    </row>
    <row r="2387" spans="1:17" ht="15" x14ac:dyDescent="0.25">
      <c r="A2387" s="109"/>
      <c r="B2387" s="116"/>
      <c r="C2387" s="518" t="str">
        <f>IF(A2387&amp;B2387="","",VLOOKUP(A2387&amp;B2387,INSUMOS!C:G,2,0))</f>
        <v/>
      </c>
      <c r="D2387" s="519"/>
      <c r="E2387" s="117" t="str">
        <f>IF(A2387&amp;B2387="","",VLOOKUP(A2387&amp;B2387,INSUMOS!C:G,3,0))</f>
        <v/>
      </c>
      <c r="F2387" s="118"/>
      <c r="G2387" s="113" t="str">
        <f>IF(A2387&amp;B2387="","",VLOOKUP(A2387&amp;B2387,INSUMOS!C:G,4,0))</f>
        <v/>
      </c>
      <c r="H2387" s="119" t="str">
        <f t="shared" si="405"/>
        <v/>
      </c>
      <c r="I2387" s="119" t="str">
        <f t="shared" si="406"/>
        <v/>
      </c>
      <c r="J2387" s="115" t="str">
        <f t="shared" si="407"/>
        <v/>
      </c>
      <c r="K2387" s="102" t="str">
        <f>IF(A2387&amp;B2387="","",VLOOKUP(A2387&amp;B2387,INSUMOS!C:G,5,0))</f>
        <v/>
      </c>
    </row>
    <row r="2388" spans="1:17" ht="15" x14ac:dyDescent="0.25">
      <c r="A2388" s="109"/>
      <c r="B2388" s="116"/>
      <c r="C2388" s="518" t="str">
        <f>IF(A2388&amp;B2388="","",VLOOKUP(A2388&amp;B2388,INSUMOS!C:G,2,0))</f>
        <v/>
      </c>
      <c r="D2388" s="519"/>
      <c r="E2388" s="117" t="str">
        <f>IF(A2388&amp;B2388="","",VLOOKUP(A2388&amp;B2388,INSUMOS!C:G,3,0))</f>
        <v/>
      </c>
      <c r="F2388" s="118"/>
      <c r="G2388" s="113" t="str">
        <f>IF(A2388&amp;B2388="","",VLOOKUP(A2388&amp;B2388,INSUMOS!C:G,4,0))</f>
        <v/>
      </c>
      <c r="H2388" s="119" t="str">
        <f t="shared" si="405"/>
        <v/>
      </c>
      <c r="I2388" s="119" t="str">
        <f t="shared" si="406"/>
        <v/>
      </c>
      <c r="J2388" s="115" t="str">
        <f t="shared" si="407"/>
        <v/>
      </c>
      <c r="K2388" s="102" t="str">
        <f>IF(A2388&amp;B2388="","",VLOOKUP(A2388&amp;B2388,INSUMOS!C:G,5,0))</f>
        <v/>
      </c>
    </row>
    <row r="2389" spans="1:17" ht="15" x14ac:dyDescent="0.25">
      <c r="A2389" s="109"/>
      <c r="B2389" s="116"/>
      <c r="C2389" s="518" t="str">
        <f>IF(A2389&amp;B2389="","",VLOOKUP(A2389&amp;B2389,INSUMOS!C:G,2,0))</f>
        <v/>
      </c>
      <c r="D2389" s="519"/>
      <c r="E2389" s="117" t="str">
        <f>IF(A2389&amp;B2389="","",VLOOKUP(A2389&amp;B2389,INSUMOS!C:G,3,0))</f>
        <v/>
      </c>
      <c r="F2389" s="118"/>
      <c r="G2389" s="113" t="str">
        <f>IF(A2389&amp;B2389="","",VLOOKUP(A2389&amp;B2389,INSUMOS!C:G,4,0))</f>
        <v/>
      </c>
      <c r="H2389" s="119" t="str">
        <f t="shared" si="405"/>
        <v/>
      </c>
      <c r="I2389" s="119" t="str">
        <f t="shared" si="406"/>
        <v/>
      </c>
      <c r="J2389" s="115" t="str">
        <f t="shared" si="407"/>
        <v/>
      </c>
      <c r="K2389" s="102" t="str">
        <f>IF(A2389&amp;B2389="","",VLOOKUP(A2389&amp;B2389,INSUMOS!C:G,5,0))</f>
        <v/>
      </c>
    </row>
    <row r="2390" spans="1:17" ht="15" x14ac:dyDescent="0.25">
      <c r="A2390" s="120"/>
      <c r="B2390" s="121"/>
      <c r="C2390" s="518" t="str">
        <f>IF(A2390&amp;B2390="","",VLOOKUP(A2390&amp;B2390,INSUMOS!C:G,2,0))</f>
        <v/>
      </c>
      <c r="D2390" s="519"/>
      <c r="E2390" s="117" t="str">
        <f>IF(A2390&amp;B2390="","",VLOOKUP(A2390&amp;B2390,INSUMOS!C:G,3,0))</f>
        <v/>
      </c>
      <c r="F2390" s="118"/>
      <c r="G2390" s="122" t="str">
        <f>IF(A2390&amp;B2390="","",VLOOKUP(A2390&amp;B2390,INSUMOS!C:G,4,0))</f>
        <v/>
      </c>
      <c r="H2390" s="119" t="str">
        <f t="shared" si="405"/>
        <v/>
      </c>
      <c r="I2390" s="119" t="str">
        <f t="shared" si="406"/>
        <v/>
      </c>
      <c r="J2390" s="115" t="str">
        <f t="shared" si="407"/>
        <v/>
      </c>
      <c r="K2390" s="102" t="str">
        <f>IF(A2390&amp;B2390="","",VLOOKUP(A2390&amp;B2390,INSUMOS!C:G,5,0))</f>
        <v/>
      </c>
    </row>
    <row r="2391" spans="1:17" ht="15" x14ac:dyDescent="0.25">
      <c r="A2391" s="120"/>
      <c r="B2391" s="121"/>
      <c r="C2391" s="518" t="str">
        <f>IF(A2391&amp;B2391="","",VLOOKUP(A2391&amp;B2391,INSUMOS!C:G,2,0))</f>
        <v/>
      </c>
      <c r="D2391" s="519"/>
      <c r="E2391" s="117" t="str">
        <f>IF(A2391&amp;B2391="","",VLOOKUP(A2391&amp;B2391,INSUMOS!C:G,3,0))</f>
        <v/>
      </c>
      <c r="F2391" s="118"/>
      <c r="G2391" s="122" t="str">
        <f>IF(A2391&amp;B2391="","",VLOOKUP(A2391&amp;B2391,INSUMOS!C:G,4,0))</f>
        <v/>
      </c>
      <c r="H2391" s="119" t="str">
        <f t="shared" si="405"/>
        <v/>
      </c>
      <c r="I2391" s="119" t="str">
        <f t="shared" si="406"/>
        <v/>
      </c>
      <c r="J2391" s="115" t="str">
        <f t="shared" si="407"/>
        <v/>
      </c>
      <c r="K2391" s="102" t="str">
        <f>IF(A2391&amp;B2391="","",VLOOKUP(A2391&amp;B2391,INSUMOS!C:G,5,0))</f>
        <v/>
      </c>
    </row>
    <row r="2392" spans="1:17" ht="15" x14ac:dyDescent="0.25">
      <c r="A2392" s="120"/>
      <c r="B2392" s="121"/>
      <c r="C2392" s="518" t="str">
        <f>IF(A2392&amp;B2392="","",VLOOKUP(A2392&amp;B2392,INSUMOS!C:G,2,0))</f>
        <v/>
      </c>
      <c r="D2392" s="519"/>
      <c r="E2392" s="117" t="str">
        <f>IF(A2392&amp;B2392="","",VLOOKUP(A2392&amp;B2392,INSUMOS!C:G,3,0))</f>
        <v/>
      </c>
      <c r="F2392" s="118"/>
      <c r="G2392" s="122" t="str">
        <f>IF(A2392&amp;B2392="","",VLOOKUP(A2392&amp;B2392,INSUMOS!C:G,4,0))</f>
        <v/>
      </c>
      <c r="H2392" s="119" t="str">
        <f t="shared" si="405"/>
        <v/>
      </c>
      <c r="I2392" s="119" t="str">
        <f t="shared" si="406"/>
        <v/>
      </c>
      <c r="J2392" s="115" t="str">
        <f t="shared" si="407"/>
        <v/>
      </c>
      <c r="K2392" s="102" t="str">
        <f>IF(A2392&amp;B2392="","",VLOOKUP(A2392&amp;B2392,INSUMOS!C:G,5,0))</f>
        <v/>
      </c>
    </row>
    <row r="2393" spans="1:17" ht="15" x14ac:dyDescent="0.25">
      <c r="A2393" s="123" t="s">
        <v>4399</v>
      </c>
      <c r="B2393" s="542" t="s">
        <v>5319</v>
      </c>
      <c r="C2393" s="542"/>
      <c r="D2393" s="542"/>
      <c r="E2393" s="542"/>
      <c r="F2393" s="543"/>
      <c r="G2393" s="124" t="s">
        <v>50</v>
      </c>
      <c r="H2393" s="125">
        <f>SUM(H2380:H2392)</f>
        <v>1.6600000000000001</v>
      </c>
      <c r="I2393" s="125">
        <f>SUM(I2380:I2392)</f>
        <v>8.1300000000000008</v>
      </c>
      <c r="J2393" s="126">
        <f>SUM(J2380:J2392)</f>
        <v>0</v>
      </c>
    </row>
    <row r="2394" spans="1:17" ht="15" x14ac:dyDescent="0.25">
      <c r="A2394" s="127" t="s">
        <v>4400</v>
      </c>
      <c r="B2394" s="128"/>
      <c r="C2394" s="128"/>
      <c r="D2394" s="127" t="s">
        <v>51</v>
      </c>
      <c r="E2394" s="128"/>
      <c r="F2394" s="129"/>
      <c r="G2394" s="130" t="s">
        <v>55</v>
      </c>
      <c r="H2394" s="131" t="s">
        <v>52</v>
      </c>
      <c r="I2394" s="132"/>
      <c r="J2394" s="125">
        <f>SUM(H2393:J2393)</f>
        <v>9.7900000000000009</v>
      </c>
    </row>
    <row r="2395" spans="1:17" ht="15" x14ac:dyDescent="0.25">
      <c r="A2395" s="313" t="str">
        <f>$I$3</f>
        <v>Carlos Wieck</v>
      </c>
      <c r="B2395" s="133"/>
      <c r="C2395" s="133"/>
      <c r="D2395" s="134"/>
      <c r="E2395" s="133"/>
      <c r="F2395" s="135"/>
      <c r="G2395" s="522">
        <f>$J$5</f>
        <v>43040</v>
      </c>
      <c r="H2395" s="136" t="s">
        <v>53</v>
      </c>
      <c r="I2395" s="137"/>
      <c r="J2395" s="125">
        <f>TRUNC(I2395*J2394,2)</f>
        <v>0</v>
      </c>
    </row>
    <row r="2396" spans="1:17" ht="15" x14ac:dyDescent="0.25">
      <c r="A2396" s="314"/>
      <c r="B2396" s="139"/>
      <c r="C2396" s="139"/>
      <c r="D2396" s="138"/>
      <c r="E2396" s="139"/>
      <c r="F2396" s="140"/>
      <c r="G2396" s="523"/>
      <c r="H2396" s="141" t="s">
        <v>54</v>
      </c>
      <c r="I2396" s="142"/>
      <c r="J2396" s="143">
        <f>J2395+J2394</f>
        <v>9.7900000000000009</v>
      </c>
      <c r="L2396" s="102" t="str">
        <f>A2377</f>
        <v>COMPOSIÇÃO</v>
      </c>
      <c r="M2396" s="144" t="str">
        <f>B2377</f>
        <v>FF-101</v>
      </c>
      <c r="N2396" s="102" t="str">
        <f>L2396&amp;M2396</f>
        <v>COMPOSIÇÃOFF-101</v>
      </c>
      <c r="O2396" s="103" t="str">
        <f>D2376</f>
        <v>Junção simples de PVC série R diam. 50mm, fornecimento e instalação</v>
      </c>
      <c r="P2396" s="145" t="str">
        <f>J2377</f>
        <v>un</v>
      </c>
      <c r="Q2396" s="145">
        <f>J2396</f>
        <v>9.7900000000000009</v>
      </c>
    </row>
    <row r="2397" spans="1:17" ht="15" customHeight="1" x14ac:dyDescent="0.25">
      <c r="A2397" s="524" t="s">
        <v>40</v>
      </c>
      <c r="B2397" s="525"/>
      <c r="C2397" s="104" t="s">
        <v>41</v>
      </c>
      <c r="D2397" s="526" t="str">
        <f>IF(B2398="","",VLOOKUP(B2398,SERVIÇOS!B:E,3,0))</f>
        <v>Junção invertida de PVC série R diam. 75x50mm, fornecimento e instalação</v>
      </c>
      <c r="E2397" s="526"/>
      <c r="F2397" s="526"/>
      <c r="G2397" s="526"/>
      <c r="H2397" s="526"/>
      <c r="I2397" s="527"/>
      <c r="J2397" s="105" t="s">
        <v>42</v>
      </c>
    </row>
    <row r="2398" spans="1:17" ht="15" x14ac:dyDescent="0.25">
      <c r="A2398" s="230" t="s">
        <v>4715</v>
      </c>
      <c r="B2398" s="230" t="s">
        <v>5270</v>
      </c>
      <c r="C2398" s="106"/>
      <c r="D2398" s="528"/>
      <c r="E2398" s="528"/>
      <c r="F2398" s="528"/>
      <c r="G2398" s="528"/>
      <c r="H2398" s="528"/>
      <c r="I2398" s="529"/>
      <c r="J2398" s="107" t="str">
        <f>IF(B2398="","",VLOOKUP(B2398,SERVIÇOS!B:E,4,0))</f>
        <v>un</v>
      </c>
    </row>
    <row r="2399" spans="1:17" ht="15" x14ac:dyDescent="0.25">
      <c r="A2399" s="530" t="s">
        <v>4397</v>
      </c>
      <c r="B2399" s="531" t="s">
        <v>11</v>
      </c>
      <c r="C2399" s="533" t="s">
        <v>43</v>
      </c>
      <c r="D2399" s="534"/>
      <c r="E2399" s="530" t="s">
        <v>13</v>
      </c>
      <c r="F2399" s="530" t="s">
        <v>44</v>
      </c>
      <c r="G2399" s="538" t="s">
        <v>45</v>
      </c>
      <c r="H2399" s="108" t="s">
        <v>46</v>
      </c>
      <c r="I2399" s="108"/>
      <c r="J2399" s="108"/>
    </row>
    <row r="2400" spans="1:17" ht="15" x14ac:dyDescent="0.25">
      <c r="A2400" s="530"/>
      <c r="B2400" s="532"/>
      <c r="C2400" s="535"/>
      <c r="D2400" s="536"/>
      <c r="E2400" s="537"/>
      <c r="F2400" s="537"/>
      <c r="G2400" s="539"/>
      <c r="H2400" s="108" t="s">
        <v>47</v>
      </c>
      <c r="I2400" s="108" t="s">
        <v>48</v>
      </c>
      <c r="J2400" s="108" t="s">
        <v>49</v>
      </c>
    </row>
    <row r="2401" spans="1:11" ht="15" x14ac:dyDescent="0.25">
      <c r="A2401" s="109" t="s">
        <v>4398</v>
      </c>
      <c r="B2401" s="110">
        <v>10119</v>
      </c>
      <c r="C2401" s="540" t="str">
        <f>IF(A2401&amp;B2401="","",VLOOKUP(A2401&amp;B2401,INSUMOS!C:G,2,0))</f>
        <v>Ajudante de encanador</v>
      </c>
      <c r="D2401" s="541"/>
      <c r="E2401" s="111" t="str">
        <f>IF(A2401&amp;B2401="","",VLOOKUP(A2401&amp;B2401,INSUMOS!C:G,3,0))</f>
        <v>h</v>
      </c>
      <c r="F2401" s="112">
        <v>0.08</v>
      </c>
      <c r="G2401" s="113">
        <f>IF(A2401&amp;B2401="","",VLOOKUP(A2401&amp;B2401,INSUMOS!C:G,4,0))</f>
        <v>10.985028</v>
      </c>
      <c r="H2401" s="114">
        <f>IF(K2401="MO",TRUNC(F2401*G2401,2),"")</f>
        <v>0.87</v>
      </c>
      <c r="I2401" s="114" t="str">
        <f>IF(K2401="MT",TRUNC(F2401*G2401,2),"")</f>
        <v/>
      </c>
      <c r="J2401" s="115" t="str">
        <f>IF(K2401="EQ",TRUNC(F2401*G2401,2),"")</f>
        <v/>
      </c>
      <c r="K2401" s="102" t="str">
        <f>IF(A2401&amp;B2401="","",VLOOKUP(A2401&amp;B2401,INSUMOS!C:G,5,0))</f>
        <v>MO</v>
      </c>
    </row>
    <row r="2402" spans="1:11" ht="15" x14ac:dyDescent="0.25">
      <c r="A2402" s="109" t="s">
        <v>4398</v>
      </c>
      <c r="B2402" s="116">
        <v>10118</v>
      </c>
      <c r="C2402" s="518" t="str">
        <f>IF(A2402&amp;B2402="","",VLOOKUP(A2402&amp;B2402,INSUMOS!C:G,2,0))</f>
        <v xml:space="preserve">Encanador </v>
      </c>
      <c r="D2402" s="519"/>
      <c r="E2402" s="117" t="str">
        <f>IF(A2402&amp;B2402="","",VLOOKUP(A2402&amp;B2402,INSUMOS!C:G,3,0))</f>
        <v>h</v>
      </c>
      <c r="F2402" s="118">
        <v>0.08</v>
      </c>
      <c r="G2402" s="113">
        <f>IF(A2402&amp;B2402="","",VLOOKUP(A2402&amp;B2402,INSUMOS!C:G,4,0))</f>
        <v>16.906036</v>
      </c>
      <c r="H2402" s="119">
        <f t="shared" ref="H2402:H2413" si="408">IF(K2402="MO",TRUNC(F2402*G2402,2),"")</f>
        <v>1.35</v>
      </c>
      <c r="I2402" s="119" t="str">
        <f t="shared" ref="I2402:I2413" si="409">IF(K2402="MT",TRUNC(F2402*G2402,2),"")</f>
        <v/>
      </c>
      <c r="J2402" s="115" t="str">
        <f t="shared" ref="J2402:J2413" si="410">IF(K2402="EQ",TRUNC(F2402*G2402,2),"")</f>
        <v/>
      </c>
      <c r="K2402" s="102" t="str">
        <f>IF(A2402&amp;B2402="","",VLOOKUP(A2402&amp;B2402,INSUMOS!C:G,5,0))</f>
        <v>MO</v>
      </c>
    </row>
    <row r="2403" spans="1:11" ht="15" x14ac:dyDescent="0.25">
      <c r="A2403" s="109" t="s">
        <v>4810</v>
      </c>
      <c r="B2403" s="116">
        <v>296</v>
      </c>
      <c r="C2403" s="518" t="str">
        <f>IF(A2403&amp;B2403="","",VLOOKUP(A2403&amp;B2403,INSUMOS!C:G,2,0))</f>
        <v>Anel de borracha para tubo de esgoto predial, DN 50 mm (NBR 5688)</v>
      </c>
      <c r="D2403" s="519"/>
      <c r="E2403" s="117" t="str">
        <f>IF(A2403&amp;B2403="","",VLOOKUP(A2403&amp;B2403,INSUMOS!C:G,3,0))</f>
        <v>un</v>
      </c>
      <c r="F2403" s="118">
        <v>1</v>
      </c>
      <c r="G2403" s="113">
        <f>IF(A2403&amp;B2403="","",VLOOKUP(A2403&amp;B2403,INSUMOS!C:G,4,0))</f>
        <v>0.83</v>
      </c>
      <c r="H2403" s="119" t="str">
        <f t="shared" si="408"/>
        <v/>
      </c>
      <c r="I2403" s="119">
        <f t="shared" si="409"/>
        <v>0.83</v>
      </c>
      <c r="J2403" s="115" t="str">
        <f t="shared" si="410"/>
        <v/>
      </c>
      <c r="K2403" s="102" t="str">
        <f>IF(A2403&amp;B2403="","",VLOOKUP(A2403&amp;B2403,INSUMOS!C:G,5,0))</f>
        <v>MT</v>
      </c>
    </row>
    <row r="2404" spans="1:11" ht="15" x14ac:dyDescent="0.25">
      <c r="A2404" s="109" t="s">
        <v>4810</v>
      </c>
      <c r="B2404" s="116">
        <v>297</v>
      </c>
      <c r="C2404" s="518" t="str">
        <f>IF(A2404&amp;B2404="","",VLOOKUP(A2404&amp;B2404,INSUMOS!C:G,2,0))</f>
        <v>Anel de borracha para tubo de esgoto predial, DN 75 mm (NBR 5688)</v>
      </c>
      <c r="D2404" s="519"/>
      <c r="E2404" s="117" t="str">
        <f>IF(A2404&amp;B2404="","",VLOOKUP(A2404&amp;B2404,INSUMOS!C:G,3,0))</f>
        <v>un</v>
      </c>
      <c r="F2404" s="118">
        <v>1</v>
      </c>
      <c r="G2404" s="113">
        <f>IF(A2404&amp;B2404="","",VLOOKUP(A2404&amp;B2404,INSUMOS!C:G,4,0))</f>
        <v>0.83</v>
      </c>
      <c r="H2404" s="119" t="str">
        <f t="shared" si="408"/>
        <v/>
      </c>
      <c r="I2404" s="119">
        <f t="shared" si="409"/>
        <v>0.83</v>
      </c>
      <c r="J2404" s="115" t="str">
        <f t="shared" si="410"/>
        <v/>
      </c>
      <c r="K2404" s="102" t="str">
        <f>IF(A2404&amp;B2404="","",VLOOKUP(A2404&amp;B2404,INSUMOS!C:G,5,0))</f>
        <v>MT</v>
      </c>
    </row>
    <row r="2405" spans="1:11" ht="15" x14ac:dyDescent="0.25">
      <c r="A2405" s="109" t="s">
        <v>4810</v>
      </c>
      <c r="B2405" s="116">
        <v>3669</v>
      </c>
      <c r="C2405" s="518" t="str">
        <f>IF(A2405&amp;B2405="","",VLOOKUP(A2405&amp;B2405,INSUMOS!C:G,2,0))</f>
        <v>Junção invertida PVC sold p/esgoto predial DN 75x50mm</v>
      </c>
      <c r="D2405" s="519"/>
      <c r="E2405" s="117" t="str">
        <f>IF(A2405&amp;B2405="","",VLOOKUP(A2405&amp;B2405,INSUMOS!C:G,3,0))</f>
        <v>un</v>
      </c>
      <c r="F2405" s="118">
        <v>1</v>
      </c>
      <c r="G2405" s="113">
        <f>IF(A2405&amp;B2405="","",VLOOKUP(A2405&amp;B2405,INSUMOS!C:G,4,0))</f>
        <v>7.59</v>
      </c>
      <c r="H2405" s="119" t="str">
        <f t="shared" si="408"/>
        <v/>
      </c>
      <c r="I2405" s="119">
        <f t="shared" si="409"/>
        <v>7.59</v>
      </c>
      <c r="J2405" s="115" t="str">
        <f t="shared" si="410"/>
        <v/>
      </c>
      <c r="K2405" s="102" t="str">
        <f>IF(A2405&amp;B2405="","",VLOOKUP(A2405&amp;B2405,INSUMOS!C:G,5,0))</f>
        <v>MT</v>
      </c>
    </row>
    <row r="2406" spans="1:11" ht="15" x14ac:dyDescent="0.25">
      <c r="A2406" s="109" t="s">
        <v>4810</v>
      </c>
      <c r="B2406" s="116">
        <v>20078</v>
      </c>
      <c r="C2406" s="518" t="str">
        <f>IF(A2406&amp;B2406="","",VLOOKUP(A2406&amp;B2406,INSUMOS!C:G,2,0))</f>
        <v>Pasta lubrificante para uso em tubos de PVC com anel de borracha (pote de 400G)</v>
      </c>
      <c r="D2406" s="519"/>
      <c r="E2406" s="117" t="str">
        <f>IF(A2406&amp;B2406="","",VLOOKUP(A2406&amp;B2406,INSUMOS!C:G,3,0))</f>
        <v>un</v>
      </c>
      <c r="F2406" s="118">
        <v>0.06</v>
      </c>
      <c r="G2406" s="113">
        <f>IF(A2406&amp;B2406="","",VLOOKUP(A2406&amp;B2406,INSUMOS!C:G,4,0))</f>
        <v>13.33</v>
      </c>
      <c r="H2406" s="119" t="str">
        <f t="shared" si="408"/>
        <v/>
      </c>
      <c r="I2406" s="119">
        <f t="shared" si="409"/>
        <v>0.79</v>
      </c>
      <c r="J2406" s="115" t="str">
        <f t="shared" si="410"/>
        <v/>
      </c>
      <c r="K2406" s="102" t="str">
        <f>IF(A2406&amp;B2406="","",VLOOKUP(A2406&amp;B2406,INSUMOS!C:G,5,0))</f>
        <v>MT</v>
      </c>
    </row>
    <row r="2407" spans="1:11" ht="15" x14ac:dyDescent="0.25">
      <c r="A2407" s="109"/>
      <c r="B2407" s="116"/>
      <c r="C2407" s="518" t="str">
        <f>IF(A2407&amp;B2407="","",VLOOKUP(A2407&amp;B2407,INSUMOS!C:G,2,0))</f>
        <v/>
      </c>
      <c r="D2407" s="519"/>
      <c r="E2407" s="117" t="str">
        <f>IF(A2407&amp;B2407="","",VLOOKUP(A2407&amp;B2407,INSUMOS!C:G,3,0))</f>
        <v/>
      </c>
      <c r="F2407" s="118"/>
      <c r="G2407" s="113" t="str">
        <f>IF(A2407&amp;B2407="","",VLOOKUP(A2407&amp;B2407,INSUMOS!C:G,4,0))</f>
        <v/>
      </c>
      <c r="H2407" s="119" t="str">
        <f t="shared" si="408"/>
        <v/>
      </c>
      <c r="I2407" s="119" t="str">
        <f t="shared" si="409"/>
        <v/>
      </c>
      <c r="J2407" s="115" t="str">
        <f t="shared" si="410"/>
        <v/>
      </c>
      <c r="K2407" s="102" t="str">
        <f>IF(A2407&amp;B2407="","",VLOOKUP(A2407&amp;B2407,INSUMOS!C:G,5,0))</f>
        <v/>
      </c>
    </row>
    <row r="2408" spans="1:11" ht="15" x14ac:dyDescent="0.25">
      <c r="A2408" s="109"/>
      <c r="B2408" s="116"/>
      <c r="C2408" s="518" t="str">
        <f>IF(A2408&amp;B2408="","",VLOOKUP(A2408&amp;B2408,INSUMOS!C:G,2,0))</f>
        <v/>
      </c>
      <c r="D2408" s="519"/>
      <c r="E2408" s="117" t="str">
        <f>IF(A2408&amp;B2408="","",VLOOKUP(A2408&amp;B2408,INSUMOS!C:G,3,0))</f>
        <v/>
      </c>
      <c r="F2408" s="118"/>
      <c r="G2408" s="113" t="str">
        <f>IF(A2408&amp;B2408="","",VLOOKUP(A2408&amp;B2408,INSUMOS!C:G,4,0))</f>
        <v/>
      </c>
      <c r="H2408" s="119" t="str">
        <f t="shared" si="408"/>
        <v/>
      </c>
      <c r="I2408" s="119" t="str">
        <f t="shared" si="409"/>
        <v/>
      </c>
      <c r="J2408" s="115" t="str">
        <f t="shared" si="410"/>
        <v/>
      </c>
      <c r="K2408" s="102" t="str">
        <f>IF(A2408&amp;B2408="","",VLOOKUP(A2408&amp;B2408,INSUMOS!C:G,5,0))</f>
        <v/>
      </c>
    </row>
    <row r="2409" spans="1:11" ht="15" x14ac:dyDescent="0.25">
      <c r="A2409" s="109"/>
      <c r="B2409" s="116"/>
      <c r="C2409" s="518" t="str">
        <f>IF(A2409&amp;B2409="","",VLOOKUP(A2409&amp;B2409,INSUMOS!C:G,2,0))</f>
        <v/>
      </c>
      <c r="D2409" s="519"/>
      <c r="E2409" s="117" t="str">
        <f>IF(A2409&amp;B2409="","",VLOOKUP(A2409&amp;B2409,INSUMOS!C:G,3,0))</f>
        <v/>
      </c>
      <c r="F2409" s="118"/>
      <c r="G2409" s="113" t="str">
        <f>IF(A2409&amp;B2409="","",VLOOKUP(A2409&amp;B2409,INSUMOS!C:G,4,0))</f>
        <v/>
      </c>
      <c r="H2409" s="119" t="str">
        <f t="shared" si="408"/>
        <v/>
      </c>
      <c r="I2409" s="119" t="str">
        <f t="shared" si="409"/>
        <v/>
      </c>
      <c r="J2409" s="115" t="str">
        <f t="shared" si="410"/>
        <v/>
      </c>
      <c r="K2409" s="102" t="str">
        <f>IF(A2409&amp;B2409="","",VLOOKUP(A2409&amp;B2409,INSUMOS!C:G,5,0))</f>
        <v/>
      </c>
    </row>
    <row r="2410" spans="1:11" ht="15" x14ac:dyDescent="0.25">
      <c r="A2410" s="109"/>
      <c r="B2410" s="116"/>
      <c r="C2410" s="518" t="str">
        <f>IF(A2410&amp;B2410="","",VLOOKUP(A2410&amp;B2410,INSUMOS!C:G,2,0))</f>
        <v/>
      </c>
      <c r="D2410" s="519"/>
      <c r="E2410" s="117" t="str">
        <f>IF(A2410&amp;B2410="","",VLOOKUP(A2410&amp;B2410,INSUMOS!C:G,3,0))</f>
        <v/>
      </c>
      <c r="F2410" s="118"/>
      <c r="G2410" s="113" t="str">
        <f>IF(A2410&amp;B2410="","",VLOOKUP(A2410&amp;B2410,INSUMOS!C:G,4,0))</f>
        <v/>
      </c>
      <c r="H2410" s="119" t="str">
        <f t="shared" si="408"/>
        <v/>
      </c>
      <c r="I2410" s="119" t="str">
        <f t="shared" si="409"/>
        <v/>
      </c>
      <c r="J2410" s="115" t="str">
        <f t="shared" si="410"/>
        <v/>
      </c>
      <c r="K2410" s="102" t="str">
        <f>IF(A2410&amp;B2410="","",VLOOKUP(A2410&amp;B2410,INSUMOS!C:G,5,0))</f>
        <v/>
      </c>
    </row>
    <row r="2411" spans="1:11" ht="15" x14ac:dyDescent="0.25">
      <c r="A2411" s="120"/>
      <c r="B2411" s="121"/>
      <c r="C2411" s="518" t="str">
        <f>IF(A2411&amp;B2411="","",VLOOKUP(A2411&amp;B2411,INSUMOS!C:G,2,0))</f>
        <v/>
      </c>
      <c r="D2411" s="519"/>
      <c r="E2411" s="117" t="str">
        <f>IF(A2411&amp;B2411="","",VLOOKUP(A2411&amp;B2411,INSUMOS!C:G,3,0))</f>
        <v/>
      </c>
      <c r="F2411" s="118"/>
      <c r="G2411" s="122" t="str">
        <f>IF(A2411&amp;B2411="","",VLOOKUP(A2411&amp;B2411,INSUMOS!C:G,4,0))</f>
        <v/>
      </c>
      <c r="H2411" s="119" t="str">
        <f t="shared" si="408"/>
        <v/>
      </c>
      <c r="I2411" s="119" t="str">
        <f t="shared" si="409"/>
        <v/>
      </c>
      <c r="J2411" s="115" t="str">
        <f t="shared" si="410"/>
        <v/>
      </c>
      <c r="K2411" s="102" t="str">
        <f>IF(A2411&amp;B2411="","",VLOOKUP(A2411&amp;B2411,INSUMOS!C:G,5,0))</f>
        <v/>
      </c>
    </row>
    <row r="2412" spans="1:11" ht="15" x14ac:dyDescent="0.25">
      <c r="A2412" s="120"/>
      <c r="B2412" s="121"/>
      <c r="C2412" s="518" t="str">
        <f>IF(A2412&amp;B2412="","",VLOOKUP(A2412&amp;B2412,INSUMOS!C:G,2,0))</f>
        <v/>
      </c>
      <c r="D2412" s="519"/>
      <c r="E2412" s="117" t="str">
        <f>IF(A2412&amp;B2412="","",VLOOKUP(A2412&amp;B2412,INSUMOS!C:G,3,0))</f>
        <v/>
      </c>
      <c r="F2412" s="118"/>
      <c r="G2412" s="122" t="str">
        <f>IF(A2412&amp;B2412="","",VLOOKUP(A2412&amp;B2412,INSUMOS!C:G,4,0))</f>
        <v/>
      </c>
      <c r="H2412" s="119" t="str">
        <f t="shared" si="408"/>
        <v/>
      </c>
      <c r="I2412" s="119" t="str">
        <f t="shared" si="409"/>
        <v/>
      </c>
      <c r="J2412" s="115" t="str">
        <f t="shared" si="410"/>
        <v/>
      </c>
      <c r="K2412" s="102" t="str">
        <f>IF(A2412&amp;B2412="","",VLOOKUP(A2412&amp;B2412,INSUMOS!C:G,5,0))</f>
        <v/>
      </c>
    </row>
    <row r="2413" spans="1:11" ht="15" x14ac:dyDescent="0.25">
      <c r="A2413" s="120"/>
      <c r="B2413" s="121"/>
      <c r="C2413" s="518" t="str">
        <f>IF(A2413&amp;B2413="","",VLOOKUP(A2413&amp;B2413,INSUMOS!C:G,2,0))</f>
        <v/>
      </c>
      <c r="D2413" s="519"/>
      <c r="E2413" s="117" t="str">
        <f>IF(A2413&amp;B2413="","",VLOOKUP(A2413&amp;B2413,INSUMOS!C:G,3,0))</f>
        <v/>
      </c>
      <c r="F2413" s="118"/>
      <c r="G2413" s="122" t="str">
        <f>IF(A2413&amp;B2413="","",VLOOKUP(A2413&amp;B2413,INSUMOS!C:G,4,0))</f>
        <v/>
      </c>
      <c r="H2413" s="119" t="str">
        <f t="shared" si="408"/>
        <v/>
      </c>
      <c r="I2413" s="119" t="str">
        <f t="shared" si="409"/>
        <v/>
      </c>
      <c r="J2413" s="115" t="str">
        <f t="shared" si="410"/>
        <v/>
      </c>
      <c r="K2413" s="102" t="str">
        <f>IF(A2413&amp;B2413="","",VLOOKUP(A2413&amp;B2413,INSUMOS!C:G,5,0))</f>
        <v/>
      </c>
    </row>
    <row r="2414" spans="1:11" ht="15" x14ac:dyDescent="0.25">
      <c r="A2414" s="123" t="s">
        <v>4399</v>
      </c>
      <c r="B2414" s="542" t="s">
        <v>5321</v>
      </c>
      <c r="C2414" s="542"/>
      <c r="D2414" s="542"/>
      <c r="E2414" s="542"/>
      <c r="F2414" s="543"/>
      <c r="G2414" s="124" t="s">
        <v>50</v>
      </c>
      <c r="H2414" s="125">
        <f>SUM(H2401:H2413)</f>
        <v>2.2200000000000002</v>
      </c>
      <c r="I2414" s="125">
        <f>SUM(I2401:I2413)</f>
        <v>10.039999999999999</v>
      </c>
      <c r="J2414" s="126">
        <f>SUM(J2401:J2413)</f>
        <v>0</v>
      </c>
    </row>
    <row r="2415" spans="1:11" ht="15" x14ac:dyDescent="0.25">
      <c r="A2415" s="127" t="s">
        <v>4400</v>
      </c>
      <c r="B2415" s="128"/>
      <c r="C2415" s="128"/>
      <c r="D2415" s="127" t="s">
        <v>51</v>
      </c>
      <c r="E2415" s="128"/>
      <c r="F2415" s="129"/>
      <c r="G2415" s="130" t="s">
        <v>55</v>
      </c>
      <c r="H2415" s="131" t="s">
        <v>52</v>
      </c>
      <c r="I2415" s="132"/>
      <c r="J2415" s="125">
        <f>SUM(H2414:J2414)</f>
        <v>12.26</v>
      </c>
    </row>
    <row r="2416" spans="1:11" ht="15" x14ac:dyDescent="0.25">
      <c r="A2416" s="313" t="str">
        <f>$I$3</f>
        <v>Carlos Wieck</v>
      </c>
      <c r="B2416" s="133"/>
      <c r="C2416" s="133"/>
      <c r="D2416" s="134"/>
      <c r="E2416" s="133"/>
      <c r="F2416" s="135"/>
      <c r="G2416" s="522">
        <f>$J$5</f>
        <v>43040</v>
      </c>
      <c r="H2416" s="136" t="s">
        <v>53</v>
      </c>
      <c r="I2416" s="137"/>
      <c r="J2416" s="125">
        <f>TRUNC(I2416*J2415,2)</f>
        <v>0</v>
      </c>
    </row>
    <row r="2417" spans="1:17" ht="15" x14ac:dyDescent="0.25">
      <c r="A2417" s="314"/>
      <c r="B2417" s="139"/>
      <c r="C2417" s="139"/>
      <c r="D2417" s="138"/>
      <c r="E2417" s="139"/>
      <c r="F2417" s="140"/>
      <c r="G2417" s="523"/>
      <c r="H2417" s="141" t="s">
        <v>54</v>
      </c>
      <c r="I2417" s="142"/>
      <c r="J2417" s="143">
        <f>J2416+J2415</f>
        <v>12.26</v>
      </c>
      <c r="L2417" s="102" t="str">
        <f>A2398</f>
        <v>COMPOSIÇÃO</v>
      </c>
      <c r="M2417" s="144" t="str">
        <f>B2398</f>
        <v>FF-102</v>
      </c>
      <c r="N2417" s="102" t="str">
        <f>L2417&amp;M2417</f>
        <v>COMPOSIÇÃOFF-102</v>
      </c>
      <c r="O2417" s="103" t="str">
        <f>D2397</f>
        <v>Junção invertida de PVC série R diam. 75x50mm, fornecimento e instalação</v>
      </c>
      <c r="P2417" s="145" t="str">
        <f>J2398</f>
        <v>un</v>
      </c>
      <c r="Q2417" s="145">
        <f>J2417</f>
        <v>12.26</v>
      </c>
    </row>
    <row r="2418" spans="1:17" ht="15" customHeight="1" x14ac:dyDescent="0.25">
      <c r="A2418" s="524" t="s">
        <v>40</v>
      </c>
      <c r="B2418" s="525"/>
      <c r="C2418" s="104" t="s">
        <v>41</v>
      </c>
      <c r="D2418" s="526" t="str">
        <f>IF(B2419="","",VLOOKUP(B2419,SERVIÇOS!B:E,3,0))</f>
        <v>Tê de PVC série R diam. 50mm, fornecimento e instalação</v>
      </c>
      <c r="E2418" s="526"/>
      <c r="F2418" s="526"/>
      <c r="G2418" s="526"/>
      <c r="H2418" s="526"/>
      <c r="I2418" s="527"/>
      <c r="J2418" s="105" t="s">
        <v>42</v>
      </c>
    </row>
    <row r="2419" spans="1:17" ht="15" x14ac:dyDescent="0.25">
      <c r="A2419" s="230" t="s">
        <v>4715</v>
      </c>
      <c r="B2419" s="230" t="s">
        <v>5271</v>
      </c>
      <c r="C2419" s="106"/>
      <c r="D2419" s="528"/>
      <c r="E2419" s="528"/>
      <c r="F2419" s="528"/>
      <c r="G2419" s="528"/>
      <c r="H2419" s="528"/>
      <c r="I2419" s="529"/>
      <c r="J2419" s="107" t="str">
        <f>IF(B2419="","",VLOOKUP(B2419,SERVIÇOS!B:E,4,0))</f>
        <v>un</v>
      </c>
    </row>
    <row r="2420" spans="1:17" ht="15" x14ac:dyDescent="0.25">
      <c r="A2420" s="530" t="s">
        <v>4397</v>
      </c>
      <c r="B2420" s="531" t="s">
        <v>11</v>
      </c>
      <c r="C2420" s="533" t="s">
        <v>43</v>
      </c>
      <c r="D2420" s="534"/>
      <c r="E2420" s="530" t="s">
        <v>13</v>
      </c>
      <c r="F2420" s="530" t="s">
        <v>44</v>
      </c>
      <c r="G2420" s="538" t="s">
        <v>45</v>
      </c>
      <c r="H2420" s="108" t="s">
        <v>46</v>
      </c>
      <c r="I2420" s="108"/>
      <c r="J2420" s="108"/>
    </row>
    <row r="2421" spans="1:17" ht="15" x14ac:dyDescent="0.25">
      <c r="A2421" s="530"/>
      <c r="B2421" s="532"/>
      <c r="C2421" s="535"/>
      <c r="D2421" s="536"/>
      <c r="E2421" s="537"/>
      <c r="F2421" s="537"/>
      <c r="G2421" s="539"/>
      <c r="H2421" s="108" t="s">
        <v>47</v>
      </c>
      <c r="I2421" s="108" t="s">
        <v>48</v>
      </c>
      <c r="J2421" s="108" t="s">
        <v>49</v>
      </c>
    </row>
    <row r="2422" spans="1:17" ht="15" x14ac:dyDescent="0.25">
      <c r="A2422" s="109" t="s">
        <v>4398</v>
      </c>
      <c r="B2422" s="110">
        <v>10119</v>
      </c>
      <c r="C2422" s="540" t="str">
        <f>IF(A2422&amp;B2422="","",VLOOKUP(A2422&amp;B2422,INSUMOS!C:G,2,0))</f>
        <v>Ajudante de encanador</v>
      </c>
      <c r="D2422" s="541"/>
      <c r="E2422" s="111" t="str">
        <f>IF(A2422&amp;B2422="","",VLOOKUP(A2422&amp;B2422,INSUMOS!C:G,3,0))</f>
        <v>h</v>
      </c>
      <c r="F2422" s="112">
        <v>0.08</v>
      </c>
      <c r="G2422" s="113">
        <f>IF(A2422&amp;B2422="","",VLOOKUP(A2422&amp;B2422,INSUMOS!C:G,4,0))</f>
        <v>10.985028</v>
      </c>
      <c r="H2422" s="114">
        <f>IF(K2422="MO",TRUNC(F2422*G2422,2),"")</f>
        <v>0.87</v>
      </c>
      <c r="I2422" s="114" t="str">
        <f>IF(K2422="MT",TRUNC(F2422*G2422,2),"")</f>
        <v/>
      </c>
      <c r="J2422" s="115" t="str">
        <f>IF(K2422="EQ",TRUNC(F2422*G2422,2),"")</f>
        <v/>
      </c>
      <c r="K2422" s="102" t="str">
        <f>IF(A2422&amp;B2422="","",VLOOKUP(A2422&amp;B2422,INSUMOS!C:G,5,0))</f>
        <v>MO</v>
      </c>
    </row>
    <row r="2423" spans="1:17" ht="15" x14ac:dyDescent="0.25">
      <c r="A2423" s="109" t="s">
        <v>4398</v>
      </c>
      <c r="B2423" s="116">
        <v>10118</v>
      </c>
      <c r="C2423" s="518" t="str">
        <f>IF(A2423&amp;B2423="","",VLOOKUP(A2423&amp;B2423,INSUMOS!C:G,2,0))</f>
        <v xml:space="preserve">Encanador </v>
      </c>
      <c r="D2423" s="519"/>
      <c r="E2423" s="117" t="str">
        <f>IF(A2423&amp;B2423="","",VLOOKUP(A2423&amp;B2423,INSUMOS!C:G,3,0))</f>
        <v>h</v>
      </c>
      <c r="F2423" s="118">
        <v>0.08</v>
      </c>
      <c r="G2423" s="113">
        <f>IF(A2423&amp;B2423="","",VLOOKUP(A2423&amp;B2423,INSUMOS!C:G,4,0))</f>
        <v>16.906036</v>
      </c>
      <c r="H2423" s="119">
        <f t="shared" ref="H2423:H2434" si="411">IF(K2423="MO",TRUNC(F2423*G2423,2),"")</f>
        <v>1.35</v>
      </c>
      <c r="I2423" s="119" t="str">
        <f t="shared" ref="I2423:I2434" si="412">IF(K2423="MT",TRUNC(F2423*G2423,2),"")</f>
        <v/>
      </c>
      <c r="J2423" s="115" t="str">
        <f t="shared" ref="J2423:J2434" si="413">IF(K2423="EQ",TRUNC(F2423*G2423,2),"")</f>
        <v/>
      </c>
      <c r="K2423" s="102" t="str">
        <f>IF(A2423&amp;B2423="","",VLOOKUP(A2423&amp;B2423,INSUMOS!C:G,5,0))</f>
        <v>MO</v>
      </c>
    </row>
    <row r="2424" spans="1:17" ht="15" x14ac:dyDescent="0.25">
      <c r="A2424" s="109" t="s">
        <v>4810</v>
      </c>
      <c r="B2424" s="116">
        <v>296</v>
      </c>
      <c r="C2424" s="518" t="str">
        <f>IF(A2424&amp;B2424="","",VLOOKUP(A2424&amp;B2424,INSUMOS!C:G,2,0))</f>
        <v>Anel de borracha para tubo de esgoto predial, DN 50 mm (NBR 5688)</v>
      </c>
      <c r="D2424" s="519"/>
      <c r="E2424" s="117" t="str">
        <f>IF(A2424&amp;B2424="","",VLOOKUP(A2424&amp;B2424,INSUMOS!C:G,3,0))</f>
        <v>un</v>
      </c>
      <c r="F2424" s="118">
        <v>2</v>
      </c>
      <c r="G2424" s="113">
        <f>IF(A2424&amp;B2424="","",VLOOKUP(A2424&amp;B2424,INSUMOS!C:G,4,0))</f>
        <v>0.83</v>
      </c>
      <c r="H2424" s="119" t="str">
        <f t="shared" si="411"/>
        <v/>
      </c>
      <c r="I2424" s="119">
        <f t="shared" si="412"/>
        <v>1.66</v>
      </c>
      <c r="J2424" s="115" t="str">
        <f t="shared" si="413"/>
        <v/>
      </c>
      <c r="K2424" s="102" t="str">
        <f>IF(A2424&amp;B2424="","",VLOOKUP(A2424&amp;B2424,INSUMOS!C:G,5,0))</f>
        <v>MT</v>
      </c>
    </row>
    <row r="2425" spans="1:17" ht="15" x14ac:dyDescent="0.25">
      <c r="A2425" s="109" t="s">
        <v>4810</v>
      </c>
      <c r="B2425" s="116">
        <v>20078</v>
      </c>
      <c r="C2425" s="518" t="str">
        <f>IF(A2425&amp;B2425="","",VLOOKUP(A2425&amp;B2425,INSUMOS!C:G,2,0))</f>
        <v>Pasta lubrificante para uso em tubos de PVC com anel de borracha (pote de 400G)</v>
      </c>
      <c r="D2425" s="519"/>
      <c r="E2425" s="117" t="str">
        <f>IF(A2425&amp;B2425="","",VLOOKUP(A2425&amp;B2425,INSUMOS!C:G,3,0))</f>
        <v>un</v>
      </c>
      <c r="F2425" s="118">
        <v>0.06</v>
      </c>
      <c r="G2425" s="113">
        <f>IF(A2425&amp;B2425="","",VLOOKUP(A2425&amp;B2425,INSUMOS!C:G,4,0))</f>
        <v>13.33</v>
      </c>
      <c r="H2425" s="119" t="str">
        <f t="shared" si="411"/>
        <v/>
      </c>
      <c r="I2425" s="119">
        <f t="shared" si="412"/>
        <v>0.79</v>
      </c>
      <c r="J2425" s="115" t="str">
        <f t="shared" si="413"/>
        <v/>
      </c>
      <c r="K2425" s="102" t="str">
        <f>IF(A2425&amp;B2425="","",VLOOKUP(A2425&amp;B2425,INSUMOS!C:G,5,0))</f>
        <v>MT</v>
      </c>
    </row>
    <row r="2426" spans="1:17" ht="15" x14ac:dyDescent="0.25">
      <c r="A2426" s="109" t="s">
        <v>4810</v>
      </c>
      <c r="B2426" s="116">
        <v>20177</v>
      </c>
      <c r="C2426" s="518" t="str">
        <f>IF(A2426&amp;B2426="","",VLOOKUP(A2426&amp;B2426,INSUMOS!C:G,2,0))</f>
        <v>Te PVC série R p/ esg predial 75x75mm</v>
      </c>
      <c r="D2426" s="519"/>
      <c r="E2426" s="117" t="str">
        <f>IF(A2426&amp;B2426="","",VLOOKUP(A2426&amp;B2426,INSUMOS!C:G,3,0))</f>
        <v>un</v>
      </c>
      <c r="F2426" s="118">
        <v>1</v>
      </c>
      <c r="G2426" s="113">
        <f>IF(A2426&amp;B2426="","",VLOOKUP(A2426&amp;B2426,INSUMOS!C:G,4,0))</f>
        <v>21.49</v>
      </c>
      <c r="H2426" s="119" t="str">
        <f t="shared" si="411"/>
        <v/>
      </c>
      <c r="I2426" s="119">
        <f t="shared" si="412"/>
        <v>21.49</v>
      </c>
      <c r="J2426" s="115" t="str">
        <f t="shared" si="413"/>
        <v/>
      </c>
      <c r="K2426" s="102" t="str">
        <f>IF(A2426&amp;B2426="","",VLOOKUP(A2426&amp;B2426,INSUMOS!C:G,5,0))</f>
        <v>MT</v>
      </c>
    </row>
    <row r="2427" spans="1:17" ht="15" x14ac:dyDescent="0.25">
      <c r="A2427" s="109"/>
      <c r="B2427" s="116"/>
      <c r="C2427" s="518" t="str">
        <f>IF(A2427&amp;B2427="","",VLOOKUP(A2427&amp;B2427,INSUMOS!C:G,2,0))</f>
        <v/>
      </c>
      <c r="D2427" s="519"/>
      <c r="E2427" s="117" t="str">
        <f>IF(A2427&amp;B2427="","",VLOOKUP(A2427&amp;B2427,INSUMOS!C:G,3,0))</f>
        <v/>
      </c>
      <c r="F2427" s="118"/>
      <c r="G2427" s="113" t="str">
        <f>IF(A2427&amp;B2427="","",VLOOKUP(A2427&amp;B2427,INSUMOS!C:G,4,0))</f>
        <v/>
      </c>
      <c r="H2427" s="119" t="str">
        <f t="shared" si="411"/>
        <v/>
      </c>
      <c r="I2427" s="119" t="str">
        <f t="shared" si="412"/>
        <v/>
      </c>
      <c r="J2427" s="115" t="str">
        <f t="shared" si="413"/>
        <v/>
      </c>
      <c r="K2427" s="102" t="str">
        <f>IF(A2427&amp;B2427="","",VLOOKUP(A2427&amp;B2427,INSUMOS!C:G,5,0))</f>
        <v/>
      </c>
    </row>
    <row r="2428" spans="1:17" ht="15" x14ac:dyDescent="0.25">
      <c r="A2428" s="109"/>
      <c r="B2428" s="116"/>
      <c r="C2428" s="518" t="str">
        <f>IF(A2428&amp;B2428="","",VLOOKUP(A2428&amp;B2428,INSUMOS!C:G,2,0))</f>
        <v/>
      </c>
      <c r="D2428" s="519"/>
      <c r="E2428" s="117" t="str">
        <f>IF(A2428&amp;B2428="","",VLOOKUP(A2428&amp;B2428,INSUMOS!C:G,3,0))</f>
        <v/>
      </c>
      <c r="F2428" s="118"/>
      <c r="G2428" s="113" t="str">
        <f>IF(A2428&amp;B2428="","",VLOOKUP(A2428&amp;B2428,INSUMOS!C:G,4,0))</f>
        <v/>
      </c>
      <c r="H2428" s="119" t="str">
        <f t="shared" si="411"/>
        <v/>
      </c>
      <c r="I2428" s="119" t="str">
        <f t="shared" si="412"/>
        <v/>
      </c>
      <c r="J2428" s="115" t="str">
        <f t="shared" si="413"/>
        <v/>
      </c>
      <c r="K2428" s="102" t="str">
        <f>IF(A2428&amp;B2428="","",VLOOKUP(A2428&amp;B2428,INSUMOS!C:G,5,0))</f>
        <v/>
      </c>
    </row>
    <row r="2429" spans="1:17" ht="15" x14ac:dyDescent="0.25">
      <c r="A2429" s="109"/>
      <c r="B2429" s="116"/>
      <c r="C2429" s="518" t="str">
        <f>IF(A2429&amp;B2429="","",VLOOKUP(A2429&amp;B2429,INSUMOS!C:G,2,0))</f>
        <v/>
      </c>
      <c r="D2429" s="519"/>
      <c r="E2429" s="117" t="str">
        <f>IF(A2429&amp;B2429="","",VLOOKUP(A2429&amp;B2429,INSUMOS!C:G,3,0))</f>
        <v/>
      </c>
      <c r="F2429" s="118"/>
      <c r="G2429" s="113" t="str">
        <f>IF(A2429&amp;B2429="","",VLOOKUP(A2429&amp;B2429,INSUMOS!C:G,4,0))</f>
        <v/>
      </c>
      <c r="H2429" s="119" t="str">
        <f t="shared" si="411"/>
        <v/>
      </c>
      <c r="I2429" s="119" t="str">
        <f t="shared" si="412"/>
        <v/>
      </c>
      <c r="J2429" s="115" t="str">
        <f t="shared" si="413"/>
        <v/>
      </c>
      <c r="K2429" s="102" t="str">
        <f>IF(A2429&amp;B2429="","",VLOOKUP(A2429&amp;B2429,INSUMOS!C:G,5,0))</f>
        <v/>
      </c>
    </row>
    <row r="2430" spans="1:17" ht="15" x14ac:dyDescent="0.25">
      <c r="A2430" s="109"/>
      <c r="B2430" s="116"/>
      <c r="C2430" s="518" t="str">
        <f>IF(A2430&amp;B2430="","",VLOOKUP(A2430&amp;B2430,INSUMOS!C:G,2,0))</f>
        <v/>
      </c>
      <c r="D2430" s="519"/>
      <c r="E2430" s="117" t="str">
        <f>IF(A2430&amp;B2430="","",VLOOKUP(A2430&amp;B2430,INSUMOS!C:G,3,0))</f>
        <v/>
      </c>
      <c r="F2430" s="118"/>
      <c r="G2430" s="113" t="str">
        <f>IF(A2430&amp;B2430="","",VLOOKUP(A2430&amp;B2430,INSUMOS!C:G,4,0))</f>
        <v/>
      </c>
      <c r="H2430" s="119" t="str">
        <f t="shared" si="411"/>
        <v/>
      </c>
      <c r="I2430" s="119" t="str">
        <f t="shared" si="412"/>
        <v/>
      </c>
      <c r="J2430" s="115" t="str">
        <f t="shared" si="413"/>
        <v/>
      </c>
      <c r="K2430" s="102" t="str">
        <f>IF(A2430&amp;B2430="","",VLOOKUP(A2430&amp;B2430,INSUMOS!C:G,5,0))</f>
        <v/>
      </c>
    </row>
    <row r="2431" spans="1:17" ht="15" x14ac:dyDescent="0.25">
      <c r="A2431" s="109"/>
      <c r="B2431" s="116"/>
      <c r="C2431" s="518" t="str">
        <f>IF(A2431&amp;B2431="","",VLOOKUP(A2431&amp;B2431,INSUMOS!C:G,2,0))</f>
        <v/>
      </c>
      <c r="D2431" s="519"/>
      <c r="E2431" s="117" t="str">
        <f>IF(A2431&amp;B2431="","",VLOOKUP(A2431&amp;B2431,INSUMOS!C:G,3,0))</f>
        <v/>
      </c>
      <c r="F2431" s="118"/>
      <c r="G2431" s="113" t="str">
        <f>IF(A2431&amp;B2431="","",VLOOKUP(A2431&amp;B2431,INSUMOS!C:G,4,0))</f>
        <v/>
      </c>
      <c r="H2431" s="119" t="str">
        <f t="shared" si="411"/>
        <v/>
      </c>
      <c r="I2431" s="119" t="str">
        <f t="shared" si="412"/>
        <v/>
      </c>
      <c r="J2431" s="115" t="str">
        <f t="shared" si="413"/>
        <v/>
      </c>
      <c r="K2431" s="102" t="str">
        <f>IF(A2431&amp;B2431="","",VLOOKUP(A2431&amp;B2431,INSUMOS!C:G,5,0))</f>
        <v/>
      </c>
    </row>
    <row r="2432" spans="1:17" ht="15" x14ac:dyDescent="0.25">
      <c r="A2432" s="120"/>
      <c r="B2432" s="121"/>
      <c r="C2432" s="518" t="str">
        <f>IF(A2432&amp;B2432="","",VLOOKUP(A2432&amp;B2432,INSUMOS!C:G,2,0))</f>
        <v/>
      </c>
      <c r="D2432" s="519"/>
      <c r="E2432" s="117" t="str">
        <f>IF(A2432&amp;B2432="","",VLOOKUP(A2432&amp;B2432,INSUMOS!C:G,3,0))</f>
        <v/>
      </c>
      <c r="F2432" s="118"/>
      <c r="G2432" s="122" t="str">
        <f>IF(A2432&amp;B2432="","",VLOOKUP(A2432&amp;B2432,INSUMOS!C:G,4,0))</f>
        <v/>
      </c>
      <c r="H2432" s="119" t="str">
        <f t="shared" si="411"/>
        <v/>
      </c>
      <c r="I2432" s="119" t="str">
        <f t="shared" si="412"/>
        <v/>
      </c>
      <c r="J2432" s="115" t="str">
        <f t="shared" si="413"/>
        <v/>
      </c>
      <c r="K2432" s="102" t="str">
        <f>IF(A2432&amp;B2432="","",VLOOKUP(A2432&amp;B2432,INSUMOS!C:G,5,0))</f>
        <v/>
      </c>
    </row>
    <row r="2433" spans="1:17" ht="15" x14ac:dyDescent="0.25">
      <c r="A2433" s="120"/>
      <c r="B2433" s="121"/>
      <c r="C2433" s="518" t="str">
        <f>IF(A2433&amp;B2433="","",VLOOKUP(A2433&amp;B2433,INSUMOS!C:G,2,0))</f>
        <v/>
      </c>
      <c r="D2433" s="519"/>
      <c r="E2433" s="117" t="str">
        <f>IF(A2433&amp;B2433="","",VLOOKUP(A2433&amp;B2433,INSUMOS!C:G,3,0))</f>
        <v/>
      </c>
      <c r="F2433" s="118"/>
      <c r="G2433" s="122" t="str">
        <f>IF(A2433&amp;B2433="","",VLOOKUP(A2433&amp;B2433,INSUMOS!C:G,4,0))</f>
        <v/>
      </c>
      <c r="H2433" s="119" t="str">
        <f t="shared" si="411"/>
        <v/>
      </c>
      <c r="I2433" s="119" t="str">
        <f t="shared" si="412"/>
        <v/>
      </c>
      <c r="J2433" s="115" t="str">
        <f t="shared" si="413"/>
        <v/>
      </c>
      <c r="K2433" s="102" t="str">
        <f>IF(A2433&amp;B2433="","",VLOOKUP(A2433&amp;B2433,INSUMOS!C:G,5,0))</f>
        <v/>
      </c>
    </row>
    <row r="2434" spans="1:17" ht="15" x14ac:dyDescent="0.25">
      <c r="A2434" s="120"/>
      <c r="B2434" s="121"/>
      <c r="C2434" s="518" t="str">
        <f>IF(A2434&amp;B2434="","",VLOOKUP(A2434&amp;B2434,INSUMOS!C:G,2,0))</f>
        <v/>
      </c>
      <c r="D2434" s="519"/>
      <c r="E2434" s="117" t="str">
        <f>IF(A2434&amp;B2434="","",VLOOKUP(A2434&amp;B2434,INSUMOS!C:G,3,0))</f>
        <v/>
      </c>
      <c r="F2434" s="118"/>
      <c r="G2434" s="122" t="str">
        <f>IF(A2434&amp;B2434="","",VLOOKUP(A2434&amp;B2434,INSUMOS!C:G,4,0))</f>
        <v/>
      </c>
      <c r="H2434" s="119" t="str">
        <f t="shared" si="411"/>
        <v/>
      </c>
      <c r="I2434" s="119" t="str">
        <f t="shared" si="412"/>
        <v/>
      </c>
      <c r="J2434" s="115" t="str">
        <f t="shared" si="413"/>
        <v/>
      </c>
      <c r="K2434" s="102" t="str">
        <f>IF(A2434&amp;B2434="","",VLOOKUP(A2434&amp;B2434,INSUMOS!C:G,5,0))</f>
        <v/>
      </c>
    </row>
    <row r="2435" spans="1:17" ht="15" x14ac:dyDescent="0.25">
      <c r="A2435" s="123" t="s">
        <v>4399</v>
      </c>
      <c r="B2435" s="542" t="s">
        <v>5324</v>
      </c>
      <c r="C2435" s="542"/>
      <c r="D2435" s="542"/>
      <c r="E2435" s="542"/>
      <c r="F2435" s="543"/>
      <c r="G2435" s="124" t="s">
        <v>50</v>
      </c>
      <c r="H2435" s="125">
        <f>SUM(H2422:H2434)</f>
        <v>2.2200000000000002</v>
      </c>
      <c r="I2435" s="125">
        <f>SUM(I2422:I2434)</f>
        <v>23.939999999999998</v>
      </c>
      <c r="J2435" s="126">
        <f>SUM(J2422:J2434)</f>
        <v>0</v>
      </c>
    </row>
    <row r="2436" spans="1:17" ht="15" x14ac:dyDescent="0.25">
      <c r="A2436" s="127" t="s">
        <v>4400</v>
      </c>
      <c r="B2436" s="128"/>
      <c r="C2436" s="128"/>
      <c r="D2436" s="127" t="s">
        <v>51</v>
      </c>
      <c r="E2436" s="128"/>
      <c r="F2436" s="129"/>
      <c r="G2436" s="130" t="s">
        <v>55</v>
      </c>
      <c r="H2436" s="131" t="s">
        <v>52</v>
      </c>
      <c r="I2436" s="132"/>
      <c r="J2436" s="125">
        <f>SUM(H2435:J2435)</f>
        <v>26.159999999999997</v>
      </c>
    </row>
    <row r="2437" spans="1:17" ht="15" x14ac:dyDescent="0.25">
      <c r="A2437" s="313" t="str">
        <f>$I$3</f>
        <v>Carlos Wieck</v>
      </c>
      <c r="B2437" s="133"/>
      <c r="C2437" s="133"/>
      <c r="D2437" s="134"/>
      <c r="E2437" s="133"/>
      <c r="F2437" s="135"/>
      <c r="G2437" s="522">
        <f>$J$5</f>
        <v>43040</v>
      </c>
      <c r="H2437" s="136" t="s">
        <v>53</v>
      </c>
      <c r="I2437" s="137"/>
      <c r="J2437" s="125">
        <f>TRUNC(I2437*J2436,2)</f>
        <v>0</v>
      </c>
    </row>
    <row r="2438" spans="1:17" ht="15" x14ac:dyDescent="0.25">
      <c r="A2438" s="314"/>
      <c r="B2438" s="139"/>
      <c r="C2438" s="139"/>
      <c r="D2438" s="138"/>
      <c r="E2438" s="139"/>
      <c r="F2438" s="140"/>
      <c r="G2438" s="523"/>
      <c r="H2438" s="141" t="s">
        <v>54</v>
      </c>
      <c r="I2438" s="142"/>
      <c r="J2438" s="143">
        <f>J2437+J2436</f>
        <v>26.159999999999997</v>
      </c>
      <c r="L2438" s="102" t="str">
        <f>A2419</f>
        <v>COMPOSIÇÃO</v>
      </c>
      <c r="M2438" s="144" t="str">
        <f>B2419</f>
        <v>FF-103</v>
      </c>
      <c r="N2438" s="102" t="str">
        <f>L2438&amp;M2438</f>
        <v>COMPOSIÇÃOFF-103</v>
      </c>
      <c r="O2438" s="103" t="str">
        <f>D2418</f>
        <v>Tê de PVC série R diam. 50mm, fornecimento e instalação</v>
      </c>
      <c r="P2438" s="145" t="str">
        <f>J2419</f>
        <v>un</v>
      </c>
      <c r="Q2438" s="145">
        <f>J2438</f>
        <v>26.159999999999997</v>
      </c>
    </row>
    <row r="2439" spans="1:17" ht="15" customHeight="1" x14ac:dyDescent="0.25">
      <c r="A2439" s="524" t="s">
        <v>40</v>
      </c>
      <c r="B2439" s="525"/>
      <c r="C2439" s="104" t="s">
        <v>41</v>
      </c>
      <c r="D2439" s="526" t="str">
        <f>IF(B2440="","",VLOOKUP(B2440,SERVIÇOS!B:E,3,0))</f>
        <v>Redução excentrica de PVC série R diam. 100 para 50mm, fornecimento e instalação</v>
      </c>
      <c r="E2439" s="526"/>
      <c r="F2439" s="526"/>
      <c r="G2439" s="526"/>
      <c r="H2439" s="526"/>
      <c r="I2439" s="527"/>
      <c r="J2439" s="105" t="s">
        <v>42</v>
      </c>
    </row>
    <row r="2440" spans="1:17" ht="15" x14ac:dyDescent="0.25">
      <c r="A2440" s="230" t="s">
        <v>4715</v>
      </c>
      <c r="B2440" s="230" t="s">
        <v>5272</v>
      </c>
      <c r="C2440" s="106"/>
      <c r="D2440" s="528"/>
      <c r="E2440" s="528"/>
      <c r="F2440" s="528"/>
      <c r="G2440" s="528"/>
      <c r="H2440" s="528"/>
      <c r="I2440" s="529"/>
      <c r="J2440" s="107" t="str">
        <f>IF(B2440="","",VLOOKUP(B2440,SERVIÇOS!B:E,4,0))</f>
        <v>un</v>
      </c>
    </row>
    <row r="2441" spans="1:17" ht="15" x14ac:dyDescent="0.25">
      <c r="A2441" s="530" t="s">
        <v>4397</v>
      </c>
      <c r="B2441" s="531" t="s">
        <v>11</v>
      </c>
      <c r="C2441" s="533" t="s">
        <v>43</v>
      </c>
      <c r="D2441" s="534"/>
      <c r="E2441" s="530" t="s">
        <v>13</v>
      </c>
      <c r="F2441" s="530" t="s">
        <v>44</v>
      </c>
      <c r="G2441" s="538" t="s">
        <v>45</v>
      </c>
      <c r="H2441" s="108" t="s">
        <v>46</v>
      </c>
      <c r="I2441" s="108"/>
      <c r="J2441" s="108"/>
    </row>
    <row r="2442" spans="1:17" ht="15" x14ac:dyDescent="0.25">
      <c r="A2442" s="530"/>
      <c r="B2442" s="532"/>
      <c r="C2442" s="535"/>
      <c r="D2442" s="536"/>
      <c r="E2442" s="537"/>
      <c r="F2442" s="537"/>
      <c r="G2442" s="539"/>
      <c r="H2442" s="108" t="s">
        <v>47</v>
      </c>
      <c r="I2442" s="108" t="s">
        <v>48</v>
      </c>
      <c r="J2442" s="108" t="s">
        <v>49</v>
      </c>
    </row>
    <row r="2443" spans="1:17" ht="15" x14ac:dyDescent="0.25">
      <c r="A2443" s="109" t="s">
        <v>4398</v>
      </c>
      <c r="B2443" s="110">
        <v>10119</v>
      </c>
      <c r="C2443" s="540" t="str">
        <f>IF(A2443&amp;B2443="","",VLOOKUP(A2443&amp;B2443,INSUMOS!C:G,2,0))</f>
        <v>Ajudante de encanador</v>
      </c>
      <c r="D2443" s="541"/>
      <c r="E2443" s="111" t="str">
        <f>IF(A2443&amp;B2443="","",VLOOKUP(A2443&amp;B2443,INSUMOS!C:G,3,0))</f>
        <v>h</v>
      </c>
      <c r="F2443" s="112">
        <v>0.08</v>
      </c>
      <c r="G2443" s="113">
        <f>IF(A2443&amp;B2443="","",VLOOKUP(A2443&amp;B2443,INSUMOS!C:G,4,0))</f>
        <v>10.985028</v>
      </c>
      <c r="H2443" s="114">
        <f>IF(K2443="MO",TRUNC(F2443*G2443,2),"")</f>
        <v>0.87</v>
      </c>
      <c r="I2443" s="114" t="str">
        <f>IF(K2443="MT",TRUNC(F2443*G2443,2),"")</f>
        <v/>
      </c>
      <c r="J2443" s="115" t="str">
        <f>IF(K2443="EQ",TRUNC(F2443*G2443,2),"")</f>
        <v/>
      </c>
      <c r="K2443" s="102" t="str">
        <f>IF(A2443&amp;B2443="","",VLOOKUP(A2443&amp;B2443,INSUMOS!C:G,5,0))</f>
        <v>MO</v>
      </c>
    </row>
    <row r="2444" spans="1:17" ht="15" x14ac:dyDescent="0.25">
      <c r="A2444" s="109" t="s">
        <v>4398</v>
      </c>
      <c r="B2444" s="116">
        <v>10118</v>
      </c>
      <c r="C2444" s="518" t="str">
        <f>IF(A2444&amp;B2444="","",VLOOKUP(A2444&amp;B2444,INSUMOS!C:G,2,0))</f>
        <v xml:space="preserve">Encanador </v>
      </c>
      <c r="D2444" s="519"/>
      <c r="E2444" s="117" t="str">
        <f>IF(A2444&amp;B2444="","",VLOOKUP(A2444&amp;B2444,INSUMOS!C:G,3,0))</f>
        <v>h</v>
      </c>
      <c r="F2444" s="118">
        <v>0.08</v>
      </c>
      <c r="G2444" s="113">
        <f>IF(A2444&amp;B2444="","",VLOOKUP(A2444&amp;B2444,INSUMOS!C:G,4,0))</f>
        <v>16.906036</v>
      </c>
      <c r="H2444" s="119">
        <f t="shared" ref="H2444:H2455" si="414">IF(K2444="MO",TRUNC(F2444*G2444,2),"")</f>
        <v>1.35</v>
      </c>
      <c r="I2444" s="119" t="str">
        <f t="shared" ref="I2444:I2455" si="415">IF(K2444="MT",TRUNC(F2444*G2444,2),"")</f>
        <v/>
      </c>
      <c r="J2444" s="115" t="str">
        <f t="shared" ref="J2444:J2455" si="416">IF(K2444="EQ",TRUNC(F2444*G2444,2),"")</f>
        <v/>
      </c>
      <c r="K2444" s="102" t="str">
        <f>IF(A2444&amp;B2444="","",VLOOKUP(A2444&amp;B2444,INSUMOS!C:G,5,0))</f>
        <v>MO</v>
      </c>
    </row>
    <row r="2445" spans="1:17" ht="15" x14ac:dyDescent="0.25">
      <c r="A2445" s="109" t="s">
        <v>4810</v>
      </c>
      <c r="B2445" s="116">
        <v>301</v>
      </c>
      <c r="C2445" s="518" t="str">
        <f>IF(A2445&amp;B2445="","",VLOOKUP(A2445&amp;B2445,INSUMOS!C:G,2,0))</f>
        <v>Anel de borracha para tubo de esgoto predial, DN 100 mm (NBR 5688)</v>
      </c>
      <c r="D2445" s="519"/>
      <c r="E2445" s="117" t="str">
        <f>IF(A2445&amp;B2445="","",VLOOKUP(A2445&amp;B2445,INSUMOS!C:G,3,0))</f>
        <v>un</v>
      </c>
      <c r="F2445" s="118">
        <v>1</v>
      </c>
      <c r="G2445" s="113">
        <f>IF(A2445&amp;B2445="","",VLOOKUP(A2445&amp;B2445,INSUMOS!C:G,4,0))</f>
        <v>1.48</v>
      </c>
      <c r="H2445" s="119" t="str">
        <f t="shared" si="414"/>
        <v/>
      </c>
      <c r="I2445" s="119">
        <f t="shared" si="415"/>
        <v>1.48</v>
      </c>
      <c r="J2445" s="115" t="str">
        <f t="shared" si="416"/>
        <v/>
      </c>
      <c r="K2445" s="102" t="str">
        <f>IF(A2445&amp;B2445="","",VLOOKUP(A2445&amp;B2445,INSUMOS!C:G,5,0))</f>
        <v>MT</v>
      </c>
    </row>
    <row r="2446" spans="1:17" ht="15" x14ac:dyDescent="0.25">
      <c r="A2446" s="109" t="s">
        <v>4810</v>
      </c>
      <c r="B2446" s="116">
        <v>296</v>
      </c>
      <c r="C2446" s="518" t="str">
        <f>IF(A2446&amp;B2446="","",VLOOKUP(A2446&amp;B2446,INSUMOS!C:G,2,0))</f>
        <v>Anel de borracha para tubo de esgoto predial, DN 50 mm (NBR 5688)</v>
      </c>
      <c r="D2446" s="519"/>
      <c r="E2446" s="117" t="str">
        <f>IF(A2446&amp;B2446="","",VLOOKUP(A2446&amp;B2446,INSUMOS!C:G,3,0))</f>
        <v>un</v>
      </c>
      <c r="F2446" s="118">
        <v>1</v>
      </c>
      <c r="G2446" s="113">
        <f>IF(A2446&amp;B2446="","",VLOOKUP(A2446&amp;B2446,INSUMOS!C:G,4,0))</f>
        <v>0.83</v>
      </c>
      <c r="H2446" s="119" t="str">
        <f t="shared" si="414"/>
        <v/>
      </c>
      <c r="I2446" s="119">
        <f t="shared" si="415"/>
        <v>0.83</v>
      </c>
      <c r="J2446" s="115" t="str">
        <f t="shared" si="416"/>
        <v/>
      </c>
      <c r="K2446" s="102" t="str">
        <f>IF(A2446&amp;B2446="","",VLOOKUP(A2446&amp;B2446,INSUMOS!C:G,5,0))</f>
        <v>MT</v>
      </c>
    </row>
    <row r="2447" spans="1:17" ht="15" x14ac:dyDescent="0.25">
      <c r="A2447" s="109" t="s">
        <v>4810</v>
      </c>
      <c r="B2447" s="116">
        <v>20078</v>
      </c>
      <c r="C2447" s="518" t="str">
        <f>IF(A2447&amp;B2447="","",VLOOKUP(A2447&amp;B2447,INSUMOS!C:G,2,0))</f>
        <v>Pasta lubrificante para uso em tubos de PVC com anel de borracha (pote de 400G)</v>
      </c>
      <c r="D2447" s="519"/>
      <c r="E2447" s="117" t="str">
        <f>IF(A2447&amp;B2447="","",VLOOKUP(A2447&amp;B2447,INSUMOS!C:G,3,0))</f>
        <v>un</v>
      </c>
      <c r="F2447" s="118">
        <v>0.06</v>
      </c>
      <c r="G2447" s="113">
        <f>IF(A2447&amp;B2447="","",VLOOKUP(A2447&amp;B2447,INSUMOS!C:G,4,0))</f>
        <v>13.33</v>
      </c>
      <c r="H2447" s="119" t="str">
        <f t="shared" si="414"/>
        <v/>
      </c>
      <c r="I2447" s="119">
        <f t="shared" si="415"/>
        <v>0.79</v>
      </c>
      <c r="J2447" s="115" t="str">
        <f t="shared" si="416"/>
        <v/>
      </c>
      <c r="K2447" s="102" t="str">
        <f>IF(A2447&amp;B2447="","",VLOOKUP(A2447&amp;B2447,INSUMOS!C:G,5,0))</f>
        <v>MT</v>
      </c>
    </row>
    <row r="2448" spans="1:17" ht="15" x14ac:dyDescent="0.25">
      <c r="A2448" s="109" t="s">
        <v>4810</v>
      </c>
      <c r="B2448" s="116">
        <v>20043</v>
      </c>
      <c r="C2448" s="518" t="str">
        <f>IF(A2448&amp;B2448="","",VLOOKUP(A2448&amp;B2448,INSUMOS!C:G,2,0))</f>
        <v>Redução excentrica PVC p/ esg predial DN 100x50mm</v>
      </c>
      <c r="D2448" s="519"/>
      <c r="E2448" s="117" t="str">
        <f>IF(A2448&amp;B2448="","",VLOOKUP(A2448&amp;B2448,INSUMOS!C:G,3,0))</f>
        <v>un</v>
      </c>
      <c r="F2448" s="118">
        <v>1</v>
      </c>
      <c r="G2448" s="113">
        <f>IF(A2448&amp;B2448="","",VLOOKUP(A2448&amp;B2448,INSUMOS!C:G,4,0))</f>
        <v>1.66</v>
      </c>
      <c r="H2448" s="119" t="str">
        <f t="shared" si="414"/>
        <v/>
      </c>
      <c r="I2448" s="119">
        <f t="shared" si="415"/>
        <v>1.66</v>
      </c>
      <c r="J2448" s="115" t="str">
        <f t="shared" si="416"/>
        <v/>
      </c>
      <c r="K2448" s="102" t="str">
        <f>IF(A2448&amp;B2448="","",VLOOKUP(A2448&amp;B2448,INSUMOS!C:G,5,0))</f>
        <v>MT</v>
      </c>
    </row>
    <row r="2449" spans="1:17" ht="15" x14ac:dyDescent="0.25">
      <c r="A2449" s="109"/>
      <c r="B2449" s="116"/>
      <c r="C2449" s="518" t="str">
        <f>IF(A2449&amp;B2449="","",VLOOKUP(A2449&amp;B2449,INSUMOS!C:G,2,0))</f>
        <v/>
      </c>
      <c r="D2449" s="519"/>
      <c r="E2449" s="117" t="str">
        <f>IF(A2449&amp;B2449="","",VLOOKUP(A2449&amp;B2449,INSUMOS!C:G,3,0))</f>
        <v/>
      </c>
      <c r="F2449" s="118"/>
      <c r="G2449" s="113" t="str">
        <f>IF(A2449&amp;B2449="","",VLOOKUP(A2449&amp;B2449,INSUMOS!C:G,4,0))</f>
        <v/>
      </c>
      <c r="H2449" s="119" t="str">
        <f t="shared" si="414"/>
        <v/>
      </c>
      <c r="I2449" s="119" t="str">
        <f t="shared" si="415"/>
        <v/>
      </c>
      <c r="J2449" s="115" t="str">
        <f t="shared" si="416"/>
        <v/>
      </c>
      <c r="K2449" s="102" t="str">
        <f>IF(A2449&amp;B2449="","",VLOOKUP(A2449&amp;B2449,INSUMOS!C:G,5,0))</f>
        <v/>
      </c>
    </row>
    <row r="2450" spans="1:17" ht="15" x14ac:dyDescent="0.25">
      <c r="A2450" s="109"/>
      <c r="B2450" s="116"/>
      <c r="C2450" s="518" t="str">
        <f>IF(A2450&amp;B2450="","",VLOOKUP(A2450&amp;B2450,INSUMOS!C:G,2,0))</f>
        <v/>
      </c>
      <c r="D2450" s="519"/>
      <c r="E2450" s="117" t="str">
        <f>IF(A2450&amp;B2450="","",VLOOKUP(A2450&amp;B2450,INSUMOS!C:G,3,0))</f>
        <v/>
      </c>
      <c r="F2450" s="118"/>
      <c r="G2450" s="113" t="str">
        <f>IF(A2450&amp;B2450="","",VLOOKUP(A2450&amp;B2450,INSUMOS!C:G,4,0))</f>
        <v/>
      </c>
      <c r="H2450" s="119" t="str">
        <f t="shared" si="414"/>
        <v/>
      </c>
      <c r="I2450" s="119" t="str">
        <f t="shared" si="415"/>
        <v/>
      </c>
      <c r="J2450" s="115" t="str">
        <f t="shared" si="416"/>
        <v/>
      </c>
      <c r="K2450" s="102" t="str">
        <f>IF(A2450&amp;B2450="","",VLOOKUP(A2450&amp;B2450,INSUMOS!C:G,5,0))</f>
        <v/>
      </c>
    </row>
    <row r="2451" spans="1:17" ht="15" x14ac:dyDescent="0.25">
      <c r="A2451" s="109"/>
      <c r="B2451" s="116"/>
      <c r="C2451" s="518" t="str">
        <f>IF(A2451&amp;B2451="","",VLOOKUP(A2451&amp;B2451,INSUMOS!C:G,2,0))</f>
        <v/>
      </c>
      <c r="D2451" s="519"/>
      <c r="E2451" s="117" t="str">
        <f>IF(A2451&amp;B2451="","",VLOOKUP(A2451&amp;B2451,INSUMOS!C:G,3,0))</f>
        <v/>
      </c>
      <c r="F2451" s="118"/>
      <c r="G2451" s="113" t="str">
        <f>IF(A2451&amp;B2451="","",VLOOKUP(A2451&amp;B2451,INSUMOS!C:G,4,0))</f>
        <v/>
      </c>
      <c r="H2451" s="119" t="str">
        <f t="shared" si="414"/>
        <v/>
      </c>
      <c r="I2451" s="119" t="str">
        <f t="shared" si="415"/>
        <v/>
      </c>
      <c r="J2451" s="115" t="str">
        <f t="shared" si="416"/>
        <v/>
      </c>
      <c r="K2451" s="102" t="str">
        <f>IF(A2451&amp;B2451="","",VLOOKUP(A2451&amp;B2451,INSUMOS!C:G,5,0))</f>
        <v/>
      </c>
    </row>
    <row r="2452" spans="1:17" ht="15" x14ac:dyDescent="0.25">
      <c r="A2452" s="109"/>
      <c r="B2452" s="116"/>
      <c r="C2452" s="518" t="str">
        <f>IF(A2452&amp;B2452="","",VLOOKUP(A2452&amp;B2452,INSUMOS!C:G,2,0))</f>
        <v/>
      </c>
      <c r="D2452" s="519"/>
      <c r="E2452" s="117" t="str">
        <f>IF(A2452&amp;B2452="","",VLOOKUP(A2452&amp;B2452,INSUMOS!C:G,3,0))</f>
        <v/>
      </c>
      <c r="F2452" s="118"/>
      <c r="G2452" s="113" t="str">
        <f>IF(A2452&amp;B2452="","",VLOOKUP(A2452&amp;B2452,INSUMOS!C:G,4,0))</f>
        <v/>
      </c>
      <c r="H2452" s="119" t="str">
        <f t="shared" si="414"/>
        <v/>
      </c>
      <c r="I2452" s="119" t="str">
        <f t="shared" si="415"/>
        <v/>
      </c>
      <c r="J2452" s="115" t="str">
        <f t="shared" si="416"/>
        <v/>
      </c>
      <c r="K2452" s="102" t="str">
        <f>IF(A2452&amp;B2452="","",VLOOKUP(A2452&amp;B2452,INSUMOS!C:G,5,0))</f>
        <v/>
      </c>
    </row>
    <row r="2453" spans="1:17" ht="15" x14ac:dyDescent="0.25">
      <c r="A2453" s="120"/>
      <c r="B2453" s="121"/>
      <c r="C2453" s="518" t="str">
        <f>IF(A2453&amp;B2453="","",VLOOKUP(A2453&amp;B2453,INSUMOS!C:G,2,0))</f>
        <v/>
      </c>
      <c r="D2453" s="519"/>
      <c r="E2453" s="117" t="str">
        <f>IF(A2453&amp;B2453="","",VLOOKUP(A2453&amp;B2453,INSUMOS!C:G,3,0))</f>
        <v/>
      </c>
      <c r="F2453" s="118"/>
      <c r="G2453" s="122" t="str">
        <f>IF(A2453&amp;B2453="","",VLOOKUP(A2453&amp;B2453,INSUMOS!C:G,4,0))</f>
        <v/>
      </c>
      <c r="H2453" s="119" t="str">
        <f t="shared" si="414"/>
        <v/>
      </c>
      <c r="I2453" s="119" t="str">
        <f t="shared" si="415"/>
        <v/>
      </c>
      <c r="J2453" s="115" t="str">
        <f t="shared" si="416"/>
        <v/>
      </c>
      <c r="K2453" s="102" t="str">
        <f>IF(A2453&amp;B2453="","",VLOOKUP(A2453&amp;B2453,INSUMOS!C:G,5,0))</f>
        <v/>
      </c>
    </row>
    <row r="2454" spans="1:17" ht="15" x14ac:dyDescent="0.25">
      <c r="A2454" s="120"/>
      <c r="B2454" s="121"/>
      <c r="C2454" s="518" t="str">
        <f>IF(A2454&amp;B2454="","",VLOOKUP(A2454&amp;B2454,INSUMOS!C:G,2,0))</f>
        <v/>
      </c>
      <c r="D2454" s="519"/>
      <c r="E2454" s="117" t="str">
        <f>IF(A2454&amp;B2454="","",VLOOKUP(A2454&amp;B2454,INSUMOS!C:G,3,0))</f>
        <v/>
      </c>
      <c r="F2454" s="118"/>
      <c r="G2454" s="122" t="str">
        <f>IF(A2454&amp;B2454="","",VLOOKUP(A2454&amp;B2454,INSUMOS!C:G,4,0))</f>
        <v/>
      </c>
      <c r="H2454" s="119" t="str">
        <f t="shared" si="414"/>
        <v/>
      </c>
      <c r="I2454" s="119" t="str">
        <f t="shared" si="415"/>
        <v/>
      </c>
      <c r="J2454" s="115" t="str">
        <f t="shared" si="416"/>
        <v/>
      </c>
      <c r="K2454" s="102" t="str">
        <f>IF(A2454&amp;B2454="","",VLOOKUP(A2454&amp;B2454,INSUMOS!C:G,5,0))</f>
        <v/>
      </c>
    </row>
    <row r="2455" spans="1:17" ht="15" x14ac:dyDescent="0.25">
      <c r="A2455" s="120"/>
      <c r="B2455" s="121"/>
      <c r="C2455" s="518" t="str">
        <f>IF(A2455&amp;B2455="","",VLOOKUP(A2455&amp;B2455,INSUMOS!C:G,2,0))</f>
        <v/>
      </c>
      <c r="D2455" s="519"/>
      <c r="E2455" s="117" t="str">
        <f>IF(A2455&amp;B2455="","",VLOOKUP(A2455&amp;B2455,INSUMOS!C:G,3,0))</f>
        <v/>
      </c>
      <c r="F2455" s="118"/>
      <c r="G2455" s="122" t="str">
        <f>IF(A2455&amp;B2455="","",VLOOKUP(A2455&amp;B2455,INSUMOS!C:G,4,0))</f>
        <v/>
      </c>
      <c r="H2455" s="119" t="str">
        <f t="shared" si="414"/>
        <v/>
      </c>
      <c r="I2455" s="119" t="str">
        <f t="shared" si="415"/>
        <v/>
      </c>
      <c r="J2455" s="115" t="str">
        <f t="shared" si="416"/>
        <v/>
      </c>
      <c r="K2455" s="102" t="str">
        <f>IF(A2455&amp;B2455="","",VLOOKUP(A2455&amp;B2455,INSUMOS!C:G,5,0))</f>
        <v/>
      </c>
    </row>
    <row r="2456" spans="1:17" ht="15" x14ac:dyDescent="0.25">
      <c r="A2456" s="123" t="s">
        <v>4399</v>
      </c>
      <c r="B2456" s="542"/>
      <c r="C2456" s="542"/>
      <c r="D2456" s="542"/>
      <c r="E2456" s="542"/>
      <c r="F2456" s="543"/>
      <c r="G2456" s="124" t="s">
        <v>50</v>
      </c>
      <c r="H2456" s="125">
        <f>SUM(H2443:H2455)</f>
        <v>2.2200000000000002</v>
      </c>
      <c r="I2456" s="125">
        <f>SUM(I2443:I2455)</f>
        <v>4.76</v>
      </c>
      <c r="J2456" s="126">
        <f>SUM(J2443:J2455)</f>
        <v>0</v>
      </c>
    </row>
    <row r="2457" spans="1:17" ht="15" x14ac:dyDescent="0.25">
      <c r="A2457" s="127" t="s">
        <v>4400</v>
      </c>
      <c r="B2457" s="128"/>
      <c r="C2457" s="128"/>
      <c r="D2457" s="127" t="s">
        <v>51</v>
      </c>
      <c r="E2457" s="128"/>
      <c r="F2457" s="129"/>
      <c r="G2457" s="130" t="s">
        <v>55</v>
      </c>
      <c r="H2457" s="131" t="s">
        <v>52</v>
      </c>
      <c r="I2457" s="132"/>
      <c r="J2457" s="125">
        <f>SUM(H2456:J2456)</f>
        <v>6.98</v>
      </c>
    </row>
    <row r="2458" spans="1:17" ht="15" x14ac:dyDescent="0.25">
      <c r="A2458" s="313" t="str">
        <f>$I$3</f>
        <v>Carlos Wieck</v>
      </c>
      <c r="B2458" s="133"/>
      <c r="C2458" s="133"/>
      <c r="D2458" s="134"/>
      <c r="E2458" s="133"/>
      <c r="F2458" s="135"/>
      <c r="G2458" s="522">
        <f>$J$5</f>
        <v>43040</v>
      </c>
      <c r="H2458" s="136" t="s">
        <v>53</v>
      </c>
      <c r="I2458" s="137"/>
      <c r="J2458" s="125">
        <f>TRUNC(I2458*J2457,2)</f>
        <v>0</v>
      </c>
    </row>
    <row r="2459" spans="1:17" ht="15" x14ac:dyDescent="0.25">
      <c r="A2459" s="314"/>
      <c r="B2459" s="139"/>
      <c r="C2459" s="139"/>
      <c r="D2459" s="138"/>
      <c r="E2459" s="139"/>
      <c r="F2459" s="140"/>
      <c r="G2459" s="523"/>
      <c r="H2459" s="141" t="s">
        <v>54</v>
      </c>
      <c r="I2459" s="142"/>
      <c r="J2459" s="143">
        <f>J2458+J2457</f>
        <v>6.98</v>
      </c>
      <c r="L2459" s="102" t="str">
        <f>A2440</f>
        <v>COMPOSIÇÃO</v>
      </c>
      <c r="M2459" s="144" t="str">
        <f>B2440</f>
        <v>FF-104</v>
      </c>
      <c r="N2459" s="102" t="str">
        <f>L2459&amp;M2459</f>
        <v>COMPOSIÇÃOFF-104</v>
      </c>
      <c r="O2459" s="103" t="str">
        <f>D2439</f>
        <v>Redução excentrica de PVC série R diam. 100 para 50mm, fornecimento e instalação</v>
      </c>
      <c r="P2459" s="145" t="str">
        <f>J2440</f>
        <v>un</v>
      </c>
      <c r="Q2459" s="145">
        <f>J2459</f>
        <v>6.98</v>
      </c>
    </row>
    <row r="2460" spans="1:17" ht="15" customHeight="1" x14ac:dyDescent="0.25">
      <c r="A2460" s="524" t="s">
        <v>40</v>
      </c>
      <c r="B2460" s="525"/>
      <c r="C2460" s="104" t="s">
        <v>41</v>
      </c>
      <c r="D2460" s="526" t="str">
        <f>IF(B2461="","",VLOOKUP(B2461,SERVIÇOS!B:E,3,0))</f>
        <v>Redução excentrica de PVC série R diam. 75 para 50mm, fornecimento e instalação</v>
      </c>
      <c r="E2460" s="526"/>
      <c r="F2460" s="526"/>
      <c r="G2460" s="526"/>
      <c r="H2460" s="526"/>
      <c r="I2460" s="527"/>
      <c r="J2460" s="105" t="s">
        <v>42</v>
      </c>
    </row>
    <row r="2461" spans="1:17" ht="15" x14ac:dyDescent="0.25">
      <c r="A2461" s="230" t="s">
        <v>4715</v>
      </c>
      <c r="B2461" s="230" t="s">
        <v>5273</v>
      </c>
      <c r="C2461" s="106"/>
      <c r="D2461" s="528"/>
      <c r="E2461" s="528"/>
      <c r="F2461" s="528"/>
      <c r="G2461" s="528"/>
      <c r="H2461" s="528"/>
      <c r="I2461" s="529"/>
      <c r="J2461" s="107" t="str">
        <f>IF(B2461="","",VLOOKUP(B2461,SERVIÇOS!B:E,4,0))</f>
        <v>un</v>
      </c>
    </row>
    <row r="2462" spans="1:17" ht="15" x14ac:dyDescent="0.25">
      <c r="A2462" s="530" t="s">
        <v>4397</v>
      </c>
      <c r="B2462" s="531" t="s">
        <v>11</v>
      </c>
      <c r="C2462" s="533" t="s">
        <v>43</v>
      </c>
      <c r="D2462" s="534"/>
      <c r="E2462" s="530" t="s">
        <v>13</v>
      </c>
      <c r="F2462" s="530" t="s">
        <v>44</v>
      </c>
      <c r="G2462" s="538" t="s">
        <v>45</v>
      </c>
      <c r="H2462" s="108" t="s">
        <v>46</v>
      </c>
      <c r="I2462" s="108"/>
      <c r="J2462" s="108"/>
    </row>
    <row r="2463" spans="1:17" ht="15" x14ac:dyDescent="0.25">
      <c r="A2463" s="530"/>
      <c r="B2463" s="532"/>
      <c r="C2463" s="535"/>
      <c r="D2463" s="536"/>
      <c r="E2463" s="537"/>
      <c r="F2463" s="537"/>
      <c r="G2463" s="539"/>
      <c r="H2463" s="108" t="s">
        <v>47</v>
      </c>
      <c r="I2463" s="108" t="s">
        <v>48</v>
      </c>
      <c r="J2463" s="108" t="s">
        <v>49</v>
      </c>
    </row>
    <row r="2464" spans="1:17" ht="15" x14ac:dyDescent="0.25">
      <c r="A2464" s="109" t="s">
        <v>4398</v>
      </c>
      <c r="B2464" s="110">
        <v>10119</v>
      </c>
      <c r="C2464" s="540" t="str">
        <f>IF(A2464&amp;B2464="","",VLOOKUP(A2464&amp;B2464,INSUMOS!C:G,2,0))</f>
        <v>Ajudante de encanador</v>
      </c>
      <c r="D2464" s="541"/>
      <c r="E2464" s="111" t="str">
        <f>IF(A2464&amp;B2464="","",VLOOKUP(A2464&amp;B2464,INSUMOS!C:G,3,0))</f>
        <v>h</v>
      </c>
      <c r="F2464" s="112">
        <v>0.08</v>
      </c>
      <c r="G2464" s="113">
        <f>IF(A2464&amp;B2464="","",VLOOKUP(A2464&amp;B2464,INSUMOS!C:G,4,0))</f>
        <v>10.985028</v>
      </c>
      <c r="H2464" s="114">
        <f>IF(K2464="MO",TRUNC(F2464*G2464,2),"")</f>
        <v>0.87</v>
      </c>
      <c r="I2464" s="114" t="str">
        <f>IF(K2464="MT",TRUNC(F2464*G2464,2),"")</f>
        <v/>
      </c>
      <c r="J2464" s="115" t="str">
        <f>IF(K2464="EQ",TRUNC(F2464*G2464,2),"")</f>
        <v/>
      </c>
      <c r="K2464" s="102" t="str">
        <f>IF(A2464&amp;B2464="","",VLOOKUP(A2464&amp;B2464,INSUMOS!C:G,5,0))</f>
        <v>MO</v>
      </c>
    </row>
    <row r="2465" spans="1:17" ht="15" x14ac:dyDescent="0.25">
      <c r="A2465" s="109" t="s">
        <v>4398</v>
      </c>
      <c r="B2465" s="116">
        <v>10118</v>
      </c>
      <c r="C2465" s="518" t="str">
        <f>IF(A2465&amp;B2465="","",VLOOKUP(A2465&amp;B2465,INSUMOS!C:G,2,0))</f>
        <v xml:space="preserve">Encanador </v>
      </c>
      <c r="D2465" s="519"/>
      <c r="E2465" s="117" t="str">
        <f>IF(A2465&amp;B2465="","",VLOOKUP(A2465&amp;B2465,INSUMOS!C:G,3,0))</f>
        <v>h</v>
      </c>
      <c r="F2465" s="118">
        <v>0.08</v>
      </c>
      <c r="G2465" s="113">
        <f>IF(A2465&amp;B2465="","",VLOOKUP(A2465&amp;B2465,INSUMOS!C:G,4,0))</f>
        <v>16.906036</v>
      </c>
      <c r="H2465" s="119">
        <f t="shared" ref="H2465:H2476" si="417">IF(K2465="MO",TRUNC(F2465*G2465,2),"")</f>
        <v>1.35</v>
      </c>
      <c r="I2465" s="119" t="str">
        <f t="shared" ref="I2465:I2476" si="418">IF(K2465="MT",TRUNC(F2465*G2465,2),"")</f>
        <v/>
      </c>
      <c r="J2465" s="115" t="str">
        <f t="shared" ref="J2465:J2476" si="419">IF(K2465="EQ",TRUNC(F2465*G2465,2),"")</f>
        <v/>
      </c>
      <c r="K2465" s="102" t="str">
        <f>IF(A2465&amp;B2465="","",VLOOKUP(A2465&amp;B2465,INSUMOS!C:G,5,0))</f>
        <v>MO</v>
      </c>
    </row>
    <row r="2466" spans="1:17" ht="15" x14ac:dyDescent="0.25">
      <c r="A2466" s="109" t="s">
        <v>4810</v>
      </c>
      <c r="B2466" s="116">
        <v>297</v>
      </c>
      <c r="C2466" s="518" t="str">
        <f>IF(A2466&amp;B2466="","",VLOOKUP(A2466&amp;B2466,INSUMOS!C:G,2,0))</f>
        <v>Anel de borracha para tubo de esgoto predial, DN 75 mm (NBR 5688)</v>
      </c>
      <c r="D2466" s="519"/>
      <c r="E2466" s="117" t="str">
        <f>IF(A2466&amp;B2466="","",VLOOKUP(A2466&amp;B2466,INSUMOS!C:G,3,0))</f>
        <v>un</v>
      </c>
      <c r="F2466" s="118">
        <v>1</v>
      </c>
      <c r="G2466" s="113">
        <f>IF(A2466&amp;B2466="","",VLOOKUP(A2466&amp;B2466,INSUMOS!C:G,4,0))</f>
        <v>0.83</v>
      </c>
      <c r="H2466" s="119" t="str">
        <f t="shared" si="417"/>
        <v/>
      </c>
      <c r="I2466" s="119">
        <f t="shared" si="418"/>
        <v>0.83</v>
      </c>
      <c r="J2466" s="115" t="str">
        <f t="shared" si="419"/>
        <v/>
      </c>
      <c r="K2466" s="102" t="str">
        <f>IF(A2466&amp;B2466="","",VLOOKUP(A2466&amp;B2466,INSUMOS!C:G,5,0))</f>
        <v>MT</v>
      </c>
    </row>
    <row r="2467" spans="1:17" ht="15" x14ac:dyDescent="0.25">
      <c r="A2467" s="109" t="s">
        <v>4810</v>
      </c>
      <c r="B2467" s="116">
        <v>296</v>
      </c>
      <c r="C2467" s="518" t="str">
        <f>IF(A2467&amp;B2467="","",VLOOKUP(A2467&amp;B2467,INSUMOS!C:G,2,0))</f>
        <v>Anel de borracha para tubo de esgoto predial, DN 50 mm (NBR 5688)</v>
      </c>
      <c r="D2467" s="519"/>
      <c r="E2467" s="117" t="str">
        <f>IF(A2467&amp;B2467="","",VLOOKUP(A2467&amp;B2467,INSUMOS!C:G,3,0))</f>
        <v>un</v>
      </c>
      <c r="F2467" s="118">
        <v>1</v>
      </c>
      <c r="G2467" s="113">
        <f>IF(A2467&amp;B2467="","",VLOOKUP(A2467&amp;B2467,INSUMOS!C:G,4,0))</f>
        <v>0.83</v>
      </c>
      <c r="H2467" s="119" t="str">
        <f t="shared" si="417"/>
        <v/>
      </c>
      <c r="I2467" s="119">
        <f t="shared" si="418"/>
        <v>0.83</v>
      </c>
      <c r="J2467" s="115" t="str">
        <f t="shared" si="419"/>
        <v/>
      </c>
      <c r="K2467" s="102" t="str">
        <f>IF(A2467&amp;B2467="","",VLOOKUP(A2467&amp;B2467,INSUMOS!C:G,5,0))</f>
        <v>MT</v>
      </c>
    </row>
    <row r="2468" spans="1:17" ht="15" x14ac:dyDescent="0.25">
      <c r="A2468" s="109" t="s">
        <v>4810</v>
      </c>
      <c r="B2468" s="116">
        <v>20078</v>
      </c>
      <c r="C2468" s="518" t="str">
        <f>IF(A2468&amp;B2468="","",VLOOKUP(A2468&amp;B2468,INSUMOS!C:G,2,0))</f>
        <v>Pasta lubrificante para uso em tubos de PVC com anel de borracha (pote de 400G)</v>
      </c>
      <c r="D2468" s="519"/>
      <c r="E2468" s="117" t="str">
        <f>IF(A2468&amp;B2468="","",VLOOKUP(A2468&amp;B2468,INSUMOS!C:G,3,0))</f>
        <v>un</v>
      </c>
      <c r="F2468" s="118">
        <v>0.06</v>
      </c>
      <c r="G2468" s="113">
        <f>IF(A2468&amp;B2468="","",VLOOKUP(A2468&amp;B2468,INSUMOS!C:G,4,0))</f>
        <v>13.33</v>
      </c>
      <c r="H2468" s="119" t="str">
        <f t="shared" si="417"/>
        <v/>
      </c>
      <c r="I2468" s="119">
        <f t="shared" si="418"/>
        <v>0.79</v>
      </c>
      <c r="J2468" s="115" t="str">
        <f t="shared" si="419"/>
        <v/>
      </c>
      <c r="K2468" s="102" t="str">
        <f>IF(A2468&amp;B2468="","",VLOOKUP(A2468&amp;B2468,INSUMOS!C:G,5,0))</f>
        <v>MT</v>
      </c>
    </row>
    <row r="2469" spans="1:17" ht="15" x14ac:dyDescent="0.25">
      <c r="A2469" s="109" t="s">
        <v>4810</v>
      </c>
      <c r="B2469" s="116">
        <v>20042</v>
      </c>
      <c r="C2469" s="518" t="str">
        <f>IF(A2469&amp;B2469="","",VLOOKUP(A2469&amp;B2469,INSUMOS!C:G,2,0))</f>
        <v>Redução excentrica PVC p/ esg predial DN 75x50mm</v>
      </c>
      <c r="D2469" s="519"/>
      <c r="E2469" s="117" t="str">
        <f>IF(A2469&amp;B2469="","",VLOOKUP(A2469&amp;B2469,INSUMOS!C:G,3,0))</f>
        <v>un</v>
      </c>
      <c r="F2469" s="118">
        <v>1</v>
      </c>
      <c r="G2469" s="113">
        <f>IF(A2469&amp;B2469="","",VLOOKUP(A2469&amp;B2469,INSUMOS!C:G,4,0))</f>
        <v>1.52</v>
      </c>
      <c r="H2469" s="119" t="str">
        <f t="shared" si="417"/>
        <v/>
      </c>
      <c r="I2469" s="119">
        <f t="shared" si="418"/>
        <v>1.52</v>
      </c>
      <c r="J2469" s="115" t="str">
        <f t="shared" si="419"/>
        <v/>
      </c>
      <c r="K2469" s="102" t="str">
        <f>IF(A2469&amp;B2469="","",VLOOKUP(A2469&amp;B2469,INSUMOS!C:G,5,0))</f>
        <v>MT</v>
      </c>
    </row>
    <row r="2470" spans="1:17" ht="15" x14ac:dyDescent="0.25">
      <c r="A2470" s="109"/>
      <c r="B2470" s="116"/>
      <c r="C2470" s="518" t="str">
        <f>IF(A2470&amp;B2470="","",VLOOKUP(A2470&amp;B2470,INSUMOS!C:G,2,0))</f>
        <v/>
      </c>
      <c r="D2470" s="519"/>
      <c r="E2470" s="117" t="str">
        <f>IF(A2470&amp;B2470="","",VLOOKUP(A2470&amp;B2470,INSUMOS!C:G,3,0))</f>
        <v/>
      </c>
      <c r="F2470" s="118"/>
      <c r="G2470" s="113" t="str">
        <f>IF(A2470&amp;B2470="","",VLOOKUP(A2470&amp;B2470,INSUMOS!C:G,4,0))</f>
        <v/>
      </c>
      <c r="H2470" s="119" t="str">
        <f t="shared" si="417"/>
        <v/>
      </c>
      <c r="I2470" s="119" t="str">
        <f t="shared" si="418"/>
        <v/>
      </c>
      <c r="J2470" s="115" t="str">
        <f t="shared" si="419"/>
        <v/>
      </c>
      <c r="K2470" s="102" t="str">
        <f>IF(A2470&amp;B2470="","",VLOOKUP(A2470&amp;B2470,INSUMOS!C:G,5,0))</f>
        <v/>
      </c>
    </row>
    <row r="2471" spans="1:17" ht="15" x14ac:dyDescent="0.25">
      <c r="A2471" s="109"/>
      <c r="B2471" s="116"/>
      <c r="C2471" s="518" t="str">
        <f>IF(A2471&amp;B2471="","",VLOOKUP(A2471&amp;B2471,INSUMOS!C:G,2,0))</f>
        <v/>
      </c>
      <c r="D2471" s="519"/>
      <c r="E2471" s="117" t="str">
        <f>IF(A2471&amp;B2471="","",VLOOKUP(A2471&amp;B2471,INSUMOS!C:G,3,0))</f>
        <v/>
      </c>
      <c r="F2471" s="118"/>
      <c r="G2471" s="113" t="str">
        <f>IF(A2471&amp;B2471="","",VLOOKUP(A2471&amp;B2471,INSUMOS!C:G,4,0))</f>
        <v/>
      </c>
      <c r="H2471" s="119" t="str">
        <f t="shared" si="417"/>
        <v/>
      </c>
      <c r="I2471" s="119" t="str">
        <f t="shared" si="418"/>
        <v/>
      </c>
      <c r="J2471" s="115" t="str">
        <f t="shared" si="419"/>
        <v/>
      </c>
      <c r="K2471" s="102" t="str">
        <f>IF(A2471&amp;B2471="","",VLOOKUP(A2471&amp;B2471,INSUMOS!C:G,5,0))</f>
        <v/>
      </c>
    </row>
    <row r="2472" spans="1:17" ht="15" x14ac:dyDescent="0.25">
      <c r="A2472" s="109"/>
      <c r="B2472" s="116"/>
      <c r="C2472" s="518" t="str">
        <f>IF(A2472&amp;B2472="","",VLOOKUP(A2472&amp;B2472,INSUMOS!C:G,2,0))</f>
        <v/>
      </c>
      <c r="D2472" s="519"/>
      <c r="E2472" s="117" t="str">
        <f>IF(A2472&amp;B2472="","",VLOOKUP(A2472&amp;B2472,INSUMOS!C:G,3,0))</f>
        <v/>
      </c>
      <c r="F2472" s="118"/>
      <c r="G2472" s="113" t="str">
        <f>IF(A2472&amp;B2472="","",VLOOKUP(A2472&amp;B2472,INSUMOS!C:G,4,0))</f>
        <v/>
      </c>
      <c r="H2472" s="119" t="str">
        <f t="shared" si="417"/>
        <v/>
      </c>
      <c r="I2472" s="119" t="str">
        <f t="shared" si="418"/>
        <v/>
      </c>
      <c r="J2472" s="115" t="str">
        <f t="shared" si="419"/>
        <v/>
      </c>
      <c r="K2472" s="102" t="str">
        <f>IF(A2472&amp;B2472="","",VLOOKUP(A2472&amp;B2472,INSUMOS!C:G,5,0))</f>
        <v/>
      </c>
    </row>
    <row r="2473" spans="1:17" ht="15" x14ac:dyDescent="0.25">
      <c r="A2473" s="109"/>
      <c r="B2473" s="116"/>
      <c r="C2473" s="518" t="str">
        <f>IF(A2473&amp;B2473="","",VLOOKUP(A2473&amp;B2473,INSUMOS!C:G,2,0))</f>
        <v/>
      </c>
      <c r="D2473" s="519"/>
      <c r="E2473" s="117" t="str">
        <f>IF(A2473&amp;B2473="","",VLOOKUP(A2473&amp;B2473,INSUMOS!C:G,3,0))</f>
        <v/>
      </c>
      <c r="F2473" s="118"/>
      <c r="G2473" s="113" t="str">
        <f>IF(A2473&amp;B2473="","",VLOOKUP(A2473&amp;B2473,INSUMOS!C:G,4,0))</f>
        <v/>
      </c>
      <c r="H2473" s="119" t="str">
        <f t="shared" si="417"/>
        <v/>
      </c>
      <c r="I2473" s="119" t="str">
        <f t="shared" si="418"/>
        <v/>
      </c>
      <c r="J2473" s="115" t="str">
        <f t="shared" si="419"/>
        <v/>
      </c>
      <c r="K2473" s="102" t="str">
        <f>IF(A2473&amp;B2473="","",VLOOKUP(A2473&amp;B2473,INSUMOS!C:G,5,0))</f>
        <v/>
      </c>
    </row>
    <row r="2474" spans="1:17" ht="15" x14ac:dyDescent="0.25">
      <c r="A2474" s="120"/>
      <c r="B2474" s="121"/>
      <c r="C2474" s="518" t="str">
        <f>IF(A2474&amp;B2474="","",VLOOKUP(A2474&amp;B2474,INSUMOS!C:G,2,0))</f>
        <v/>
      </c>
      <c r="D2474" s="519"/>
      <c r="E2474" s="117" t="str">
        <f>IF(A2474&amp;B2474="","",VLOOKUP(A2474&amp;B2474,INSUMOS!C:G,3,0))</f>
        <v/>
      </c>
      <c r="F2474" s="118"/>
      <c r="G2474" s="122" t="str">
        <f>IF(A2474&amp;B2474="","",VLOOKUP(A2474&amp;B2474,INSUMOS!C:G,4,0))</f>
        <v/>
      </c>
      <c r="H2474" s="119" t="str">
        <f t="shared" si="417"/>
        <v/>
      </c>
      <c r="I2474" s="119" t="str">
        <f t="shared" si="418"/>
        <v/>
      </c>
      <c r="J2474" s="115" t="str">
        <f t="shared" si="419"/>
        <v/>
      </c>
      <c r="K2474" s="102" t="str">
        <f>IF(A2474&amp;B2474="","",VLOOKUP(A2474&amp;B2474,INSUMOS!C:G,5,0))</f>
        <v/>
      </c>
    </row>
    <row r="2475" spans="1:17" ht="15" x14ac:dyDescent="0.25">
      <c r="A2475" s="120"/>
      <c r="B2475" s="121"/>
      <c r="C2475" s="518" t="str">
        <f>IF(A2475&amp;B2475="","",VLOOKUP(A2475&amp;B2475,INSUMOS!C:G,2,0))</f>
        <v/>
      </c>
      <c r="D2475" s="519"/>
      <c r="E2475" s="117" t="str">
        <f>IF(A2475&amp;B2475="","",VLOOKUP(A2475&amp;B2475,INSUMOS!C:G,3,0))</f>
        <v/>
      </c>
      <c r="F2475" s="118"/>
      <c r="G2475" s="122" t="str">
        <f>IF(A2475&amp;B2475="","",VLOOKUP(A2475&amp;B2475,INSUMOS!C:G,4,0))</f>
        <v/>
      </c>
      <c r="H2475" s="119" t="str">
        <f t="shared" si="417"/>
        <v/>
      </c>
      <c r="I2475" s="119" t="str">
        <f t="shared" si="418"/>
        <v/>
      </c>
      <c r="J2475" s="115" t="str">
        <f t="shared" si="419"/>
        <v/>
      </c>
      <c r="K2475" s="102" t="str">
        <f>IF(A2475&amp;B2475="","",VLOOKUP(A2475&amp;B2475,INSUMOS!C:G,5,0))</f>
        <v/>
      </c>
    </row>
    <row r="2476" spans="1:17" ht="15" x14ac:dyDescent="0.25">
      <c r="A2476" s="120"/>
      <c r="B2476" s="121"/>
      <c r="C2476" s="518" t="str">
        <f>IF(A2476&amp;B2476="","",VLOOKUP(A2476&amp;B2476,INSUMOS!C:G,2,0))</f>
        <v/>
      </c>
      <c r="D2476" s="519"/>
      <c r="E2476" s="117" t="str">
        <f>IF(A2476&amp;B2476="","",VLOOKUP(A2476&amp;B2476,INSUMOS!C:G,3,0))</f>
        <v/>
      </c>
      <c r="F2476" s="118"/>
      <c r="G2476" s="122" t="str">
        <f>IF(A2476&amp;B2476="","",VLOOKUP(A2476&amp;B2476,INSUMOS!C:G,4,0))</f>
        <v/>
      </c>
      <c r="H2476" s="119" t="str">
        <f t="shared" si="417"/>
        <v/>
      </c>
      <c r="I2476" s="119" t="str">
        <f t="shared" si="418"/>
        <v/>
      </c>
      <c r="J2476" s="115" t="str">
        <f t="shared" si="419"/>
        <v/>
      </c>
      <c r="K2476" s="102" t="str">
        <f>IF(A2476&amp;B2476="","",VLOOKUP(A2476&amp;B2476,INSUMOS!C:G,5,0))</f>
        <v/>
      </c>
    </row>
    <row r="2477" spans="1:17" ht="15" x14ac:dyDescent="0.25">
      <c r="A2477" s="123" t="s">
        <v>4399</v>
      </c>
      <c r="B2477" s="542"/>
      <c r="C2477" s="542"/>
      <c r="D2477" s="542"/>
      <c r="E2477" s="542"/>
      <c r="F2477" s="543"/>
      <c r="G2477" s="124" t="s">
        <v>50</v>
      </c>
      <c r="H2477" s="125">
        <f>SUM(H2464:H2476)</f>
        <v>2.2200000000000002</v>
      </c>
      <c r="I2477" s="125">
        <f>SUM(I2464:I2476)</f>
        <v>3.97</v>
      </c>
      <c r="J2477" s="126">
        <f>SUM(J2464:J2476)</f>
        <v>0</v>
      </c>
    </row>
    <row r="2478" spans="1:17" ht="15" x14ac:dyDescent="0.25">
      <c r="A2478" s="127" t="s">
        <v>4400</v>
      </c>
      <c r="B2478" s="128"/>
      <c r="C2478" s="128"/>
      <c r="D2478" s="127" t="s">
        <v>51</v>
      </c>
      <c r="E2478" s="128"/>
      <c r="F2478" s="129"/>
      <c r="G2478" s="130" t="s">
        <v>55</v>
      </c>
      <c r="H2478" s="131" t="s">
        <v>52</v>
      </c>
      <c r="I2478" s="132"/>
      <c r="J2478" s="125">
        <f>SUM(H2477:J2477)</f>
        <v>6.19</v>
      </c>
    </row>
    <row r="2479" spans="1:17" ht="15" x14ac:dyDescent="0.25">
      <c r="A2479" s="313" t="str">
        <f>$I$3</f>
        <v>Carlos Wieck</v>
      </c>
      <c r="B2479" s="133"/>
      <c r="C2479" s="133"/>
      <c r="D2479" s="134"/>
      <c r="E2479" s="133"/>
      <c r="F2479" s="135"/>
      <c r="G2479" s="522">
        <f>$J$5</f>
        <v>43040</v>
      </c>
      <c r="H2479" s="136" t="s">
        <v>53</v>
      </c>
      <c r="I2479" s="137"/>
      <c r="J2479" s="125">
        <f>TRUNC(I2479*J2478,2)</f>
        <v>0</v>
      </c>
    </row>
    <row r="2480" spans="1:17" ht="15" x14ac:dyDescent="0.25">
      <c r="A2480" s="314"/>
      <c r="B2480" s="139"/>
      <c r="C2480" s="139"/>
      <c r="D2480" s="138"/>
      <c r="E2480" s="139"/>
      <c r="F2480" s="140"/>
      <c r="G2480" s="523"/>
      <c r="H2480" s="141" t="s">
        <v>54</v>
      </c>
      <c r="I2480" s="142"/>
      <c r="J2480" s="143">
        <f>J2479+J2478</f>
        <v>6.19</v>
      </c>
      <c r="L2480" s="102" t="str">
        <f>A2461</f>
        <v>COMPOSIÇÃO</v>
      </c>
      <c r="M2480" s="144" t="str">
        <f>B2461</f>
        <v>FF-105</v>
      </c>
      <c r="N2480" s="102" t="str">
        <f>L2480&amp;M2480</f>
        <v>COMPOSIÇÃOFF-105</v>
      </c>
      <c r="O2480" s="103" t="str">
        <f>D2460</f>
        <v>Redução excentrica de PVC série R diam. 75 para 50mm, fornecimento e instalação</v>
      </c>
      <c r="P2480" s="145" t="str">
        <f>J2461</f>
        <v>un</v>
      </c>
      <c r="Q2480" s="145">
        <f>J2480</f>
        <v>6.19</v>
      </c>
    </row>
    <row r="2481" spans="1:11" ht="15" customHeight="1" x14ac:dyDescent="0.25">
      <c r="A2481" s="524" t="s">
        <v>40</v>
      </c>
      <c r="B2481" s="525"/>
      <c r="C2481" s="104" t="s">
        <v>41</v>
      </c>
      <c r="D2481" s="526" t="str">
        <f>IF(B2482="","",VLOOKUP(B2482,SERVIÇOS!B:E,3,0))</f>
        <v>Luva de PVC série R diam. 100mm, fornecimento e instalação</v>
      </c>
      <c r="E2481" s="526"/>
      <c r="F2481" s="526"/>
      <c r="G2481" s="526"/>
      <c r="H2481" s="526"/>
      <c r="I2481" s="527"/>
      <c r="J2481" s="105" t="s">
        <v>42</v>
      </c>
    </row>
    <row r="2482" spans="1:11" ht="15" x14ac:dyDescent="0.25">
      <c r="A2482" s="230" t="s">
        <v>4715</v>
      </c>
      <c r="B2482" s="230" t="s">
        <v>5274</v>
      </c>
      <c r="C2482" s="106"/>
      <c r="D2482" s="528"/>
      <c r="E2482" s="528"/>
      <c r="F2482" s="528"/>
      <c r="G2482" s="528"/>
      <c r="H2482" s="528"/>
      <c r="I2482" s="529"/>
      <c r="J2482" s="107" t="str">
        <f>IF(B2482="","",VLOOKUP(B2482,SERVIÇOS!B:E,4,0))</f>
        <v>un</v>
      </c>
    </row>
    <row r="2483" spans="1:11" ht="15" x14ac:dyDescent="0.25">
      <c r="A2483" s="530" t="s">
        <v>4397</v>
      </c>
      <c r="B2483" s="531" t="s">
        <v>11</v>
      </c>
      <c r="C2483" s="533" t="s">
        <v>43</v>
      </c>
      <c r="D2483" s="534"/>
      <c r="E2483" s="530" t="s">
        <v>13</v>
      </c>
      <c r="F2483" s="530" t="s">
        <v>44</v>
      </c>
      <c r="G2483" s="538" t="s">
        <v>45</v>
      </c>
      <c r="H2483" s="108" t="s">
        <v>46</v>
      </c>
      <c r="I2483" s="108"/>
      <c r="J2483" s="108"/>
    </row>
    <row r="2484" spans="1:11" ht="15" x14ac:dyDescent="0.25">
      <c r="A2484" s="530"/>
      <c r="B2484" s="532"/>
      <c r="C2484" s="535"/>
      <c r="D2484" s="536"/>
      <c r="E2484" s="537"/>
      <c r="F2484" s="537"/>
      <c r="G2484" s="539"/>
      <c r="H2484" s="108" t="s">
        <v>47</v>
      </c>
      <c r="I2484" s="108" t="s">
        <v>48</v>
      </c>
      <c r="J2484" s="108" t="s">
        <v>49</v>
      </c>
    </row>
    <row r="2485" spans="1:11" ht="15" x14ac:dyDescent="0.25">
      <c r="A2485" s="109" t="s">
        <v>4398</v>
      </c>
      <c r="B2485" s="110">
        <v>10119</v>
      </c>
      <c r="C2485" s="540" t="str">
        <f>IF(A2485&amp;B2485="","",VLOOKUP(A2485&amp;B2485,INSUMOS!C:G,2,0))</f>
        <v>Ajudante de encanador</v>
      </c>
      <c r="D2485" s="541"/>
      <c r="E2485" s="111" t="str">
        <f>IF(A2485&amp;B2485="","",VLOOKUP(A2485&amp;B2485,INSUMOS!C:G,3,0))</f>
        <v>h</v>
      </c>
      <c r="F2485" s="112">
        <v>9.5000000000000001E-2</v>
      </c>
      <c r="G2485" s="113">
        <f>IF(A2485&amp;B2485="","",VLOOKUP(A2485&amp;B2485,INSUMOS!C:G,4,0))</f>
        <v>10.985028</v>
      </c>
      <c r="H2485" s="114">
        <f>IF(K2485="MO",TRUNC(F2485*G2485,2),"")</f>
        <v>1.04</v>
      </c>
      <c r="I2485" s="114" t="str">
        <f>IF(K2485="MT",TRUNC(F2485*G2485,2),"")</f>
        <v/>
      </c>
      <c r="J2485" s="115" t="str">
        <f>IF(K2485="EQ",TRUNC(F2485*G2485,2),"")</f>
        <v/>
      </c>
      <c r="K2485" s="102" t="str">
        <f>IF(A2485&amp;B2485="","",VLOOKUP(A2485&amp;B2485,INSUMOS!C:G,5,0))</f>
        <v>MO</v>
      </c>
    </row>
    <row r="2486" spans="1:11" ht="15" x14ac:dyDescent="0.25">
      <c r="A2486" s="109" t="s">
        <v>4398</v>
      </c>
      <c r="B2486" s="116">
        <v>10118</v>
      </c>
      <c r="C2486" s="518" t="str">
        <f>IF(A2486&amp;B2486="","",VLOOKUP(A2486&amp;B2486,INSUMOS!C:G,2,0))</f>
        <v xml:space="preserve">Encanador </v>
      </c>
      <c r="D2486" s="519"/>
      <c r="E2486" s="117" t="str">
        <f>IF(A2486&amp;B2486="","",VLOOKUP(A2486&amp;B2486,INSUMOS!C:G,3,0))</f>
        <v>h</v>
      </c>
      <c r="F2486" s="118">
        <v>9.5000000000000001E-2</v>
      </c>
      <c r="G2486" s="113">
        <f>IF(A2486&amp;B2486="","",VLOOKUP(A2486&amp;B2486,INSUMOS!C:G,4,0))</f>
        <v>16.906036</v>
      </c>
      <c r="H2486" s="119">
        <f t="shared" ref="H2486:H2497" si="420">IF(K2486="MO",TRUNC(F2486*G2486,2),"")</f>
        <v>1.6</v>
      </c>
      <c r="I2486" s="119" t="str">
        <f t="shared" ref="I2486:I2497" si="421">IF(K2486="MT",TRUNC(F2486*G2486,2),"")</f>
        <v/>
      </c>
      <c r="J2486" s="115" t="str">
        <f t="shared" ref="J2486:J2497" si="422">IF(K2486="EQ",TRUNC(F2486*G2486,2),"")</f>
        <v/>
      </c>
      <c r="K2486" s="102" t="str">
        <f>IF(A2486&amp;B2486="","",VLOOKUP(A2486&amp;B2486,INSUMOS!C:G,5,0))</f>
        <v>MO</v>
      </c>
    </row>
    <row r="2487" spans="1:11" ht="15" x14ac:dyDescent="0.25">
      <c r="A2487" s="109" t="s">
        <v>4810</v>
      </c>
      <c r="B2487" s="116">
        <v>301</v>
      </c>
      <c r="C2487" s="518" t="str">
        <f>IF(A2487&amp;B2487="","",VLOOKUP(A2487&amp;B2487,INSUMOS!C:G,2,0))</f>
        <v>Anel de borracha para tubo de esgoto predial, DN 100 mm (NBR 5688)</v>
      </c>
      <c r="D2487" s="519"/>
      <c r="E2487" s="117" t="str">
        <f>IF(A2487&amp;B2487="","",VLOOKUP(A2487&amp;B2487,INSUMOS!C:G,3,0))</f>
        <v>un</v>
      </c>
      <c r="F2487" s="118">
        <v>1</v>
      </c>
      <c r="G2487" s="113">
        <f>IF(A2487&amp;B2487="","",VLOOKUP(A2487&amp;B2487,INSUMOS!C:G,4,0))</f>
        <v>1.48</v>
      </c>
      <c r="H2487" s="119" t="str">
        <f t="shared" si="420"/>
        <v/>
      </c>
      <c r="I2487" s="119">
        <f t="shared" si="421"/>
        <v>1.48</v>
      </c>
      <c r="J2487" s="115" t="str">
        <f t="shared" si="422"/>
        <v/>
      </c>
      <c r="K2487" s="102" t="str">
        <f>IF(A2487&amp;B2487="","",VLOOKUP(A2487&amp;B2487,INSUMOS!C:G,5,0))</f>
        <v>MT</v>
      </c>
    </row>
    <row r="2488" spans="1:11" ht="15" x14ac:dyDescent="0.25">
      <c r="A2488" s="109" t="s">
        <v>4810</v>
      </c>
      <c r="B2488" s="116">
        <v>20078</v>
      </c>
      <c r="C2488" s="518" t="str">
        <f>IF(A2488&amp;B2488="","",VLOOKUP(A2488&amp;B2488,INSUMOS!C:G,2,0))</f>
        <v>Pasta lubrificante para uso em tubos de PVC com anel de borracha (pote de 400G)</v>
      </c>
      <c r="D2488" s="519"/>
      <c r="E2488" s="117" t="str">
        <f>IF(A2488&amp;B2488="","",VLOOKUP(A2488&amp;B2488,INSUMOS!C:G,3,0))</f>
        <v>un</v>
      </c>
      <c r="F2488" s="118">
        <v>4.5999999999999999E-2</v>
      </c>
      <c r="G2488" s="113">
        <f>IF(A2488&amp;B2488="","",VLOOKUP(A2488&amp;B2488,INSUMOS!C:G,4,0))</f>
        <v>13.33</v>
      </c>
      <c r="H2488" s="119" t="str">
        <f t="shared" si="420"/>
        <v/>
      </c>
      <c r="I2488" s="119">
        <f t="shared" si="421"/>
        <v>0.61</v>
      </c>
      <c r="J2488" s="115" t="str">
        <f t="shared" si="422"/>
        <v/>
      </c>
      <c r="K2488" s="102" t="str">
        <f>IF(A2488&amp;B2488="","",VLOOKUP(A2488&amp;B2488,INSUMOS!C:G,5,0))</f>
        <v>MT</v>
      </c>
    </row>
    <row r="2489" spans="1:11" ht="15" x14ac:dyDescent="0.25">
      <c r="A2489" s="109" t="s">
        <v>4810</v>
      </c>
      <c r="B2489" s="116">
        <v>20170</v>
      </c>
      <c r="C2489" s="518" t="str">
        <f>IF(A2489&amp;B2489="","",VLOOKUP(A2489&amp;B2489,INSUMOS!C:G,2,0))</f>
        <v>Luva simples PVC série R p/Esg predual 100mm</v>
      </c>
      <c r="D2489" s="519"/>
      <c r="E2489" s="117" t="str">
        <f>IF(A2489&amp;B2489="","",VLOOKUP(A2489&amp;B2489,INSUMOS!C:G,3,0))</f>
        <v>un</v>
      </c>
      <c r="F2489" s="118">
        <v>1</v>
      </c>
      <c r="G2489" s="113">
        <f>IF(A2489&amp;B2489="","",VLOOKUP(A2489&amp;B2489,INSUMOS!C:G,4,0))</f>
        <v>8.67</v>
      </c>
      <c r="H2489" s="119" t="str">
        <f t="shared" si="420"/>
        <v/>
      </c>
      <c r="I2489" s="119">
        <f t="shared" si="421"/>
        <v>8.67</v>
      </c>
      <c r="J2489" s="115" t="str">
        <f t="shared" si="422"/>
        <v/>
      </c>
      <c r="K2489" s="102" t="str">
        <f>IF(A2489&amp;B2489="","",VLOOKUP(A2489&amp;B2489,INSUMOS!C:G,5,0))</f>
        <v>MT</v>
      </c>
    </row>
    <row r="2490" spans="1:11" ht="15" x14ac:dyDescent="0.25">
      <c r="A2490" s="109"/>
      <c r="B2490" s="116"/>
      <c r="C2490" s="518" t="str">
        <f>IF(A2490&amp;B2490="","",VLOOKUP(A2490&amp;B2490,INSUMOS!C:G,2,0))</f>
        <v/>
      </c>
      <c r="D2490" s="519"/>
      <c r="E2490" s="117" t="str">
        <f>IF(A2490&amp;B2490="","",VLOOKUP(A2490&amp;B2490,INSUMOS!C:G,3,0))</f>
        <v/>
      </c>
      <c r="F2490" s="118"/>
      <c r="G2490" s="113" t="str">
        <f>IF(A2490&amp;B2490="","",VLOOKUP(A2490&amp;B2490,INSUMOS!C:G,4,0))</f>
        <v/>
      </c>
      <c r="H2490" s="119" t="str">
        <f t="shared" si="420"/>
        <v/>
      </c>
      <c r="I2490" s="119" t="str">
        <f t="shared" si="421"/>
        <v/>
      </c>
      <c r="J2490" s="115" t="str">
        <f t="shared" si="422"/>
        <v/>
      </c>
      <c r="K2490" s="102" t="str">
        <f>IF(A2490&amp;B2490="","",VLOOKUP(A2490&amp;B2490,INSUMOS!C:G,5,0))</f>
        <v/>
      </c>
    </row>
    <row r="2491" spans="1:11" ht="15" x14ac:dyDescent="0.25">
      <c r="A2491" s="109"/>
      <c r="B2491" s="116"/>
      <c r="C2491" s="518" t="str">
        <f>IF(A2491&amp;B2491="","",VLOOKUP(A2491&amp;B2491,INSUMOS!C:G,2,0))</f>
        <v/>
      </c>
      <c r="D2491" s="519"/>
      <c r="E2491" s="117" t="str">
        <f>IF(A2491&amp;B2491="","",VLOOKUP(A2491&amp;B2491,INSUMOS!C:G,3,0))</f>
        <v/>
      </c>
      <c r="F2491" s="118"/>
      <c r="G2491" s="113" t="str">
        <f>IF(A2491&amp;B2491="","",VLOOKUP(A2491&amp;B2491,INSUMOS!C:G,4,0))</f>
        <v/>
      </c>
      <c r="H2491" s="119" t="str">
        <f t="shared" si="420"/>
        <v/>
      </c>
      <c r="I2491" s="119" t="str">
        <f t="shared" si="421"/>
        <v/>
      </c>
      <c r="J2491" s="115" t="str">
        <f t="shared" si="422"/>
        <v/>
      </c>
      <c r="K2491" s="102" t="str">
        <f>IF(A2491&amp;B2491="","",VLOOKUP(A2491&amp;B2491,INSUMOS!C:G,5,0))</f>
        <v/>
      </c>
    </row>
    <row r="2492" spans="1:11" ht="15" x14ac:dyDescent="0.25">
      <c r="A2492" s="109"/>
      <c r="B2492" s="116"/>
      <c r="C2492" s="518" t="str">
        <f>IF(A2492&amp;B2492="","",VLOOKUP(A2492&amp;B2492,INSUMOS!C:G,2,0))</f>
        <v/>
      </c>
      <c r="D2492" s="519"/>
      <c r="E2492" s="117" t="str">
        <f>IF(A2492&amp;B2492="","",VLOOKUP(A2492&amp;B2492,INSUMOS!C:G,3,0))</f>
        <v/>
      </c>
      <c r="F2492" s="118"/>
      <c r="G2492" s="113" t="str">
        <f>IF(A2492&amp;B2492="","",VLOOKUP(A2492&amp;B2492,INSUMOS!C:G,4,0))</f>
        <v/>
      </c>
      <c r="H2492" s="119" t="str">
        <f t="shared" si="420"/>
        <v/>
      </c>
      <c r="I2492" s="119" t="str">
        <f t="shared" si="421"/>
        <v/>
      </c>
      <c r="J2492" s="115" t="str">
        <f t="shared" si="422"/>
        <v/>
      </c>
      <c r="K2492" s="102" t="str">
        <f>IF(A2492&amp;B2492="","",VLOOKUP(A2492&amp;B2492,INSUMOS!C:G,5,0))</f>
        <v/>
      </c>
    </row>
    <row r="2493" spans="1:11" ht="15" x14ac:dyDescent="0.25">
      <c r="A2493" s="109"/>
      <c r="B2493" s="116"/>
      <c r="C2493" s="518" t="str">
        <f>IF(A2493&amp;B2493="","",VLOOKUP(A2493&amp;B2493,INSUMOS!C:G,2,0))</f>
        <v/>
      </c>
      <c r="D2493" s="519"/>
      <c r="E2493" s="117" t="str">
        <f>IF(A2493&amp;B2493="","",VLOOKUP(A2493&amp;B2493,INSUMOS!C:G,3,0))</f>
        <v/>
      </c>
      <c r="F2493" s="118"/>
      <c r="G2493" s="113" t="str">
        <f>IF(A2493&amp;B2493="","",VLOOKUP(A2493&amp;B2493,INSUMOS!C:G,4,0))</f>
        <v/>
      </c>
      <c r="H2493" s="119" t="str">
        <f t="shared" si="420"/>
        <v/>
      </c>
      <c r="I2493" s="119" t="str">
        <f t="shared" si="421"/>
        <v/>
      </c>
      <c r="J2493" s="115" t="str">
        <f t="shared" si="422"/>
        <v/>
      </c>
      <c r="K2493" s="102" t="str">
        <f>IF(A2493&amp;B2493="","",VLOOKUP(A2493&amp;B2493,INSUMOS!C:G,5,0))</f>
        <v/>
      </c>
    </row>
    <row r="2494" spans="1:11" ht="15" x14ac:dyDescent="0.25">
      <c r="A2494" s="109"/>
      <c r="B2494" s="116"/>
      <c r="C2494" s="518" t="str">
        <f>IF(A2494&amp;B2494="","",VLOOKUP(A2494&amp;B2494,INSUMOS!C:G,2,0))</f>
        <v/>
      </c>
      <c r="D2494" s="519"/>
      <c r="E2494" s="117" t="str">
        <f>IF(A2494&amp;B2494="","",VLOOKUP(A2494&amp;B2494,INSUMOS!C:G,3,0))</f>
        <v/>
      </c>
      <c r="F2494" s="118"/>
      <c r="G2494" s="113" t="str">
        <f>IF(A2494&amp;B2494="","",VLOOKUP(A2494&amp;B2494,INSUMOS!C:G,4,0))</f>
        <v/>
      </c>
      <c r="H2494" s="119" t="str">
        <f t="shared" si="420"/>
        <v/>
      </c>
      <c r="I2494" s="119" t="str">
        <f t="shared" si="421"/>
        <v/>
      </c>
      <c r="J2494" s="115" t="str">
        <f t="shared" si="422"/>
        <v/>
      </c>
      <c r="K2494" s="102" t="str">
        <f>IF(A2494&amp;B2494="","",VLOOKUP(A2494&amp;B2494,INSUMOS!C:G,5,0))</f>
        <v/>
      </c>
    </row>
    <row r="2495" spans="1:11" ht="15" x14ac:dyDescent="0.25">
      <c r="A2495" s="120"/>
      <c r="B2495" s="121"/>
      <c r="C2495" s="518" t="str">
        <f>IF(A2495&amp;B2495="","",VLOOKUP(A2495&amp;B2495,INSUMOS!C:G,2,0))</f>
        <v/>
      </c>
      <c r="D2495" s="519"/>
      <c r="E2495" s="117" t="str">
        <f>IF(A2495&amp;B2495="","",VLOOKUP(A2495&amp;B2495,INSUMOS!C:G,3,0))</f>
        <v/>
      </c>
      <c r="F2495" s="118"/>
      <c r="G2495" s="122" t="str">
        <f>IF(A2495&amp;B2495="","",VLOOKUP(A2495&amp;B2495,INSUMOS!C:G,4,0))</f>
        <v/>
      </c>
      <c r="H2495" s="119" t="str">
        <f t="shared" si="420"/>
        <v/>
      </c>
      <c r="I2495" s="119" t="str">
        <f t="shared" si="421"/>
        <v/>
      </c>
      <c r="J2495" s="115" t="str">
        <f t="shared" si="422"/>
        <v/>
      </c>
      <c r="K2495" s="102" t="str">
        <f>IF(A2495&amp;B2495="","",VLOOKUP(A2495&amp;B2495,INSUMOS!C:G,5,0))</f>
        <v/>
      </c>
    </row>
    <row r="2496" spans="1:11" ht="15" x14ac:dyDescent="0.25">
      <c r="A2496" s="120"/>
      <c r="B2496" s="121"/>
      <c r="C2496" s="518" t="str">
        <f>IF(A2496&amp;B2496="","",VLOOKUP(A2496&amp;B2496,INSUMOS!C:G,2,0))</f>
        <v/>
      </c>
      <c r="D2496" s="519"/>
      <c r="E2496" s="117" t="str">
        <f>IF(A2496&amp;B2496="","",VLOOKUP(A2496&amp;B2496,INSUMOS!C:G,3,0))</f>
        <v/>
      </c>
      <c r="F2496" s="118"/>
      <c r="G2496" s="122" t="str">
        <f>IF(A2496&amp;B2496="","",VLOOKUP(A2496&amp;B2496,INSUMOS!C:G,4,0))</f>
        <v/>
      </c>
      <c r="H2496" s="119" t="str">
        <f t="shared" si="420"/>
        <v/>
      </c>
      <c r="I2496" s="119" t="str">
        <f t="shared" si="421"/>
        <v/>
      </c>
      <c r="J2496" s="115" t="str">
        <f t="shared" si="422"/>
        <v/>
      </c>
      <c r="K2496" s="102" t="str">
        <f>IF(A2496&amp;B2496="","",VLOOKUP(A2496&amp;B2496,INSUMOS!C:G,5,0))</f>
        <v/>
      </c>
    </row>
    <row r="2497" spans="1:17" ht="15" x14ac:dyDescent="0.25">
      <c r="A2497" s="120"/>
      <c r="B2497" s="121"/>
      <c r="C2497" s="518" t="str">
        <f>IF(A2497&amp;B2497="","",VLOOKUP(A2497&amp;B2497,INSUMOS!C:G,2,0))</f>
        <v/>
      </c>
      <c r="D2497" s="519"/>
      <c r="E2497" s="117" t="str">
        <f>IF(A2497&amp;B2497="","",VLOOKUP(A2497&amp;B2497,INSUMOS!C:G,3,0))</f>
        <v/>
      </c>
      <c r="F2497" s="118"/>
      <c r="G2497" s="122" t="str">
        <f>IF(A2497&amp;B2497="","",VLOOKUP(A2497&amp;B2497,INSUMOS!C:G,4,0))</f>
        <v/>
      </c>
      <c r="H2497" s="119" t="str">
        <f t="shared" si="420"/>
        <v/>
      </c>
      <c r="I2497" s="119" t="str">
        <f t="shared" si="421"/>
        <v/>
      </c>
      <c r="J2497" s="115" t="str">
        <f t="shared" si="422"/>
        <v/>
      </c>
      <c r="K2497" s="102" t="str">
        <f>IF(A2497&amp;B2497="","",VLOOKUP(A2497&amp;B2497,INSUMOS!C:G,5,0))</f>
        <v/>
      </c>
    </row>
    <row r="2498" spans="1:17" ht="15" x14ac:dyDescent="0.25">
      <c r="A2498" s="123" t="s">
        <v>4399</v>
      </c>
      <c r="B2498" s="542" t="s">
        <v>5328</v>
      </c>
      <c r="C2498" s="542"/>
      <c r="D2498" s="542"/>
      <c r="E2498" s="542"/>
      <c r="F2498" s="543"/>
      <c r="G2498" s="124" t="s">
        <v>50</v>
      </c>
      <c r="H2498" s="125">
        <f>SUM(H2485:H2497)</f>
        <v>2.64</v>
      </c>
      <c r="I2498" s="125">
        <f>SUM(I2485:I2497)</f>
        <v>10.76</v>
      </c>
      <c r="J2498" s="126">
        <f>SUM(J2485:J2497)</f>
        <v>0</v>
      </c>
    </row>
    <row r="2499" spans="1:17" ht="15" x14ac:dyDescent="0.25">
      <c r="A2499" s="127" t="s">
        <v>4400</v>
      </c>
      <c r="B2499" s="128"/>
      <c r="C2499" s="128"/>
      <c r="D2499" s="127" t="s">
        <v>51</v>
      </c>
      <c r="E2499" s="128"/>
      <c r="F2499" s="129"/>
      <c r="G2499" s="130" t="s">
        <v>55</v>
      </c>
      <c r="H2499" s="131" t="s">
        <v>52</v>
      </c>
      <c r="I2499" s="132"/>
      <c r="J2499" s="125">
        <f>SUM(H2498:J2498)</f>
        <v>13.4</v>
      </c>
    </row>
    <row r="2500" spans="1:17" ht="15" x14ac:dyDescent="0.25">
      <c r="A2500" s="313" t="str">
        <f>$I$3</f>
        <v>Carlos Wieck</v>
      </c>
      <c r="B2500" s="133"/>
      <c r="C2500" s="133"/>
      <c r="D2500" s="134"/>
      <c r="E2500" s="133"/>
      <c r="F2500" s="135"/>
      <c r="G2500" s="522">
        <f>$J$5</f>
        <v>43040</v>
      </c>
      <c r="H2500" s="136" t="s">
        <v>53</v>
      </c>
      <c r="I2500" s="137"/>
      <c r="J2500" s="125">
        <f>TRUNC(I2500*J2499,2)</f>
        <v>0</v>
      </c>
    </row>
    <row r="2501" spans="1:17" ht="15" x14ac:dyDescent="0.25">
      <c r="A2501" s="314"/>
      <c r="B2501" s="139"/>
      <c r="C2501" s="139"/>
      <c r="D2501" s="138"/>
      <c r="E2501" s="139"/>
      <c r="F2501" s="140"/>
      <c r="G2501" s="523"/>
      <c r="H2501" s="141" t="s">
        <v>54</v>
      </c>
      <c r="I2501" s="142"/>
      <c r="J2501" s="143">
        <f>J2500+J2499</f>
        <v>13.4</v>
      </c>
      <c r="L2501" s="102" t="str">
        <f>A2482</f>
        <v>COMPOSIÇÃO</v>
      </c>
      <c r="M2501" s="144" t="str">
        <f>B2482</f>
        <v>FF-106</v>
      </c>
      <c r="N2501" s="102" t="str">
        <f>L2501&amp;M2501</f>
        <v>COMPOSIÇÃOFF-106</v>
      </c>
      <c r="O2501" s="103" t="str">
        <f>D2481</f>
        <v>Luva de PVC série R diam. 100mm, fornecimento e instalação</v>
      </c>
      <c r="P2501" s="145" t="str">
        <f>J2482</f>
        <v>un</v>
      </c>
      <c r="Q2501" s="145">
        <f>J2501</f>
        <v>13.4</v>
      </c>
    </row>
    <row r="2502" spans="1:17" ht="15" customHeight="1" x14ac:dyDescent="0.25">
      <c r="A2502" s="524" t="s">
        <v>40</v>
      </c>
      <c r="B2502" s="525"/>
      <c r="C2502" s="104" t="s">
        <v>41</v>
      </c>
      <c r="D2502" s="526" t="str">
        <f>IF(B2503="","",VLOOKUP(B2503,SERVIÇOS!B:E,3,0))</f>
        <v>Luva de PVC série R diam. 50mm, fornecimento e instalação</v>
      </c>
      <c r="E2502" s="526"/>
      <c r="F2502" s="526"/>
      <c r="G2502" s="526"/>
      <c r="H2502" s="526"/>
      <c r="I2502" s="527"/>
      <c r="J2502" s="105" t="s">
        <v>42</v>
      </c>
    </row>
    <row r="2503" spans="1:17" ht="15" x14ac:dyDescent="0.25">
      <c r="A2503" s="230" t="s">
        <v>4715</v>
      </c>
      <c r="B2503" s="230" t="s">
        <v>5275</v>
      </c>
      <c r="C2503" s="106"/>
      <c r="D2503" s="528"/>
      <c r="E2503" s="528"/>
      <c r="F2503" s="528"/>
      <c r="G2503" s="528"/>
      <c r="H2503" s="528"/>
      <c r="I2503" s="529"/>
      <c r="J2503" s="107" t="str">
        <f>IF(B2503="","",VLOOKUP(B2503,SERVIÇOS!B:E,4,0))</f>
        <v>un</v>
      </c>
    </row>
    <row r="2504" spans="1:17" ht="15" x14ac:dyDescent="0.25">
      <c r="A2504" s="530" t="s">
        <v>4397</v>
      </c>
      <c r="B2504" s="531" t="s">
        <v>11</v>
      </c>
      <c r="C2504" s="533" t="s">
        <v>43</v>
      </c>
      <c r="D2504" s="534"/>
      <c r="E2504" s="530" t="s">
        <v>13</v>
      </c>
      <c r="F2504" s="530" t="s">
        <v>44</v>
      </c>
      <c r="G2504" s="538" t="s">
        <v>45</v>
      </c>
      <c r="H2504" s="108" t="s">
        <v>46</v>
      </c>
      <c r="I2504" s="108"/>
      <c r="J2504" s="108"/>
    </row>
    <row r="2505" spans="1:17" ht="15" x14ac:dyDescent="0.25">
      <c r="A2505" s="530"/>
      <c r="B2505" s="532"/>
      <c r="C2505" s="535"/>
      <c r="D2505" s="536"/>
      <c r="E2505" s="537"/>
      <c r="F2505" s="537"/>
      <c r="G2505" s="539"/>
      <c r="H2505" s="108" t="s">
        <v>47</v>
      </c>
      <c r="I2505" s="108" t="s">
        <v>48</v>
      </c>
      <c r="J2505" s="108" t="s">
        <v>49</v>
      </c>
    </row>
    <row r="2506" spans="1:17" ht="15" x14ac:dyDescent="0.25">
      <c r="A2506" s="109" t="s">
        <v>4398</v>
      </c>
      <c r="B2506" s="110">
        <v>10119</v>
      </c>
      <c r="C2506" s="540" t="str">
        <f>IF(A2506&amp;B2506="","",VLOOKUP(A2506&amp;B2506,INSUMOS!C:G,2,0))</f>
        <v>Ajudante de encanador</v>
      </c>
      <c r="D2506" s="541"/>
      <c r="E2506" s="111" t="str">
        <f>IF(A2506&amp;B2506="","",VLOOKUP(A2506&amp;B2506,INSUMOS!C:G,3,0))</f>
        <v>h</v>
      </c>
      <c r="F2506" s="112">
        <v>4.4999999999999998E-2</v>
      </c>
      <c r="G2506" s="113">
        <f>IF(A2506&amp;B2506="","",VLOOKUP(A2506&amp;B2506,INSUMOS!C:G,4,0))</f>
        <v>10.985028</v>
      </c>
      <c r="H2506" s="114">
        <f>IF(K2506="MO",TRUNC(F2506*G2506,2),"")</f>
        <v>0.49</v>
      </c>
      <c r="I2506" s="114" t="str">
        <f>IF(K2506="MT",TRUNC(F2506*G2506,2),"")</f>
        <v/>
      </c>
      <c r="J2506" s="115" t="str">
        <f>IF(K2506="EQ",TRUNC(F2506*G2506,2),"")</f>
        <v/>
      </c>
      <c r="K2506" s="102" t="str">
        <f>IF(A2506&amp;B2506="","",VLOOKUP(A2506&amp;B2506,INSUMOS!C:G,5,0))</f>
        <v>MO</v>
      </c>
    </row>
    <row r="2507" spans="1:17" ht="15" x14ac:dyDescent="0.25">
      <c r="A2507" s="109" t="s">
        <v>4398</v>
      </c>
      <c r="B2507" s="116">
        <v>10118</v>
      </c>
      <c r="C2507" s="518" t="str">
        <f>IF(A2507&amp;B2507="","",VLOOKUP(A2507&amp;B2507,INSUMOS!C:G,2,0))</f>
        <v xml:space="preserve">Encanador </v>
      </c>
      <c r="D2507" s="519"/>
      <c r="E2507" s="117" t="str">
        <f>IF(A2507&amp;B2507="","",VLOOKUP(A2507&amp;B2507,INSUMOS!C:G,3,0))</f>
        <v>h</v>
      </c>
      <c r="F2507" s="118">
        <v>4.4999999999999998E-2</v>
      </c>
      <c r="G2507" s="113">
        <f>IF(A2507&amp;B2507="","",VLOOKUP(A2507&amp;B2507,INSUMOS!C:G,4,0))</f>
        <v>16.906036</v>
      </c>
      <c r="H2507" s="119">
        <f t="shared" ref="H2507:H2518" si="423">IF(K2507="MO",TRUNC(F2507*G2507,2),"")</f>
        <v>0.76</v>
      </c>
      <c r="I2507" s="119" t="str">
        <f t="shared" ref="I2507:I2518" si="424">IF(K2507="MT",TRUNC(F2507*G2507,2),"")</f>
        <v/>
      </c>
      <c r="J2507" s="115" t="str">
        <f t="shared" ref="J2507:J2518" si="425">IF(K2507="EQ",TRUNC(F2507*G2507,2),"")</f>
        <v/>
      </c>
      <c r="K2507" s="102" t="str">
        <f>IF(A2507&amp;B2507="","",VLOOKUP(A2507&amp;B2507,INSUMOS!C:G,5,0))</f>
        <v>MO</v>
      </c>
    </row>
    <row r="2508" spans="1:17" ht="15" x14ac:dyDescent="0.25">
      <c r="A2508" s="109" t="s">
        <v>4810</v>
      </c>
      <c r="B2508" s="116">
        <v>296</v>
      </c>
      <c r="C2508" s="518" t="str">
        <f>IF(A2508&amp;B2508="","",VLOOKUP(A2508&amp;B2508,INSUMOS!C:G,2,0))</f>
        <v>Anel de borracha para tubo de esgoto predial, DN 50 mm (NBR 5688)</v>
      </c>
      <c r="D2508" s="519"/>
      <c r="E2508" s="117" t="str">
        <f>IF(A2508&amp;B2508="","",VLOOKUP(A2508&amp;B2508,INSUMOS!C:G,3,0))</f>
        <v>un</v>
      </c>
      <c r="F2508" s="118">
        <v>1</v>
      </c>
      <c r="G2508" s="113">
        <f>IF(A2508&amp;B2508="","",VLOOKUP(A2508&amp;B2508,INSUMOS!C:G,4,0))</f>
        <v>0.83</v>
      </c>
      <c r="H2508" s="119" t="str">
        <f t="shared" si="423"/>
        <v/>
      </c>
      <c r="I2508" s="119">
        <f t="shared" si="424"/>
        <v>0.83</v>
      </c>
      <c r="J2508" s="115" t="str">
        <f t="shared" si="425"/>
        <v/>
      </c>
      <c r="K2508" s="102" t="str">
        <f>IF(A2508&amp;B2508="","",VLOOKUP(A2508&amp;B2508,INSUMOS!C:G,5,0))</f>
        <v>MT</v>
      </c>
    </row>
    <row r="2509" spans="1:17" ht="15" x14ac:dyDescent="0.25">
      <c r="A2509" s="109" t="s">
        <v>4810</v>
      </c>
      <c r="B2509" s="116">
        <v>20078</v>
      </c>
      <c r="C2509" s="518" t="str">
        <f>IF(A2509&amp;B2509="","",VLOOKUP(A2509&amp;B2509,INSUMOS!C:G,2,0))</f>
        <v>Pasta lubrificante para uso em tubos de PVC com anel de borracha (pote de 400G)</v>
      </c>
      <c r="D2509" s="519"/>
      <c r="E2509" s="117" t="str">
        <f>IF(A2509&amp;B2509="","",VLOOKUP(A2509&amp;B2509,INSUMOS!C:G,3,0))</f>
        <v>un</v>
      </c>
      <c r="F2509" s="118">
        <v>0.02</v>
      </c>
      <c r="G2509" s="113">
        <f>IF(A2509&amp;B2509="","",VLOOKUP(A2509&amp;B2509,INSUMOS!C:G,4,0))</f>
        <v>13.33</v>
      </c>
      <c r="H2509" s="119" t="str">
        <f t="shared" si="423"/>
        <v/>
      </c>
      <c r="I2509" s="119">
        <f t="shared" si="424"/>
        <v>0.26</v>
      </c>
      <c r="J2509" s="115" t="str">
        <f t="shared" si="425"/>
        <v/>
      </c>
      <c r="K2509" s="102" t="str">
        <f>IF(A2509&amp;B2509="","",VLOOKUP(A2509&amp;B2509,INSUMOS!C:G,5,0))</f>
        <v>MT</v>
      </c>
    </row>
    <row r="2510" spans="1:17" ht="15" x14ac:dyDescent="0.25">
      <c r="A2510" s="109" t="s">
        <v>4810</v>
      </c>
      <c r="B2510" s="116">
        <v>20168</v>
      </c>
      <c r="C2510" s="518" t="str">
        <f>IF(A2510&amp;B2510="","",VLOOKUP(A2510&amp;B2510,INSUMOS!C:G,2,0))</f>
        <v>Luva simples PVC série R p/Esg predual 50mm</v>
      </c>
      <c r="D2510" s="519"/>
      <c r="E2510" s="117" t="str">
        <f>IF(A2510&amp;B2510="","",VLOOKUP(A2510&amp;B2510,INSUMOS!C:G,3,0))</f>
        <v>un</v>
      </c>
      <c r="F2510" s="118">
        <v>1</v>
      </c>
      <c r="G2510" s="113">
        <f>IF(A2510&amp;B2510="","",VLOOKUP(A2510&amp;B2510,INSUMOS!C:G,4,0))</f>
        <v>4.7</v>
      </c>
      <c r="H2510" s="119" t="str">
        <f t="shared" si="423"/>
        <v/>
      </c>
      <c r="I2510" s="119">
        <f t="shared" si="424"/>
        <v>4.7</v>
      </c>
      <c r="J2510" s="115" t="str">
        <f t="shared" si="425"/>
        <v/>
      </c>
      <c r="K2510" s="102" t="str">
        <f>IF(A2510&amp;B2510="","",VLOOKUP(A2510&amp;B2510,INSUMOS!C:G,5,0))</f>
        <v>MT</v>
      </c>
    </row>
    <row r="2511" spans="1:17" ht="15" x14ac:dyDescent="0.25">
      <c r="A2511" s="109"/>
      <c r="B2511" s="116"/>
      <c r="C2511" s="518" t="str">
        <f>IF(A2511&amp;B2511="","",VLOOKUP(A2511&amp;B2511,INSUMOS!C:G,2,0))</f>
        <v/>
      </c>
      <c r="D2511" s="519"/>
      <c r="E2511" s="117" t="str">
        <f>IF(A2511&amp;B2511="","",VLOOKUP(A2511&amp;B2511,INSUMOS!C:G,3,0))</f>
        <v/>
      </c>
      <c r="F2511" s="118"/>
      <c r="G2511" s="113" t="str">
        <f>IF(A2511&amp;B2511="","",VLOOKUP(A2511&amp;B2511,INSUMOS!C:G,4,0))</f>
        <v/>
      </c>
      <c r="H2511" s="119" t="str">
        <f t="shared" si="423"/>
        <v/>
      </c>
      <c r="I2511" s="119" t="str">
        <f t="shared" si="424"/>
        <v/>
      </c>
      <c r="J2511" s="115" t="str">
        <f t="shared" si="425"/>
        <v/>
      </c>
      <c r="K2511" s="102" t="str">
        <f>IF(A2511&amp;B2511="","",VLOOKUP(A2511&amp;B2511,INSUMOS!C:G,5,0))</f>
        <v/>
      </c>
    </row>
    <row r="2512" spans="1:17" ht="15" x14ac:dyDescent="0.25">
      <c r="A2512" s="109"/>
      <c r="B2512" s="116"/>
      <c r="C2512" s="518" t="str">
        <f>IF(A2512&amp;B2512="","",VLOOKUP(A2512&amp;B2512,INSUMOS!C:G,2,0))</f>
        <v/>
      </c>
      <c r="D2512" s="519"/>
      <c r="E2512" s="117" t="str">
        <f>IF(A2512&amp;B2512="","",VLOOKUP(A2512&amp;B2512,INSUMOS!C:G,3,0))</f>
        <v/>
      </c>
      <c r="F2512" s="118"/>
      <c r="G2512" s="113" t="str">
        <f>IF(A2512&amp;B2512="","",VLOOKUP(A2512&amp;B2512,INSUMOS!C:G,4,0))</f>
        <v/>
      </c>
      <c r="H2512" s="119" t="str">
        <f t="shared" si="423"/>
        <v/>
      </c>
      <c r="I2512" s="119" t="str">
        <f t="shared" si="424"/>
        <v/>
      </c>
      <c r="J2512" s="115" t="str">
        <f t="shared" si="425"/>
        <v/>
      </c>
      <c r="K2512" s="102" t="str">
        <f>IF(A2512&amp;B2512="","",VLOOKUP(A2512&amp;B2512,INSUMOS!C:G,5,0))</f>
        <v/>
      </c>
    </row>
    <row r="2513" spans="1:17" ht="15" x14ac:dyDescent="0.25">
      <c r="A2513" s="109"/>
      <c r="B2513" s="116"/>
      <c r="C2513" s="518" t="str">
        <f>IF(A2513&amp;B2513="","",VLOOKUP(A2513&amp;B2513,INSUMOS!C:G,2,0))</f>
        <v/>
      </c>
      <c r="D2513" s="519"/>
      <c r="E2513" s="117" t="str">
        <f>IF(A2513&amp;B2513="","",VLOOKUP(A2513&amp;B2513,INSUMOS!C:G,3,0))</f>
        <v/>
      </c>
      <c r="F2513" s="118"/>
      <c r="G2513" s="113" t="str">
        <f>IF(A2513&amp;B2513="","",VLOOKUP(A2513&amp;B2513,INSUMOS!C:G,4,0))</f>
        <v/>
      </c>
      <c r="H2513" s="119" t="str">
        <f t="shared" si="423"/>
        <v/>
      </c>
      <c r="I2513" s="119" t="str">
        <f t="shared" si="424"/>
        <v/>
      </c>
      <c r="J2513" s="115" t="str">
        <f t="shared" si="425"/>
        <v/>
      </c>
      <c r="K2513" s="102" t="str">
        <f>IF(A2513&amp;B2513="","",VLOOKUP(A2513&amp;B2513,INSUMOS!C:G,5,0))</f>
        <v/>
      </c>
    </row>
    <row r="2514" spans="1:17" ht="15" x14ac:dyDescent="0.25">
      <c r="A2514" s="109"/>
      <c r="B2514" s="116"/>
      <c r="C2514" s="518" t="str">
        <f>IF(A2514&amp;B2514="","",VLOOKUP(A2514&amp;B2514,INSUMOS!C:G,2,0))</f>
        <v/>
      </c>
      <c r="D2514" s="519"/>
      <c r="E2514" s="117" t="str">
        <f>IF(A2514&amp;B2514="","",VLOOKUP(A2514&amp;B2514,INSUMOS!C:G,3,0))</f>
        <v/>
      </c>
      <c r="F2514" s="118"/>
      <c r="G2514" s="113" t="str">
        <f>IF(A2514&amp;B2514="","",VLOOKUP(A2514&amp;B2514,INSUMOS!C:G,4,0))</f>
        <v/>
      </c>
      <c r="H2514" s="119" t="str">
        <f t="shared" si="423"/>
        <v/>
      </c>
      <c r="I2514" s="119" t="str">
        <f t="shared" si="424"/>
        <v/>
      </c>
      <c r="J2514" s="115" t="str">
        <f t="shared" si="425"/>
        <v/>
      </c>
      <c r="K2514" s="102" t="str">
        <f>IF(A2514&amp;B2514="","",VLOOKUP(A2514&amp;B2514,INSUMOS!C:G,5,0))</f>
        <v/>
      </c>
    </row>
    <row r="2515" spans="1:17" ht="15" x14ac:dyDescent="0.25">
      <c r="A2515" s="109"/>
      <c r="B2515" s="116"/>
      <c r="C2515" s="518" t="str">
        <f>IF(A2515&amp;B2515="","",VLOOKUP(A2515&amp;B2515,INSUMOS!C:G,2,0))</f>
        <v/>
      </c>
      <c r="D2515" s="519"/>
      <c r="E2515" s="117" t="str">
        <f>IF(A2515&amp;B2515="","",VLOOKUP(A2515&amp;B2515,INSUMOS!C:G,3,0))</f>
        <v/>
      </c>
      <c r="F2515" s="118"/>
      <c r="G2515" s="113" t="str">
        <f>IF(A2515&amp;B2515="","",VLOOKUP(A2515&amp;B2515,INSUMOS!C:G,4,0))</f>
        <v/>
      </c>
      <c r="H2515" s="119" t="str">
        <f t="shared" si="423"/>
        <v/>
      </c>
      <c r="I2515" s="119" t="str">
        <f t="shared" si="424"/>
        <v/>
      </c>
      <c r="J2515" s="115" t="str">
        <f t="shared" si="425"/>
        <v/>
      </c>
      <c r="K2515" s="102" t="str">
        <f>IF(A2515&amp;B2515="","",VLOOKUP(A2515&amp;B2515,INSUMOS!C:G,5,0))</f>
        <v/>
      </c>
    </row>
    <row r="2516" spans="1:17" ht="15" x14ac:dyDescent="0.25">
      <c r="A2516" s="120"/>
      <c r="B2516" s="121"/>
      <c r="C2516" s="518" t="str">
        <f>IF(A2516&amp;B2516="","",VLOOKUP(A2516&amp;B2516,INSUMOS!C:G,2,0))</f>
        <v/>
      </c>
      <c r="D2516" s="519"/>
      <c r="E2516" s="117" t="str">
        <f>IF(A2516&amp;B2516="","",VLOOKUP(A2516&amp;B2516,INSUMOS!C:G,3,0))</f>
        <v/>
      </c>
      <c r="F2516" s="118"/>
      <c r="G2516" s="122" t="str">
        <f>IF(A2516&amp;B2516="","",VLOOKUP(A2516&amp;B2516,INSUMOS!C:G,4,0))</f>
        <v/>
      </c>
      <c r="H2516" s="119" t="str">
        <f t="shared" si="423"/>
        <v/>
      </c>
      <c r="I2516" s="119" t="str">
        <f t="shared" si="424"/>
        <v/>
      </c>
      <c r="J2516" s="115" t="str">
        <f t="shared" si="425"/>
        <v/>
      </c>
      <c r="K2516" s="102" t="str">
        <f>IF(A2516&amp;B2516="","",VLOOKUP(A2516&amp;B2516,INSUMOS!C:G,5,0))</f>
        <v/>
      </c>
    </row>
    <row r="2517" spans="1:17" ht="15" x14ac:dyDescent="0.25">
      <c r="A2517" s="120"/>
      <c r="B2517" s="121"/>
      <c r="C2517" s="518" t="str">
        <f>IF(A2517&amp;B2517="","",VLOOKUP(A2517&amp;B2517,INSUMOS!C:G,2,0))</f>
        <v/>
      </c>
      <c r="D2517" s="519"/>
      <c r="E2517" s="117" t="str">
        <f>IF(A2517&amp;B2517="","",VLOOKUP(A2517&amp;B2517,INSUMOS!C:G,3,0))</f>
        <v/>
      </c>
      <c r="F2517" s="118"/>
      <c r="G2517" s="122" t="str">
        <f>IF(A2517&amp;B2517="","",VLOOKUP(A2517&amp;B2517,INSUMOS!C:G,4,0))</f>
        <v/>
      </c>
      <c r="H2517" s="119" t="str">
        <f t="shared" si="423"/>
        <v/>
      </c>
      <c r="I2517" s="119" t="str">
        <f t="shared" si="424"/>
        <v/>
      </c>
      <c r="J2517" s="115" t="str">
        <f t="shared" si="425"/>
        <v/>
      </c>
      <c r="K2517" s="102" t="str">
        <f>IF(A2517&amp;B2517="","",VLOOKUP(A2517&amp;B2517,INSUMOS!C:G,5,0))</f>
        <v/>
      </c>
    </row>
    <row r="2518" spans="1:17" ht="15" x14ac:dyDescent="0.25">
      <c r="A2518" s="120"/>
      <c r="B2518" s="121"/>
      <c r="C2518" s="518" t="str">
        <f>IF(A2518&amp;B2518="","",VLOOKUP(A2518&amp;B2518,INSUMOS!C:G,2,0))</f>
        <v/>
      </c>
      <c r="D2518" s="519"/>
      <c r="E2518" s="117" t="str">
        <f>IF(A2518&amp;B2518="","",VLOOKUP(A2518&amp;B2518,INSUMOS!C:G,3,0))</f>
        <v/>
      </c>
      <c r="F2518" s="118"/>
      <c r="G2518" s="122" t="str">
        <f>IF(A2518&amp;B2518="","",VLOOKUP(A2518&amp;B2518,INSUMOS!C:G,4,0))</f>
        <v/>
      </c>
      <c r="H2518" s="119" t="str">
        <f t="shared" si="423"/>
        <v/>
      </c>
      <c r="I2518" s="119" t="str">
        <f t="shared" si="424"/>
        <v/>
      </c>
      <c r="J2518" s="115" t="str">
        <f t="shared" si="425"/>
        <v/>
      </c>
      <c r="K2518" s="102" t="str">
        <f>IF(A2518&amp;B2518="","",VLOOKUP(A2518&amp;B2518,INSUMOS!C:G,5,0))</f>
        <v/>
      </c>
    </row>
    <row r="2519" spans="1:17" ht="15" x14ac:dyDescent="0.25">
      <c r="A2519" s="123" t="s">
        <v>4399</v>
      </c>
      <c r="B2519" s="542" t="s">
        <v>5330</v>
      </c>
      <c r="C2519" s="542"/>
      <c r="D2519" s="542"/>
      <c r="E2519" s="542"/>
      <c r="F2519" s="543"/>
      <c r="G2519" s="124" t="s">
        <v>50</v>
      </c>
      <c r="H2519" s="125">
        <f>SUM(H2506:H2518)</f>
        <v>1.25</v>
      </c>
      <c r="I2519" s="125">
        <f>SUM(I2506:I2518)</f>
        <v>5.79</v>
      </c>
      <c r="J2519" s="126">
        <f>SUM(J2506:J2518)</f>
        <v>0</v>
      </c>
    </row>
    <row r="2520" spans="1:17" ht="15" x14ac:dyDescent="0.25">
      <c r="A2520" s="127" t="s">
        <v>4400</v>
      </c>
      <c r="B2520" s="128"/>
      <c r="C2520" s="128"/>
      <c r="D2520" s="127" t="s">
        <v>51</v>
      </c>
      <c r="E2520" s="128"/>
      <c r="F2520" s="129"/>
      <c r="G2520" s="130" t="s">
        <v>55</v>
      </c>
      <c r="H2520" s="131" t="s">
        <v>52</v>
      </c>
      <c r="I2520" s="132"/>
      <c r="J2520" s="125">
        <f>SUM(H2519:J2519)</f>
        <v>7.04</v>
      </c>
    </row>
    <row r="2521" spans="1:17" ht="15" x14ac:dyDescent="0.25">
      <c r="A2521" s="313" t="str">
        <f>$I$3</f>
        <v>Carlos Wieck</v>
      </c>
      <c r="B2521" s="133"/>
      <c r="C2521" s="133"/>
      <c r="D2521" s="134"/>
      <c r="E2521" s="133"/>
      <c r="F2521" s="135"/>
      <c r="G2521" s="522">
        <f>$J$5</f>
        <v>43040</v>
      </c>
      <c r="H2521" s="136" t="s">
        <v>53</v>
      </c>
      <c r="I2521" s="137"/>
      <c r="J2521" s="125">
        <f>TRUNC(I2521*J2520,2)</f>
        <v>0</v>
      </c>
    </row>
    <row r="2522" spans="1:17" ht="15" x14ac:dyDescent="0.25">
      <c r="A2522" s="314"/>
      <c r="B2522" s="139"/>
      <c r="C2522" s="139"/>
      <c r="D2522" s="138"/>
      <c r="E2522" s="139"/>
      <c r="F2522" s="140"/>
      <c r="G2522" s="523"/>
      <c r="H2522" s="141" t="s">
        <v>54</v>
      </c>
      <c r="I2522" s="142"/>
      <c r="J2522" s="143">
        <f>J2521+J2520</f>
        <v>7.04</v>
      </c>
      <c r="L2522" s="102" t="str">
        <f>A2503</f>
        <v>COMPOSIÇÃO</v>
      </c>
      <c r="M2522" s="144" t="str">
        <f>B2503</f>
        <v>FF-107</v>
      </c>
      <c r="N2522" s="102" t="str">
        <f>L2522&amp;M2522</f>
        <v>COMPOSIÇÃOFF-107</v>
      </c>
      <c r="O2522" s="103" t="str">
        <f>D2502</f>
        <v>Luva de PVC série R diam. 50mm, fornecimento e instalação</v>
      </c>
      <c r="P2522" s="145" t="str">
        <f>J2503</f>
        <v>un</v>
      </c>
      <c r="Q2522" s="145">
        <f>J2522</f>
        <v>7.04</v>
      </c>
    </row>
    <row r="2523" spans="1:17" ht="15" customHeight="1" x14ac:dyDescent="0.25">
      <c r="A2523" s="524" t="s">
        <v>40</v>
      </c>
      <c r="B2523" s="525"/>
      <c r="C2523" s="104" t="s">
        <v>41</v>
      </c>
      <c r="D2523" s="526" t="str">
        <f>IF(B2524="","",VLOOKUP(B2524,SERVIÇOS!B:E,3,0))</f>
        <v>Luva de PVC série R diam. 40mm, fornecimento e instalação</v>
      </c>
      <c r="E2523" s="526"/>
      <c r="F2523" s="526"/>
      <c r="G2523" s="526"/>
      <c r="H2523" s="526"/>
      <c r="I2523" s="527"/>
      <c r="J2523" s="105" t="s">
        <v>42</v>
      </c>
    </row>
    <row r="2524" spans="1:17" ht="15" x14ac:dyDescent="0.25">
      <c r="A2524" s="230" t="s">
        <v>4715</v>
      </c>
      <c r="B2524" s="230" t="s">
        <v>5276</v>
      </c>
      <c r="C2524" s="106"/>
      <c r="D2524" s="528"/>
      <c r="E2524" s="528"/>
      <c r="F2524" s="528"/>
      <c r="G2524" s="528"/>
      <c r="H2524" s="528"/>
      <c r="I2524" s="529"/>
      <c r="J2524" s="107" t="str">
        <f>IF(B2524="","",VLOOKUP(B2524,SERVIÇOS!B:E,4,0))</f>
        <v>un</v>
      </c>
    </row>
    <row r="2525" spans="1:17" ht="15" x14ac:dyDescent="0.25">
      <c r="A2525" s="530" t="s">
        <v>4397</v>
      </c>
      <c r="B2525" s="531" t="s">
        <v>11</v>
      </c>
      <c r="C2525" s="533" t="s">
        <v>43</v>
      </c>
      <c r="D2525" s="534"/>
      <c r="E2525" s="530" t="s">
        <v>13</v>
      </c>
      <c r="F2525" s="530" t="s">
        <v>44</v>
      </c>
      <c r="G2525" s="538" t="s">
        <v>45</v>
      </c>
      <c r="H2525" s="108" t="s">
        <v>46</v>
      </c>
      <c r="I2525" s="108"/>
      <c r="J2525" s="108"/>
    </row>
    <row r="2526" spans="1:17" ht="15" x14ac:dyDescent="0.25">
      <c r="A2526" s="530"/>
      <c r="B2526" s="532"/>
      <c r="C2526" s="535"/>
      <c r="D2526" s="536"/>
      <c r="E2526" s="537"/>
      <c r="F2526" s="537"/>
      <c r="G2526" s="539"/>
      <c r="H2526" s="108" t="s">
        <v>47</v>
      </c>
      <c r="I2526" s="108" t="s">
        <v>48</v>
      </c>
      <c r="J2526" s="108" t="s">
        <v>49</v>
      </c>
    </row>
    <row r="2527" spans="1:17" ht="15" x14ac:dyDescent="0.25">
      <c r="A2527" s="109" t="s">
        <v>4398</v>
      </c>
      <c r="B2527" s="110">
        <v>10119</v>
      </c>
      <c r="C2527" s="540" t="str">
        <f>IF(A2527&amp;B2527="","",VLOOKUP(A2527&amp;B2527,INSUMOS!C:G,2,0))</f>
        <v>Ajudante de encanador</v>
      </c>
      <c r="D2527" s="541"/>
      <c r="E2527" s="111" t="str">
        <f>IF(A2527&amp;B2527="","",VLOOKUP(A2527&amp;B2527,INSUMOS!C:G,3,0))</f>
        <v>h</v>
      </c>
      <c r="F2527" s="112">
        <v>3.5000000000000003E-2</v>
      </c>
      <c r="G2527" s="113">
        <f>IF(A2527&amp;B2527="","",VLOOKUP(A2527&amp;B2527,INSUMOS!C:G,4,0))</f>
        <v>10.985028</v>
      </c>
      <c r="H2527" s="114">
        <f>IF(K2527="MO",TRUNC(F2527*G2527,2),"")</f>
        <v>0.38</v>
      </c>
      <c r="I2527" s="114" t="str">
        <f>IF(K2527="MT",TRUNC(F2527*G2527,2),"")</f>
        <v/>
      </c>
      <c r="J2527" s="115" t="str">
        <f>IF(K2527="EQ",TRUNC(F2527*G2527,2),"")</f>
        <v/>
      </c>
      <c r="K2527" s="102" t="str">
        <f>IF(A2527&amp;B2527="","",VLOOKUP(A2527&amp;B2527,INSUMOS!C:G,5,0))</f>
        <v>MO</v>
      </c>
    </row>
    <row r="2528" spans="1:17" ht="15" x14ac:dyDescent="0.25">
      <c r="A2528" s="109" t="s">
        <v>4398</v>
      </c>
      <c r="B2528" s="116">
        <v>10118</v>
      </c>
      <c r="C2528" s="518" t="str">
        <f>IF(A2528&amp;B2528="","",VLOOKUP(A2528&amp;B2528,INSUMOS!C:G,2,0))</f>
        <v xml:space="preserve">Encanador </v>
      </c>
      <c r="D2528" s="519"/>
      <c r="E2528" s="117" t="str">
        <f>IF(A2528&amp;B2528="","",VLOOKUP(A2528&amp;B2528,INSUMOS!C:G,3,0))</f>
        <v>h</v>
      </c>
      <c r="F2528" s="118">
        <v>3.5000000000000003E-2</v>
      </c>
      <c r="G2528" s="113">
        <f>IF(A2528&amp;B2528="","",VLOOKUP(A2528&amp;B2528,INSUMOS!C:G,4,0))</f>
        <v>16.906036</v>
      </c>
      <c r="H2528" s="119">
        <f t="shared" ref="H2528:H2539" si="426">IF(K2528="MO",TRUNC(F2528*G2528,2),"")</f>
        <v>0.59</v>
      </c>
      <c r="I2528" s="119" t="str">
        <f t="shared" ref="I2528:I2539" si="427">IF(K2528="MT",TRUNC(F2528*G2528,2),"")</f>
        <v/>
      </c>
      <c r="J2528" s="115" t="str">
        <f t="shared" ref="J2528:J2539" si="428">IF(K2528="EQ",TRUNC(F2528*G2528,2),"")</f>
        <v/>
      </c>
      <c r="K2528" s="102" t="str">
        <f>IF(A2528&amp;B2528="","",VLOOKUP(A2528&amp;B2528,INSUMOS!C:G,5,0))</f>
        <v>MO</v>
      </c>
    </row>
    <row r="2529" spans="1:17" ht="15" x14ac:dyDescent="0.25">
      <c r="A2529" s="109" t="s">
        <v>4398</v>
      </c>
      <c r="B2529" s="116">
        <v>69513</v>
      </c>
      <c r="C2529" s="518" t="str">
        <f>IF(A2529&amp;B2529="","",VLOOKUP(A2529&amp;B2529,INSUMOS!C:G,2,0))</f>
        <v>Adesivo para tubos PVC</v>
      </c>
      <c r="D2529" s="519"/>
      <c r="E2529" s="117" t="str">
        <f>IF(A2529&amp;B2529="","",VLOOKUP(A2529&amp;B2529,INSUMOS!C:G,3,0))</f>
        <v>kg</v>
      </c>
      <c r="F2529" s="118">
        <v>9.9000000000000008E-3</v>
      </c>
      <c r="G2529" s="113">
        <f>IF(A2529&amp;B2529="","",VLOOKUP(A2529&amp;B2529,INSUMOS!C:G,4,0))</f>
        <v>42.49</v>
      </c>
      <c r="H2529" s="119" t="str">
        <f t="shared" si="426"/>
        <v/>
      </c>
      <c r="I2529" s="119">
        <f t="shared" si="427"/>
        <v>0.42</v>
      </c>
      <c r="J2529" s="115" t="str">
        <f t="shared" si="428"/>
        <v/>
      </c>
      <c r="K2529" s="102" t="str">
        <f>IF(A2529&amp;B2529="","",VLOOKUP(A2529&amp;B2529,INSUMOS!C:G,5,0))</f>
        <v>MT</v>
      </c>
    </row>
    <row r="2530" spans="1:17" ht="15" x14ac:dyDescent="0.25">
      <c r="A2530" s="109" t="s">
        <v>4398</v>
      </c>
      <c r="B2530" s="116">
        <v>38040</v>
      </c>
      <c r="C2530" s="518" t="str">
        <f>IF(A2530&amp;B2530="","",VLOOKUP(A2530&amp;B2530,INSUMOS!C:G,2,0))</f>
        <v>Lixa d´água, ref. Norton n° 80, Aquaflex ou equivalente</v>
      </c>
      <c r="D2530" s="519"/>
      <c r="E2530" s="117" t="str">
        <f>IF(A2530&amp;B2530="","",VLOOKUP(A2530&amp;B2530,INSUMOS!C:G,3,0))</f>
        <v>un</v>
      </c>
      <c r="F2530" s="118">
        <v>0.245</v>
      </c>
      <c r="G2530" s="113">
        <f>IF(A2530&amp;B2530="","",VLOOKUP(A2530&amp;B2530,INSUMOS!C:G,4,0))</f>
        <v>1.04</v>
      </c>
      <c r="H2530" s="119" t="str">
        <f t="shared" si="426"/>
        <v/>
      </c>
      <c r="I2530" s="119">
        <f t="shared" si="427"/>
        <v>0.25</v>
      </c>
      <c r="J2530" s="115" t="str">
        <f t="shared" si="428"/>
        <v/>
      </c>
      <c r="K2530" s="102" t="str">
        <f>IF(A2530&amp;B2530="","",VLOOKUP(A2530&amp;B2530,INSUMOS!C:G,5,0))</f>
        <v>MT</v>
      </c>
    </row>
    <row r="2531" spans="1:17" ht="15" x14ac:dyDescent="0.25">
      <c r="A2531" s="109" t="s">
        <v>4398</v>
      </c>
      <c r="B2531" s="116">
        <v>69514</v>
      </c>
      <c r="C2531" s="518" t="str">
        <f>IF(A2531&amp;B2531="","",VLOOKUP(A2531&amp;B2531,INSUMOS!C:G,2,0))</f>
        <v>Solução limpadora para PVC</v>
      </c>
      <c r="D2531" s="519"/>
      <c r="E2531" s="117" t="str">
        <f>IF(A2531&amp;B2531="","",VLOOKUP(A2531&amp;B2531,INSUMOS!C:G,3,0))</f>
        <v>l</v>
      </c>
      <c r="F2531" s="118">
        <v>1.4999999999999999E-2</v>
      </c>
      <c r="G2531" s="113">
        <f>IF(A2531&amp;B2531="","",VLOOKUP(A2531&amp;B2531,INSUMOS!C:G,4,0))</f>
        <v>29.11</v>
      </c>
      <c r="H2531" s="119" t="str">
        <f t="shared" si="426"/>
        <v/>
      </c>
      <c r="I2531" s="119">
        <f t="shared" si="427"/>
        <v>0.43</v>
      </c>
      <c r="J2531" s="115" t="str">
        <f t="shared" si="428"/>
        <v/>
      </c>
      <c r="K2531" s="102" t="str">
        <f>IF(A2531&amp;B2531="","",VLOOKUP(A2531&amp;B2531,INSUMOS!C:G,5,0))</f>
        <v>MT</v>
      </c>
    </row>
    <row r="2532" spans="1:17" ht="15" x14ac:dyDescent="0.25">
      <c r="A2532" s="109" t="s">
        <v>4810</v>
      </c>
      <c r="B2532" s="116">
        <v>20167</v>
      </c>
      <c r="C2532" s="518" t="str">
        <f>IF(A2532&amp;B2532="","",VLOOKUP(A2532&amp;B2532,INSUMOS!C:G,2,0))</f>
        <v>Luva simples PVC série R p/Esg predual 40mm</v>
      </c>
      <c r="D2532" s="519"/>
      <c r="E2532" s="117" t="str">
        <f>IF(A2532&amp;B2532="","",VLOOKUP(A2532&amp;B2532,INSUMOS!C:G,3,0))</f>
        <v>un</v>
      </c>
      <c r="F2532" s="118">
        <v>1</v>
      </c>
      <c r="G2532" s="113">
        <f>IF(A2532&amp;B2532="","",VLOOKUP(A2532&amp;B2532,INSUMOS!C:G,4,0))</f>
        <v>3.55</v>
      </c>
      <c r="H2532" s="119" t="str">
        <f t="shared" si="426"/>
        <v/>
      </c>
      <c r="I2532" s="119">
        <f t="shared" si="427"/>
        <v>3.55</v>
      </c>
      <c r="J2532" s="115" t="str">
        <f t="shared" si="428"/>
        <v/>
      </c>
      <c r="K2532" s="102" t="str">
        <f>IF(A2532&amp;B2532="","",VLOOKUP(A2532&amp;B2532,INSUMOS!C:G,5,0))</f>
        <v>MT</v>
      </c>
    </row>
    <row r="2533" spans="1:17" ht="15" x14ac:dyDescent="0.25">
      <c r="A2533" s="109"/>
      <c r="B2533" s="116"/>
      <c r="C2533" s="518" t="str">
        <f>IF(A2533&amp;B2533="","",VLOOKUP(A2533&amp;B2533,INSUMOS!C:G,2,0))</f>
        <v/>
      </c>
      <c r="D2533" s="519"/>
      <c r="E2533" s="117" t="str">
        <f>IF(A2533&amp;B2533="","",VLOOKUP(A2533&amp;B2533,INSUMOS!C:G,3,0))</f>
        <v/>
      </c>
      <c r="F2533" s="118"/>
      <c r="G2533" s="113" t="str">
        <f>IF(A2533&amp;B2533="","",VLOOKUP(A2533&amp;B2533,INSUMOS!C:G,4,0))</f>
        <v/>
      </c>
      <c r="H2533" s="119" t="str">
        <f t="shared" si="426"/>
        <v/>
      </c>
      <c r="I2533" s="119" t="str">
        <f t="shared" si="427"/>
        <v/>
      </c>
      <c r="J2533" s="115" t="str">
        <f t="shared" si="428"/>
        <v/>
      </c>
      <c r="K2533" s="102" t="str">
        <f>IF(A2533&amp;B2533="","",VLOOKUP(A2533&amp;B2533,INSUMOS!C:G,5,0))</f>
        <v/>
      </c>
    </row>
    <row r="2534" spans="1:17" ht="15" x14ac:dyDescent="0.25">
      <c r="A2534" s="109"/>
      <c r="B2534" s="116"/>
      <c r="C2534" s="518" t="str">
        <f>IF(A2534&amp;B2534="","",VLOOKUP(A2534&amp;B2534,INSUMOS!C:G,2,0))</f>
        <v/>
      </c>
      <c r="D2534" s="519"/>
      <c r="E2534" s="117" t="str">
        <f>IF(A2534&amp;B2534="","",VLOOKUP(A2534&amp;B2534,INSUMOS!C:G,3,0))</f>
        <v/>
      </c>
      <c r="F2534" s="118"/>
      <c r="G2534" s="113" t="str">
        <f>IF(A2534&amp;B2534="","",VLOOKUP(A2534&amp;B2534,INSUMOS!C:G,4,0))</f>
        <v/>
      </c>
      <c r="H2534" s="119" t="str">
        <f t="shared" si="426"/>
        <v/>
      </c>
      <c r="I2534" s="119" t="str">
        <f t="shared" si="427"/>
        <v/>
      </c>
      <c r="J2534" s="115" t="str">
        <f t="shared" si="428"/>
        <v/>
      </c>
      <c r="K2534" s="102" t="str">
        <f>IF(A2534&amp;B2534="","",VLOOKUP(A2534&amp;B2534,INSUMOS!C:G,5,0))</f>
        <v/>
      </c>
    </row>
    <row r="2535" spans="1:17" ht="15" x14ac:dyDescent="0.25">
      <c r="A2535" s="109"/>
      <c r="B2535" s="116"/>
      <c r="C2535" s="518" t="str">
        <f>IF(A2535&amp;B2535="","",VLOOKUP(A2535&amp;B2535,INSUMOS!C:G,2,0))</f>
        <v/>
      </c>
      <c r="D2535" s="519"/>
      <c r="E2535" s="117" t="str">
        <f>IF(A2535&amp;B2535="","",VLOOKUP(A2535&amp;B2535,INSUMOS!C:G,3,0))</f>
        <v/>
      </c>
      <c r="F2535" s="118"/>
      <c r="G2535" s="113" t="str">
        <f>IF(A2535&amp;B2535="","",VLOOKUP(A2535&amp;B2535,INSUMOS!C:G,4,0))</f>
        <v/>
      </c>
      <c r="H2535" s="119" t="str">
        <f t="shared" si="426"/>
        <v/>
      </c>
      <c r="I2535" s="119" t="str">
        <f t="shared" si="427"/>
        <v/>
      </c>
      <c r="J2535" s="115" t="str">
        <f t="shared" si="428"/>
        <v/>
      </c>
      <c r="K2535" s="102" t="str">
        <f>IF(A2535&amp;B2535="","",VLOOKUP(A2535&amp;B2535,INSUMOS!C:G,5,0))</f>
        <v/>
      </c>
    </row>
    <row r="2536" spans="1:17" ht="15" x14ac:dyDescent="0.25">
      <c r="A2536" s="109"/>
      <c r="B2536" s="116"/>
      <c r="C2536" s="518" t="str">
        <f>IF(A2536&amp;B2536="","",VLOOKUP(A2536&amp;B2536,INSUMOS!C:G,2,0))</f>
        <v/>
      </c>
      <c r="D2536" s="519"/>
      <c r="E2536" s="117" t="str">
        <f>IF(A2536&amp;B2536="","",VLOOKUP(A2536&amp;B2536,INSUMOS!C:G,3,0))</f>
        <v/>
      </c>
      <c r="F2536" s="118"/>
      <c r="G2536" s="113" t="str">
        <f>IF(A2536&amp;B2536="","",VLOOKUP(A2536&amp;B2536,INSUMOS!C:G,4,0))</f>
        <v/>
      </c>
      <c r="H2536" s="119" t="str">
        <f t="shared" si="426"/>
        <v/>
      </c>
      <c r="I2536" s="119" t="str">
        <f t="shared" si="427"/>
        <v/>
      </c>
      <c r="J2536" s="115" t="str">
        <f t="shared" si="428"/>
        <v/>
      </c>
      <c r="K2536" s="102" t="str">
        <f>IF(A2536&amp;B2536="","",VLOOKUP(A2536&amp;B2536,INSUMOS!C:G,5,0))</f>
        <v/>
      </c>
    </row>
    <row r="2537" spans="1:17" ht="15" x14ac:dyDescent="0.25">
      <c r="A2537" s="120"/>
      <c r="B2537" s="121"/>
      <c r="C2537" s="518" t="str">
        <f>IF(A2537&amp;B2537="","",VLOOKUP(A2537&amp;B2537,INSUMOS!C:G,2,0))</f>
        <v/>
      </c>
      <c r="D2537" s="519"/>
      <c r="E2537" s="117" t="str">
        <f>IF(A2537&amp;B2537="","",VLOOKUP(A2537&amp;B2537,INSUMOS!C:G,3,0))</f>
        <v/>
      </c>
      <c r="F2537" s="118"/>
      <c r="G2537" s="122" t="str">
        <f>IF(A2537&amp;B2537="","",VLOOKUP(A2537&amp;B2537,INSUMOS!C:G,4,0))</f>
        <v/>
      </c>
      <c r="H2537" s="119" t="str">
        <f t="shared" si="426"/>
        <v/>
      </c>
      <c r="I2537" s="119" t="str">
        <f t="shared" si="427"/>
        <v/>
      </c>
      <c r="J2537" s="115" t="str">
        <f t="shared" si="428"/>
        <v/>
      </c>
      <c r="K2537" s="102" t="str">
        <f>IF(A2537&amp;B2537="","",VLOOKUP(A2537&amp;B2537,INSUMOS!C:G,5,0))</f>
        <v/>
      </c>
    </row>
    <row r="2538" spans="1:17" ht="15" x14ac:dyDescent="0.25">
      <c r="A2538" s="120"/>
      <c r="B2538" s="121"/>
      <c r="C2538" s="518" t="str">
        <f>IF(A2538&amp;B2538="","",VLOOKUP(A2538&amp;B2538,INSUMOS!C:G,2,0))</f>
        <v/>
      </c>
      <c r="D2538" s="519"/>
      <c r="E2538" s="117" t="str">
        <f>IF(A2538&amp;B2538="","",VLOOKUP(A2538&amp;B2538,INSUMOS!C:G,3,0))</f>
        <v/>
      </c>
      <c r="F2538" s="118"/>
      <c r="G2538" s="122" t="str">
        <f>IF(A2538&amp;B2538="","",VLOOKUP(A2538&amp;B2538,INSUMOS!C:G,4,0))</f>
        <v/>
      </c>
      <c r="H2538" s="119" t="str">
        <f t="shared" si="426"/>
        <v/>
      </c>
      <c r="I2538" s="119" t="str">
        <f t="shared" si="427"/>
        <v/>
      </c>
      <c r="J2538" s="115" t="str">
        <f t="shared" si="428"/>
        <v/>
      </c>
      <c r="K2538" s="102" t="str">
        <f>IF(A2538&amp;B2538="","",VLOOKUP(A2538&amp;B2538,INSUMOS!C:G,5,0))</f>
        <v/>
      </c>
    </row>
    <row r="2539" spans="1:17" ht="15" x14ac:dyDescent="0.25">
      <c r="A2539" s="120"/>
      <c r="B2539" s="121"/>
      <c r="C2539" s="518" t="str">
        <f>IF(A2539&amp;B2539="","",VLOOKUP(A2539&amp;B2539,INSUMOS!C:G,2,0))</f>
        <v/>
      </c>
      <c r="D2539" s="519"/>
      <c r="E2539" s="117" t="str">
        <f>IF(A2539&amp;B2539="","",VLOOKUP(A2539&amp;B2539,INSUMOS!C:G,3,0))</f>
        <v/>
      </c>
      <c r="F2539" s="118"/>
      <c r="G2539" s="122" t="str">
        <f>IF(A2539&amp;B2539="","",VLOOKUP(A2539&amp;B2539,INSUMOS!C:G,4,0))</f>
        <v/>
      </c>
      <c r="H2539" s="119" t="str">
        <f t="shared" si="426"/>
        <v/>
      </c>
      <c r="I2539" s="119" t="str">
        <f t="shared" si="427"/>
        <v/>
      </c>
      <c r="J2539" s="115" t="str">
        <f t="shared" si="428"/>
        <v/>
      </c>
      <c r="K2539" s="102" t="str">
        <f>IF(A2539&amp;B2539="","",VLOOKUP(A2539&amp;B2539,INSUMOS!C:G,5,0))</f>
        <v/>
      </c>
    </row>
    <row r="2540" spans="1:17" ht="15" x14ac:dyDescent="0.25">
      <c r="A2540" s="123" t="s">
        <v>4399</v>
      </c>
      <c r="B2540" s="542" t="s">
        <v>5333</v>
      </c>
      <c r="C2540" s="542"/>
      <c r="D2540" s="542"/>
      <c r="E2540" s="542"/>
      <c r="F2540" s="543"/>
      <c r="G2540" s="124" t="s">
        <v>50</v>
      </c>
      <c r="H2540" s="125">
        <f>SUM(H2527:H2539)</f>
        <v>0.97</v>
      </c>
      <c r="I2540" s="125">
        <f>SUM(I2527:I2539)</f>
        <v>4.6499999999999995</v>
      </c>
      <c r="J2540" s="126">
        <f>SUM(J2527:J2539)</f>
        <v>0</v>
      </c>
    </row>
    <row r="2541" spans="1:17" ht="15" x14ac:dyDescent="0.25">
      <c r="A2541" s="127" t="s">
        <v>4400</v>
      </c>
      <c r="B2541" s="128"/>
      <c r="C2541" s="128"/>
      <c r="D2541" s="127" t="s">
        <v>51</v>
      </c>
      <c r="E2541" s="128"/>
      <c r="F2541" s="129"/>
      <c r="G2541" s="130" t="s">
        <v>55</v>
      </c>
      <c r="H2541" s="131" t="s">
        <v>52</v>
      </c>
      <c r="I2541" s="132"/>
      <c r="J2541" s="125">
        <f>SUM(H2540:J2540)</f>
        <v>5.6199999999999992</v>
      </c>
    </row>
    <row r="2542" spans="1:17" ht="15" x14ac:dyDescent="0.25">
      <c r="A2542" s="313" t="str">
        <f>$I$3</f>
        <v>Carlos Wieck</v>
      </c>
      <c r="B2542" s="133"/>
      <c r="C2542" s="133"/>
      <c r="D2542" s="134"/>
      <c r="E2542" s="133"/>
      <c r="F2542" s="135"/>
      <c r="G2542" s="522">
        <f>$J$5</f>
        <v>43040</v>
      </c>
      <c r="H2542" s="136" t="s">
        <v>53</v>
      </c>
      <c r="I2542" s="137"/>
      <c r="J2542" s="125">
        <f>TRUNC(I2542*J2541,2)</f>
        <v>0</v>
      </c>
    </row>
    <row r="2543" spans="1:17" ht="15" x14ac:dyDescent="0.25">
      <c r="A2543" s="314"/>
      <c r="B2543" s="139"/>
      <c r="C2543" s="139"/>
      <c r="D2543" s="138"/>
      <c r="E2543" s="139"/>
      <c r="F2543" s="140"/>
      <c r="G2543" s="523"/>
      <c r="H2543" s="141" t="s">
        <v>54</v>
      </c>
      <c r="I2543" s="142"/>
      <c r="J2543" s="143">
        <f>J2542+J2541</f>
        <v>5.6199999999999992</v>
      </c>
      <c r="L2543" s="102" t="str">
        <f>A2524</f>
        <v>COMPOSIÇÃO</v>
      </c>
      <c r="M2543" s="144" t="str">
        <f>B2524</f>
        <v>FF-108</v>
      </c>
      <c r="N2543" s="102" t="str">
        <f>L2543&amp;M2543</f>
        <v>COMPOSIÇÃOFF-108</v>
      </c>
      <c r="O2543" s="103" t="str">
        <f>D2523</f>
        <v>Luva de PVC série R diam. 40mm, fornecimento e instalação</v>
      </c>
      <c r="P2543" s="145" t="str">
        <f>J2524</f>
        <v>un</v>
      </c>
      <c r="Q2543" s="145">
        <f>J2543</f>
        <v>5.6199999999999992</v>
      </c>
    </row>
    <row r="2544" spans="1:17" ht="15" customHeight="1" x14ac:dyDescent="0.25">
      <c r="A2544" s="524" t="s">
        <v>40</v>
      </c>
      <c r="B2544" s="525"/>
      <c r="C2544" s="104" t="s">
        <v>41</v>
      </c>
      <c r="D2544" s="526" t="str">
        <f>IF(B2545="","",VLOOKUP(B2545,SERVIÇOS!B:E,3,0))</f>
        <v>Caixa de gordura em PVC com cesto de limpeza ref. Tigre ou equivalente, dim. 250x172x50mm</v>
      </c>
      <c r="E2544" s="526"/>
      <c r="F2544" s="526"/>
      <c r="G2544" s="526"/>
      <c r="H2544" s="526"/>
      <c r="I2544" s="527"/>
      <c r="J2544" s="105" t="s">
        <v>42</v>
      </c>
    </row>
    <row r="2545" spans="1:11" ht="15" x14ac:dyDescent="0.25">
      <c r="A2545" s="230" t="s">
        <v>4715</v>
      </c>
      <c r="B2545" s="230" t="s">
        <v>5277</v>
      </c>
      <c r="C2545" s="106"/>
      <c r="D2545" s="528"/>
      <c r="E2545" s="528"/>
      <c r="F2545" s="528"/>
      <c r="G2545" s="528"/>
      <c r="H2545" s="528"/>
      <c r="I2545" s="529"/>
      <c r="J2545" s="107" t="str">
        <f>IF(B2545="","",VLOOKUP(B2545,SERVIÇOS!B:E,4,0))</f>
        <v>un</v>
      </c>
    </row>
    <row r="2546" spans="1:11" ht="15" x14ac:dyDescent="0.25">
      <c r="A2546" s="530" t="s">
        <v>4397</v>
      </c>
      <c r="B2546" s="531" t="s">
        <v>11</v>
      </c>
      <c r="C2546" s="533" t="s">
        <v>43</v>
      </c>
      <c r="D2546" s="534"/>
      <c r="E2546" s="530" t="s">
        <v>13</v>
      </c>
      <c r="F2546" s="530" t="s">
        <v>44</v>
      </c>
      <c r="G2546" s="538" t="s">
        <v>45</v>
      </c>
      <c r="H2546" s="108" t="s">
        <v>46</v>
      </c>
      <c r="I2546" s="108"/>
      <c r="J2546" s="108"/>
    </row>
    <row r="2547" spans="1:11" ht="15" x14ac:dyDescent="0.25">
      <c r="A2547" s="530"/>
      <c r="B2547" s="532"/>
      <c r="C2547" s="535"/>
      <c r="D2547" s="536"/>
      <c r="E2547" s="537"/>
      <c r="F2547" s="537"/>
      <c r="G2547" s="539"/>
      <c r="H2547" s="108" t="s">
        <v>47</v>
      </c>
      <c r="I2547" s="108" t="s">
        <v>48</v>
      </c>
      <c r="J2547" s="108" t="s">
        <v>49</v>
      </c>
    </row>
    <row r="2548" spans="1:11" ht="15" x14ac:dyDescent="0.25">
      <c r="A2548" s="109" t="s">
        <v>4398</v>
      </c>
      <c r="B2548" s="110">
        <v>10119</v>
      </c>
      <c r="C2548" s="540" t="str">
        <f>IF(A2548&amp;B2548="","",VLOOKUP(A2548&amp;B2548,INSUMOS!C:G,2,0))</f>
        <v>Ajudante de encanador</v>
      </c>
      <c r="D2548" s="541"/>
      <c r="E2548" s="111" t="str">
        <f>IF(A2548&amp;B2548="","",VLOOKUP(A2548&amp;B2548,INSUMOS!C:G,3,0))</f>
        <v>h</v>
      </c>
      <c r="F2548" s="112">
        <v>2</v>
      </c>
      <c r="G2548" s="113">
        <f>IF(A2548&amp;B2548="","",VLOOKUP(A2548&amp;B2548,INSUMOS!C:G,4,0))</f>
        <v>10.985028</v>
      </c>
      <c r="H2548" s="114">
        <f>IF(K2548="MO",TRUNC(F2548*G2548,2),"")</f>
        <v>21.97</v>
      </c>
      <c r="I2548" s="114" t="str">
        <f>IF(K2548="MT",TRUNC(F2548*G2548,2),"")</f>
        <v/>
      </c>
      <c r="J2548" s="115" t="str">
        <f>IF(K2548="EQ",TRUNC(F2548*G2548,2),"")</f>
        <v/>
      </c>
      <c r="K2548" s="102" t="str">
        <f>IF(A2548&amp;B2548="","",VLOOKUP(A2548&amp;B2548,INSUMOS!C:G,5,0))</f>
        <v>MO</v>
      </c>
    </row>
    <row r="2549" spans="1:11" ht="15" x14ac:dyDescent="0.25">
      <c r="A2549" s="109" t="s">
        <v>4398</v>
      </c>
      <c r="B2549" s="116">
        <v>10118</v>
      </c>
      <c r="C2549" s="518" t="str">
        <f>IF(A2549&amp;B2549="","",VLOOKUP(A2549&amp;B2549,INSUMOS!C:G,2,0))</f>
        <v xml:space="preserve">Encanador </v>
      </c>
      <c r="D2549" s="519"/>
      <c r="E2549" s="117" t="str">
        <f>IF(A2549&amp;B2549="","",VLOOKUP(A2549&amp;B2549,INSUMOS!C:G,3,0))</f>
        <v>h</v>
      </c>
      <c r="F2549" s="118">
        <v>2</v>
      </c>
      <c r="G2549" s="113">
        <f>IF(A2549&amp;B2549="","",VLOOKUP(A2549&amp;B2549,INSUMOS!C:G,4,0))</f>
        <v>16.906036</v>
      </c>
      <c r="H2549" s="119">
        <f t="shared" ref="H2549:H2560" si="429">IF(K2549="MO",TRUNC(F2549*G2549,2),"")</f>
        <v>33.81</v>
      </c>
      <c r="I2549" s="119" t="str">
        <f t="shared" ref="I2549:I2560" si="430">IF(K2549="MT",TRUNC(F2549*G2549,2),"")</f>
        <v/>
      </c>
      <c r="J2549" s="115" t="str">
        <f t="shared" ref="J2549:J2560" si="431">IF(K2549="EQ",TRUNC(F2549*G2549,2),"")</f>
        <v/>
      </c>
      <c r="K2549" s="102" t="str">
        <f>IF(A2549&amp;B2549="","",VLOOKUP(A2549&amp;B2549,INSUMOS!C:G,5,0))</f>
        <v>MO</v>
      </c>
    </row>
    <row r="2550" spans="1:11" ht="15" x14ac:dyDescent="0.25">
      <c r="A2550" s="109" t="s">
        <v>4717</v>
      </c>
      <c r="B2550" s="116" t="s">
        <v>4972</v>
      </c>
      <c r="C2550" s="518" t="str">
        <f>IF(A2550&amp;B2550="","",VLOOKUP(A2550&amp;B2550,INSUMOS!C:G,2,0))</f>
        <v>Caixa de gordura em PVC com cesto de limpeza ref. Tigre ou equivalente, dim. 250x172x50mm</v>
      </c>
      <c r="D2550" s="519"/>
      <c r="E2550" s="117" t="str">
        <f>IF(A2550&amp;B2550="","",VLOOKUP(A2550&amp;B2550,INSUMOS!C:G,3,0))</f>
        <v>un</v>
      </c>
      <c r="F2550" s="118">
        <v>1</v>
      </c>
      <c r="G2550" s="113">
        <f>IF(A2550&amp;B2550="","",VLOOKUP(A2550&amp;B2550,INSUMOS!C:G,4,0))</f>
        <v>199.50020000000001</v>
      </c>
      <c r="H2550" s="119" t="str">
        <f t="shared" si="429"/>
        <v/>
      </c>
      <c r="I2550" s="119">
        <f t="shared" si="430"/>
        <v>199.5</v>
      </c>
      <c r="J2550" s="115" t="str">
        <f t="shared" si="431"/>
        <v/>
      </c>
      <c r="K2550" s="102" t="str">
        <f>IF(A2550&amp;B2550="","",VLOOKUP(A2550&amp;B2550,INSUMOS!C:G,5,0))</f>
        <v>MT</v>
      </c>
    </row>
    <row r="2551" spans="1:11" ht="15" x14ac:dyDescent="0.25">
      <c r="A2551" s="109"/>
      <c r="B2551" s="116"/>
      <c r="C2551" s="518" t="str">
        <f>IF(A2551&amp;B2551="","",VLOOKUP(A2551&amp;B2551,INSUMOS!C:G,2,0))</f>
        <v/>
      </c>
      <c r="D2551" s="519"/>
      <c r="E2551" s="117" t="str">
        <f>IF(A2551&amp;B2551="","",VLOOKUP(A2551&amp;B2551,INSUMOS!C:G,3,0))</f>
        <v/>
      </c>
      <c r="F2551" s="118"/>
      <c r="G2551" s="113" t="str">
        <f>IF(A2551&amp;B2551="","",VLOOKUP(A2551&amp;B2551,INSUMOS!C:G,4,0))</f>
        <v/>
      </c>
      <c r="H2551" s="119" t="str">
        <f t="shared" si="429"/>
        <v/>
      </c>
      <c r="I2551" s="119" t="str">
        <f t="shared" si="430"/>
        <v/>
      </c>
      <c r="J2551" s="115" t="str">
        <f t="shared" si="431"/>
        <v/>
      </c>
      <c r="K2551" s="102" t="str">
        <f>IF(A2551&amp;B2551="","",VLOOKUP(A2551&amp;B2551,INSUMOS!C:G,5,0))</f>
        <v/>
      </c>
    </row>
    <row r="2552" spans="1:11" ht="15" x14ac:dyDescent="0.25">
      <c r="A2552" s="109"/>
      <c r="B2552" s="116"/>
      <c r="C2552" s="518" t="str">
        <f>IF(A2552&amp;B2552="","",VLOOKUP(A2552&amp;B2552,INSUMOS!C:G,2,0))</f>
        <v/>
      </c>
      <c r="D2552" s="519"/>
      <c r="E2552" s="117" t="str">
        <f>IF(A2552&amp;B2552="","",VLOOKUP(A2552&amp;B2552,INSUMOS!C:G,3,0))</f>
        <v/>
      </c>
      <c r="F2552" s="118"/>
      <c r="G2552" s="113" t="str">
        <f>IF(A2552&amp;B2552="","",VLOOKUP(A2552&amp;B2552,INSUMOS!C:G,4,0))</f>
        <v/>
      </c>
      <c r="H2552" s="119" t="str">
        <f t="shared" si="429"/>
        <v/>
      </c>
      <c r="I2552" s="119" t="str">
        <f t="shared" si="430"/>
        <v/>
      </c>
      <c r="J2552" s="115" t="str">
        <f t="shared" si="431"/>
        <v/>
      </c>
      <c r="K2552" s="102" t="str">
        <f>IF(A2552&amp;B2552="","",VLOOKUP(A2552&amp;B2552,INSUMOS!C:G,5,0))</f>
        <v/>
      </c>
    </row>
    <row r="2553" spans="1:11" ht="15" x14ac:dyDescent="0.25">
      <c r="A2553" s="109"/>
      <c r="B2553" s="116"/>
      <c r="C2553" s="518" t="str">
        <f>IF(A2553&amp;B2553="","",VLOOKUP(A2553&amp;B2553,INSUMOS!C:G,2,0))</f>
        <v/>
      </c>
      <c r="D2553" s="519"/>
      <c r="E2553" s="117" t="str">
        <f>IF(A2553&amp;B2553="","",VLOOKUP(A2553&amp;B2553,INSUMOS!C:G,3,0))</f>
        <v/>
      </c>
      <c r="F2553" s="118"/>
      <c r="G2553" s="113" t="str">
        <f>IF(A2553&amp;B2553="","",VLOOKUP(A2553&amp;B2553,INSUMOS!C:G,4,0))</f>
        <v/>
      </c>
      <c r="H2553" s="119" t="str">
        <f t="shared" si="429"/>
        <v/>
      </c>
      <c r="I2553" s="119" t="str">
        <f t="shared" si="430"/>
        <v/>
      </c>
      <c r="J2553" s="115" t="str">
        <f t="shared" si="431"/>
        <v/>
      </c>
      <c r="K2553" s="102" t="str">
        <f>IF(A2553&amp;B2553="","",VLOOKUP(A2553&amp;B2553,INSUMOS!C:G,5,0))</f>
        <v/>
      </c>
    </row>
    <row r="2554" spans="1:11" ht="15" x14ac:dyDescent="0.25">
      <c r="A2554" s="109"/>
      <c r="B2554" s="116"/>
      <c r="C2554" s="518" t="str">
        <f>IF(A2554&amp;B2554="","",VLOOKUP(A2554&amp;B2554,INSUMOS!C:G,2,0))</f>
        <v/>
      </c>
      <c r="D2554" s="519"/>
      <c r="E2554" s="117" t="str">
        <f>IF(A2554&amp;B2554="","",VLOOKUP(A2554&amp;B2554,INSUMOS!C:G,3,0))</f>
        <v/>
      </c>
      <c r="F2554" s="118"/>
      <c r="G2554" s="113" t="str">
        <f>IF(A2554&amp;B2554="","",VLOOKUP(A2554&amp;B2554,INSUMOS!C:G,4,0))</f>
        <v/>
      </c>
      <c r="H2554" s="119" t="str">
        <f t="shared" si="429"/>
        <v/>
      </c>
      <c r="I2554" s="119" t="str">
        <f t="shared" si="430"/>
        <v/>
      </c>
      <c r="J2554" s="115" t="str">
        <f t="shared" si="431"/>
        <v/>
      </c>
      <c r="K2554" s="102" t="str">
        <f>IF(A2554&amp;B2554="","",VLOOKUP(A2554&amp;B2554,INSUMOS!C:G,5,0))</f>
        <v/>
      </c>
    </row>
    <row r="2555" spans="1:11" ht="15" x14ac:dyDescent="0.25">
      <c r="A2555" s="109"/>
      <c r="B2555" s="116"/>
      <c r="C2555" s="518" t="str">
        <f>IF(A2555&amp;B2555="","",VLOOKUP(A2555&amp;B2555,INSUMOS!C:G,2,0))</f>
        <v/>
      </c>
      <c r="D2555" s="519"/>
      <c r="E2555" s="117" t="str">
        <f>IF(A2555&amp;B2555="","",VLOOKUP(A2555&amp;B2555,INSUMOS!C:G,3,0))</f>
        <v/>
      </c>
      <c r="F2555" s="118"/>
      <c r="G2555" s="113" t="str">
        <f>IF(A2555&amp;B2555="","",VLOOKUP(A2555&amp;B2555,INSUMOS!C:G,4,0))</f>
        <v/>
      </c>
      <c r="H2555" s="119" t="str">
        <f t="shared" si="429"/>
        <v/>
      </c>
      <c r="I2555" s="119" t="str">
        <f t="shared" si="430"/>
        <v/>
      </c>
      <c r="J2555" s="115" t="str">
        <f t="shared" si="431"/>
        <v/>
      </c>
      <c r="K2555" s="102" t="str">
        <f>IF(A2555&amp;B2555="","",VLOOKUP(A2555&amp;B2555,INSUMOS!C:G,5,0))</f>
        <v/>
      </c>
    </row>
    <row r="2556" spans="1:11" ht="15" x14ac:dyDescent="0.25">
      <c r="A2556" s="109"/>
      <c r="B2556" s="116"/>
      <c r="C2556" s="518" t="str">
        <f>IF(A2556&amp;B2556="","",VLOOKUP(A2556&amp;B2556,INSUMOS!C:G,2,0))</f>
        <v/>
      </c>
      <c r="D2556" s="519"/>
      <c r="E2556" s="117" t="str">
        <f>IF(A2556&amp;B2556="","",VLOOKUP(A2556&amp;B2556,INSUMOS!C:G,3,0))</f>
        <v/>
      </c>
      <c r="F2556" s="118"/>
      <c r="G2556" s="113" t="str">
        <f>IF(A2556&amp;B2556="","",VLOOKUP(A2556&amp;B2556,INSUMOS!C:G,4,0))</f>
        <v/>
      </c>
      <c r="H2556" s="119" t="str">
        <f t="shared" si="429"/>
        <v/>
      </c>
      <c r="I2556" s="119" t="str">
        <f t="shared" si="430"/>
        <v/>
      </c>
      <c r="J2556" s="115" t="str">
        <f t="shared" si="431"/>
        <v/>
      </c>
      <c r="K2556" s="102" t="str">
        <f>IF(A2556&amp;B2556="","",VLOOKUP(A2556&amp;B2556,INSUMOS!C:G,5,0))</f>
        <v/>
      </c>
    </row>
    <row r="2557" spans="1:11" ht="15" x14ac:dyDescent="0.25">
      <c r="A2557" s="109"/>
      <c r="B2557" s="116"/>
      <c r="C2557" s="518" t="str">
        <f>IF(A2557&amp;B2557="","",VLOOKUP(A2557&amp;B2557,INSUMOS!C:G,2,0))</f>
        <v/>
      </c>
      <c r="D2557" s="519"/>
      <c r="E2557" s="117" t="str">
        <f>IF(A2557&amp;B2557="","",VLOOKUP(A2557&amp;B2557,INSUMOS!C:G,3,0))</f>
        <v/>
      </c>
      <c r="F2557" s="118"/>
      <c r="G2557" s="113" t="str">
        <f>IF(A2557&amp;B2557="","",VLOOKUP(A2557&amp;B2557,INSUMOS!C:G,4,0))</f>
        <v/>
      </c>
      <c r="H2557" s="119" t="str">
        <f t="shared" si="429"/>
        <v/>
      </c>
      <c r="I2557" s="119" t="str">
        <f t="shared" si="430"/>
        <v/>
      </c>
      <c r="J2557" s="115" t="str">
        <f t="shared" si="431"/>
        <v/>
      </c>
      <c r="K2557" s="102" t="str">
        <f>IF(A2557&amp;B2557="","",VLOOKUP(A2557&amp;B2557,INSUMOS!C:G,5,0))</f>
        <v/>
      </c>
    </row>
    <row r="2558" spans="1:11" ht="15" x14ac:dyDescent="0.25">
      <c r="A2558" s="120"/>
      <c r="B2558" s="121"/>
      <c r="C2558" s="518" t="str">
        <f>IF(A2558&amp;B2558="","",VLOOKUP(A2558&amp;B2558,INSUMOS!C:G,2,0))</f>
        <v/>
      </c>
      <c r="D2558" s="519"/>
      <c r="E2558" s="117" t="str">
        <f>IF(A2558&amp;B2558="","",VLOOKUP(A2558&amp;B2558,INSUMOS!C:G,3,0))</f>
        <v/>
      </c>
      <c r="F2558" s="118"/>
      <c r="G2558" s="122" t="str">
        <f>IF(A2558&amp;B2558="","",VLOOKUP(A2558&amp;B2558,INSUMOS!C:G,4,0))</f>
        <v/>
      </c>
      <c r="H2558" s="119" t="str">
        <f t="shared" si="429"/>
        <v/>
      </c>
      <c r="I2558" s="119" t="str">
        <f t="shared" si="430"/>
        <v/>
      </c>
      <c r="J2558" s="115" t="str">
        <f t="shared" si="431"/>
        <v/>
      </c>
      <c r="K2558" s="102" t="str">
        <f>IF(A2558&amp;B2558="","",VLOOKUP(A2558&amp;B2558,INSUMOS!C:G,5,0))</f>
        <v/>
      </c>
    </row>
    <row r="2559" spans="1:11" ht="15" x14ac:dyDescent="0.25">
      <c r="A2559" s="120"/>
      <c r="B2559" s="121"/>
      <c r="C2559" s="518" t="str">
        <f>IF(A2559&amp;B2559="","",VLOOKUP(A2559&amp;B2559,INSUMOS!C:G,2,0))</f>
        <v/>
      </c>
      <c r="D2559" s="519"/>
      <c r="E2559" s="117" t="str">
        <f>IF(A2559&amp;B2559="","",VLOOKUP(A2559&amp;B2559,INSUMOS!C:G,3,0))</f>
        <v/>
      </c>
      <c r="F2559" s="118"/>
      <c r="G2559" s="122" t="str">
        <f>IF(A2559&amp;B2559="","",VLOOKUP(A2559&amp;B2559,INSUMOS!C:G,4,0))</f>
        <v/>
      </c>
      <c r="H2559" s="119" t="str">
        <f t="shared" si="429"/>
        <v/>
      </c>
      <c r="I2559" s="119" t="str">
        <f t="shared" si="430"/>
        <v/>
      </c>
      <c r="J2559" s="115" t="str">
        <f t="shared" si="431"/>
        <v/>
      </c>
      <c r="K2559" s="102" t="str">
        <f>IF(A2559&amp;B2559="","",VLOOKUP(A2559&amp;B2559,INSUMOS!C:G,5,0))</f>
        <v/>
      </c>
    </row>
    <row r="2560" spans="1:11" ht="15" x14ac:dyDescent="0.25">
      <c r="A2560" s="120"/>
      <c r="B2560" s="121"/>
      <c r="C2560" s="518" t="str">
        <f>IF(A2560&amp;B2560="","",VLOOKUP(A2560&amp;B2560,INSUMOS!C:G,2,0))</f>
        <v/>
      </c>
      <c r="D2560" s="519"/>
      <c r="E2560" s="117" t="str">
        <f>IF(A2560&amp;B2560="","",VLOOKUP(A2560&amp;B2560,INSUMOS!C:G,3,0))</f>
        <v/>
      </c>
      <c r="F2560" s="118"/>
      <c r="G2560" s="122" t="str">
        <f>IF(A2560&amp;B2560="","",VLOOKUP(A2560&amp;B2560,INSUMOS!C:G,4,0))</f>
        <v/>
      </c>
      <c r="H2560" s="119" t="str">
        <f t="shared" si="429"/>
        <v/>
      </c>
      <c r="I2560" s="119" t="str">
        <f t="shared" si="430"/>
        <v/>
      </c>
      <c r="J2560" s="115" t="str">
        <f t="shared" si="431"/>
        <v/>
      </c>
      <c r="K2560" s="102" t="str">
        <f>IF(A2560&amp;B2560="","",VLOOKUP(A2560&amp;B2560,INSUMOS!C:G,5,0))</f>
        <v/>
      </c>
    </row>
    <row r="2561" spans="1:17" ht="15" x14ac:dyDescent="0.25">
      <c r="A2561" s="123" t="s">
        <v>4399</v>
      </c>
      <c r="B2561" s="542"/>
      <c r="C2561" s="542"/>
      <c r="D2561" s="542"/>
      <c r="E2561" s="542"/>
      <c r="F2561" s="543"/>
      <c r="G2561" s="124" t="s">
        <v>50</v>
      </c>
      <c r="H2561" s="125">
        <f>SUM(H2548:H2560)</f>
        <v>55.78</v>
      </c>
      <c r="I2561" s="125">
        <f>SUM(I2548:I2560)</f>
        <v>199.5</v>
      </c>
      <c r="J2561" s="126">
        <f>SUM(J2548:J2560)</f>
        <v>0</v>
      </c>
    </row>
    <row r="2562" spans="1:17" ht="15" x14ac:dyDescent="0.25">
      <c r="A2562" s="127" t="s">
        <v>4400</v>
      </c>
      <c r="B2562" s="128"/>
      <c r="C2562" s="128"/>
      <c r="D2562" s="127" t="s">
        <v>51</v>
      </c>
      <c r="E2562" s="128"/>
      <c r="F2562" s="129"/>
      <c r="G2562" s="130" t="s">
        <v>55</v>
      </c>
      <c r="H2562" s="131" t="s">
        <v>52</v>
      </c>
      <c r="I2562" s="132"/>
      <c r="J2562" s="125">
        <f>SUM(H2561:J2561)</f>
        <v>255.28</v>
      </c>
    </row>
    <row r="2563" spans="1:17" ht="15" x14ac:dyDescent="0.25">
      <c r="A2563" s="313" t="str">
        <f>$I$3</f>
        <v>Carlos Wieck</v>
      </c>
      <c r="B2563" s="133"/>
      <c r="C2563" s="133"/>
      <c r="D2563" s="134"/>
      <c r="E2563" s="133"/>
      <c r="F2563" s="135"/>
      <c r="G2563" s="522">
        <f>$J$5</f>
        <v>43040</v>
      </c>
      <c r="H2563" s="136" t="s">
        <v>53</v>
      </c>
      <c r="I2563" s="137"/>
      <c r="J2563" s="125">
        <f>TRUNC(I2563*J2562,2)</f>
        <v>0</v>
      </c>
    </row>
    <row r="2564" spans="1:17" ht="15" x14ac:dyDescent="0.25">
      <c r="A2564" s="314"/>
      <c r="B2564" s="139"/>
      <c r="C2564" s="139"/>
      <c r="D2564" s="138"/>
      <c r="E2564" s="139"/>
      <c r="F2564" s="140"/>
      <c r="G2564" s="523"/>
      <c r="H2564" s="141" t="s">
        <v>54</v>
      </c>
      <c r="I2564" s="142"/>
      <c r="J2564" s="143">
        <f>J2563+J2562</f>
        <v>255.28</v>
      </c>
      <c r="L2564" s="102" t="str">
        <f>A2545</f>
        <v>COMPOSIÇÃO</v>
      </c>
      <c r="M2564" s="144" t="str">
        <f>B2545</f>
        <v>FF-109</v>
      </c>
      <c r="N2564" s="102" t="str">
        <f>L2564&amp;M2564</f>
        <v>COMPOSIÇÃOFF-109</v>
      </c>
      <c r="O2564" s="103" t="str">
        <f>D2544</f>
        <v>Caixa de gordura em PVC com cesto de limpeza ref. Tigre ou equivalente, dim. 250x172x50mm</v>
      </c>
      <c r="P2564" s="145" t="str">
        <f>J2545</f>
        <v>un</v>
      </c>
      <c r="Q2564" s="145">
        <f>J2564</f>
        <v>255.28</v>
      </c>
    </row>
    <row r="2565" spans="1:17" ht="15" customHeight="1" x14ac:dyDescent="0.25">
      <c r="A2565" s="524" t="s">
        <v>40</v>
      </c>
      <c r="B2565" s="525"/>
      <c r="C2565" s="104" t="s">
        <v>41</v>
      </c>
      <c r="D2565" s="526" t="str">
        <f>IF(B2566="","",VLOOKUP(B2566,SERVIÇOS!B:E,3,0))</f>
        <v>Caixa de inspeção de águas pluviais ref. Tigre ou equivalente técnico</v>
      </c>
      <c r="E2565" s="526"/>
      <c r="F2565" s="526"/>
      <c r="G2565" s="526"/>
      <c r="H2565" s="526"/>
      <c r="I2565" s="527"/>
      <c r="J2565" s="105" t="s">
        <v>42</v>
      </c>
    </row>
    <row r="2566" spans="1:17" ht="15" x14ac:dyDescent="0.25">
      <c r="A2566" s="230" t="s">
        <v>4715</v>
      </c>
      <c r="B2566" s="230" t="s">
        <v>5289</v>
      </c>
      <c r="C2566" s="106"/>
      <c r="D2566" s="528"/>
      <c r="E2566" s="528"/>
      <c r="F2566" s="528"/>
      <c r="G2566" s="528"/>
      <c r="H2566" s="528"/>
      <c r="I2566" s="529"/>
      <c r="J2566" s="107" t="str">
        <f>IF(B2566="","",VLOOKUP(B2566,SERVIÇOS!B:E,4,0))</f>
        <v>un</v>
      </c>
    </row>
    <row r="2567" spans="1:17" ht="15" x14ac:dyDescent="0.25">
      <c r="A2567" s="530" t="s">
        <v>4397</v>
      </c>
      <c r="B2567" s="531" t="s">
        <v>11</v>
      </c>
      <c r="C2567" s="533" t="s">
        <v>43</v>
      </c>
      <c r="D2567" s="534"/>
      <c r="E2567" s="530" t="s">
        <v>13</v>
      </c>
      <c r="F2567" s="530" t="s">
        <v>44</v>
      </c>
      <c r="G2567" s="538" t="s">
        <v>45</v>
      </c>
      <c r="H2567" s="108" t="s">
        <v>46</v>
      </c>
      <c r="I2567" s="108"/>
      <c r="J2567" s="108"/>
    </row>
    <row r="2568" spans="1:17" ht="15" x14ac:dyDescent="0.25">
      <c r="A2568" s="530"/>
      <c r="B2568" s="532"/>
      <c r="C2568" s="535"/>
      <c r="D2568" s="536"/>
      <c r="E2568" s="537"/>
      <c r="F2568" s="537"/>
      <c r="G2568" s="539"/>
      <c r="H2568" s="108" t="s">
        <v>47</v>
      </c>
      <c r="I2568" s="108" t="s">
        <v>48</v>
      </c>
      <c r="J2568" s="108" t="s">
        <v>49</v>
      </c>
    </row>
    <row r="2569" spans="1:17" ht="15" x14ac:dyDescent="0.25">
      <c r="A2569" s="109" t="s">
        <v>4398</v>
      </c>
      <c r="B2569" s="110">
        <v>10119</v>
      </c>
      <c r="C2569" s="540" t="str">
        <f>IF(A2569&amp;B2569="","",VLOOKUP(A2569&amp;B2569,INSUMOS!C:G,2,0))</f>
        <v>Ajudante de encanador</v>
      </c>
      <c r="D2569" s="541"/>
      <c r="E2569" s="111" t="str">
        <f>IF(A2569&amp;B2569="","",VLOOKUP(A2569&amp;B2569,INSUMOS!C:G,3,0))</f>
        <v>h</v>
      </c>
      <c r="F2569" s="112">
        <v>2</v>
      </c>
      <c r="G2569" s="113">
        <f>IF(A2569&amp;B2569="","",VLOOKUP(A2569&amp;B2569,INSUMOS!C:G,4,0))</f>
        <v>10.985028</v>
      </c>
      <c r="H2569" s="114">
        <f>IF(K2569="MO",TRUNC(F2569*G2569,2),"")</f>
        <v>21.97</v>
      </c>
      <c r="I2569" s="114" t="str">
        <f>IF(K2569="MT",TRUNC(F2569*G2569,2),"")</f>
        <v/>
      </c>
      <c r="J2569" s="115" t="str">
        <f>IF(K2569="EQ",TRUNC(F2569*G2569,2),"")</f>
        <v/>
      </c>
      <c r="K2569" s="102" t="str">
        <f>IF(A2569&amp;B2569="","",VLOOKUP(A2569&amp;B2569,INSUMOS!C:G,5,0))</f>
        <v>MO</v>
      </c>
    </row>
    <row r="2570" spans="1:17" ht="15" x14ac:dyDescent="0.25">
      <c r="A2570" s="109" t="s">
        <v>4398</v>
      </c>
      <c r="B2570" s="116">
        <v>10118</v>
      </c>
      <c r="C2570" s="518" t="str">
        <f>IF(A2570&amp;B2570="","",VLOOKUP(A2570&amp;B2570,INSUMOS!C:G,2,0))</f>
        <v xml:space="preserve">Encanador </v>
      </c>
      <c r="D2570" s="519"/>
      <c r="E2570" s="117" t="str">
        <f>IF(A2570&amp;B2570="","",VLOOKUP(A2570&amp;B2570,INSUMOS!C:G,3,0))</f>
        <v>h</v>
      </c>
      <c r="F2570" s="118">
        <v>2</v>
      </c>
      <c r="G2570" s="113">
        <f>IF(A2570&amp;B2570="","",VLOOKUP(A2570&amp;B2570,INSUMOS!C:G,4,0))</f>
        <v>16.906036</v>
      </c>
      <c r="H2570" s="119">
        <f t="shared" ref="H2570:H2581" si="432">IF(K2570="MO",TRUNC(F2570*G2570,2),"")</f>
        <v>33.81</v>
      </c>
      <c r="I2570" s="119" t="str">
        <f t="shared" ref="I2570:I2581" si="433">IF(K2570="MT",TRUNC(F2570*G2570,2),"")</f>
        <v/>
      </c>
      <c r="J2570" s="115" t="str">
        <f t="shared" ref="J2570:J2581" si="434">IF(K2570="EQ",TRUNC(F2570*G2570,2),"")</f>
        <v/>
      </c>
      <c r="K2570" s="102" t="str">
        <f>IF(A2570&amp;B2570="","",VLOOKUP(A2570&amp;B2570,INSUMOS!C:G,5,0))</f>
        <v>MO</v>
      </c>
    </row>
    <row r="2571" spans="1:17" ht="15" x14ac:dyDescent="0.25">
      <c r="A2571" s="109" t="s">
        <v>4717</v>
      </c>
      <c r="B2571" s="116" t="s">
        <v>4973</v>
      </c>
      <c r="C2571" s="518" t="str">
        <f>IF(A2571&amp;B2571="","",VLOOKUP(A2571&amp;B2571,INSUMOS!C:G,2,0))</f>
        <v>Caixa de inspeção de águas pluviais ref. Tigre ou equivalente técnico</v>
      </c>
      <c r="D2571" s="519"/>
      <c r="E2571" s="117" t="str">
        <f>IF(A2571&amp;B2571="","",VLOOKUP(A2571&amp;B2571,INSUMOS!C:G,3,0))</f>
        <v>un</v>
      </c>
      <c r="F2571" s="118">
        <v>1</v>
      </c>
      <c r="G2571" s="113">
        <f>IF(A2571&amp;B2571="","",VLOOKUP(A2571&amp;B2571,INSUMOS!C:G,4,0))</f>
        <v>154.59020000000001</v>
      </c>
      <c r="H2571" s="119" t="str">
        <f t="shared" si="432"/>
        <v/>
      </c>
      <c r="I2571" s="119">
        <f t="shared" si="433"/>
        <v>154.59</v>
      </c>
      <c r="J2571" s="115" t="str">
        <f t="shared" si="434"/>
        <v/>
      </c>
      <c r="K2571" s="102" t="str">
        <f>IF(A2571&amp;B2571="","",VLOOKUP(A2571&amp;B2571,INSUMOS!C:G,5,0))</f>
        <v>MT</v>
      </c>
    </row>
    <row r="2572" spans="1:17" ht="15" x14ac:dyDescent="0.25">
      <c r="A2572" s="109"/>
      <c r="B2572" s="116"/>
      <c r="C2572" s="518" t="str">
        <f>IF(A2572&amp;B2572="","",VLOOKUP(A2572&amp;B2572,INSUMOS!C:G,2,0))</f>
        <v/>
      </c>
      <c r="D2572" s="519"/>
      <c r="E2572" s="117" t="str">
        <f>IF(A2572&amp;B2572="","",VLOOKUP(A2572&amp;B2572,INSUMOS!C:G,3,0))</f>
        <v/>
      </c>
      <c r="F2572" s="118"/>
      <c r="G2572" s="113" t="str">
        <f>IF(A2572&amp;B2572="","",VLOOKUP(A2572&amp;B2572,INSUMOS!C:G,4,0))</f>
        <v/>
      </c>
      <c r="H2572" s="119" t="str">
        <f t="shared" si="432"/>
        <v/>
      </c>
      <c r="I2572" s="119" t="str">
        <f t="shared" si="433"/>
        <v/>
      </c>
      <c r="J2572" s="115" t="str">
        <f t="shared" si="434"/>
        <v/>
      </c>
      <c r="K2572" s="102" t="str">
        <f>IF(A2572&amp;B2572="","",VLOOKUP(A2572&amp;B2572,INSUMOS!C:G,5,0))</f>
        <v/>
      </c>
    </row>
    <row r="2573" spans="1:17" ht="15" x14ac:dyDescent="0.25">
      <c r="A2573" s="109"/>
      <c r="B2573" s="116"/>
      <c r="C2573" s="518" t="str">
        <f>IF(A2573&amp;B2573="","",VLOOKUP(A2573&amp;B2573,INSUMOS!C:G,2,0))</f>
        <v/>
      </c>
      <c r="D2573" s="519"/>
      <c r="E2573" s="117" t="str">
        <f>IF(A2573&amp;B2573="","",VLOOKUP(A2573&amp;B2573,INSUMOS!C:G,3,0))</f>
        <v/>
      </c>
      <c r="F2573" s="118"/>
      <c r="G2573" s="113" t="str">
        <f>IF(A2573&amp;B2573="","",VLOOKUP(A2573&amp;B2573,INSUMOS!C:G,4,0))</f>
        <v/>
      </c>
      <c r="H2573" s="119" t="str">
        <f t="shared" si="432"/>
        <v/>
      </c>
      <c r="I2573" s="119" t="str">
        <f t="shared" si="433"/>
        <v/>
      </c>
      <c r="J2573" s="115" t="str">
        <f t="shared" si="434"/>
        <v/>
      </c>
      <c r="K2573" s="102" t="str">
        <f>IF(A2573&amp;B2573="","",VLOOKUP(A2573&amp;B2573,INSUMOS!C:G,5,0))</f>
        <v/>
      </c>
    </row>
    <row r="2574" spans="1:17" ht="15" x14ac:dyDescent="0.25">
      <c r="A2574" s="109"/>
      <c r="B2574" s="116"/>
      <c r="C2574" s="518" t="str">
        <f>IF(A2574&amp;B2574="","",VLOOKUP(A2574&amp;B2574,INSUMOS!C:G,2,0))</f>
        <v/>
      </c>
      <c r="D2574" s="519"/>
      <c r="E2574" s="117" t="str">
        <f>IF(A2574&amp;B2574="","",VLOOKUP(A2574&amp;B2574,INSUMOS!C:G,3,0))</f>
        <v/>
      </c>
      <c r="F2574" s="118"/>
      <c r="G2574" s="113" t="str">
        <f>IF(A2574&amp;B2574="","",VLOOKUP(A2574&amp;B2574,INSUMOS!C:G,4,0))</f>
        <v/>
      </c>
      <c r="H2574" s="119" t="str">
        <f t="shared" si="432"/>
        <v/>
      </c>
      <c r="I2574" s="119" t="str">
        <f t="shared" si="433"/>
        <v/>
      </c>
      <c r="J2574" s="115" t="str">
        <f t="shared" si="434"/>
        <v/>
      </c>
      <c r="K2574" s="102" t="str">
        <f>IF(A2574&amp;B2574="","",VLOOKUP(A2574&amp;B2574,INSUMOS!C:G,5,0))</f>
        <v/>
      </c>
    </row>
    <row r="2575" spans="1:17" ht="15" x14ac:dyDescent="0.25">
      <c r="A2575" s="109"/>
      <c r="B2575" s="116"/>
      <c r="C2575" s="518" t="str">
        <f>IF(A2575&amp;B2575="","",VLOOKUP(A2575&amp;B2575,INSUMOS!C:G,2,0))</f>
        <v/>
      </c>
      <c r="D2575" s="519"/>
      <c r="E2575" s="117" t="str">
        <f>IF(A2575&amp;B2575="","",VLOOKUP(A2575&amp;B2575,INSUMOS!C:G,3,0))</f>
        <v/>
      </c>
      <c r="F2575" s="118"/>
      <c r="G2575" s="113" t="str">
        <f>IF(A2575&amp;B2575="","",VLOOKUP(A2575&amp;B2575,INSUMOS!C:G,4,0))</f>
        <v/>
      </c>
      <c r="H2575" s="119" t="str">
        <f t="shared" si="432"/>
        <v/>
      </c>
      <c r="I2575" s="119" t="str">
        <f t="shared" si="433"/>
        <v/>
      </c>
      <c r="J2575" s="115" t="str">
        <f t="shared" si="434"/>
        <v/>
      </c>
      <c r="K2575" s="102" t="str">
        <f>IF(A2575&amp;B2575="","",VLOOKUP(A2575&amp;B2575,INSUMOS!C:G,5,0))</f>
        <v/>
      </c>
    </row>
    <row r="2576" spans="1:17" ht="15" x14ac:dyDescent="0.25">
      <c r="A2576" s="109"/>
      <c r="B2576" s="116"/>
      <c r="C2576" s="518" t="str">
        <f>IF(A2576&amp;B2576="","",VLOOKUP(A2576&amp;B2576,INSUMOS!C:G,2,0))</f>
        <v/>
      </c>
      <c r="D2576" s="519"/>
      <c r="E2576" s="117" t="str">
        <f>IF(A2576&amp;B2576="","",VLOOKUP(A2576&amp;B2576,INSUMOS!C:G,3,0))</f>
        <v/>
      </c>
      <c r="F2576" s="118"/>
      <c r="G2576" s="113" t="str">
        <f>IF(A2576&amp;B2576="","",VLOOKUP(A2576&amp;B2576,INSUMOS!C:G,4,0))</f>
        <v/>
      </c>
      <c r="H2576" s="119" t="str">
        <f t="shared" si="432"/>
        <v/>
      </c>
      <c r="I2576" s="119" t="str">
        <f t="shared" si="433"/>
        <v/>
      </c>
      <c r="J2576" s="115" t="str">
        <f t="shared" si="434"/>
        <v/>
      </c>
      <c r="K2576" s="102" t="str">
        <f>IF(A2576&amp;B2576="","",VLOOKUP(A2576&amp;B2576,INSUMOS!C:G,5,0))</f>
        <v/>
      </c>
    </row>
    <row r="2577" spans="1:17" ht="15" x14ac:dyDescent="0.25">
      <c r="A2577" s="109"/>
      <c r="B2577" s="116"/>
      <c r="C2577" s="518" t="str">
        <f>IF(A2577&amp;B2577="","",VLOOKUP(A2577&amp;B2577,INSUMOS!C:G,2,0))</f>
        <v/>
      </c>
      <c r="D2577" s="519"/>
      <c r="E2577" s="117" t="str">
        <f>IF(A2577&amp;B2577="","",VLOOKUP(A2577&amp;B2577,INSUMOS!C:G,3,0))</f>
        <v/>
      </c>
      <c r="F2577" s="118"/>
      <c r="G2577" s="113" t="str">
        <f>IF(A2577&amp;B2577="","",VLOOKUP(A2577&amp;B2577,INSUMOS!C:G,4,0))</f>
        <v/>
      </c>
      <c r="H2577" s="119" t="str">
        <f t="shared" si="432"/>
        <v/>
      </c>
      <c r="I2577" s="119" t="str">
        <f t="shared" si="433"/>
        <v/>
      </c>
      <c r="J2577" s="115" t="str">
        <f t="shared" si="434"/>
        <v/>
      </c>
      <c r="K2577" s="102" t="str">
        <f>IF(A2577&amp;B2577="","",VLOOKUP(A2577&amp;B2577,INSUMOS!C:G,5,0))</f>
        <v/>
      </c>
    </row>
    <row r="2578" spans="1:17" ht="15" x14ac:dyDescent="0.25">
      <c r="A2578" s="109"/>
      <c r="B2578" s="116"/>
      <c r="C2578" s="518" t="str">
        <f>IF(A2578&amp;B2578="","",VLOOKUP(A2578&amp;B2578,INSUMOS!C:G,2,0))</f>
        <v/>
      </c>
      <c r="D2578" s="519"/>
      <c r="E2578" s="117" t="str">
        <f>IF(A2578&amp;B2578="","",VLOOKUP(A2578&amp;B2578,INSUMOS!C:G,3,0))</f>
        <v/>
      </c>
      <c r="F2578" s="118"/>
      <c r="G2578" s="113" t="str">
        <f>IF(A2578&amp;B2578="","",VLOOKUP(A2578&amp;B2578,INSUMOS!C:G,4,0))</f>
        <v/>
      </c>
      <c r="H2578" s="119" t="str">
        <f t="shared" si="432"/>
        <v/>
      </c>
      <c r="I2578" s="119" t="str">
        <f t="shared" si="433"/>
        <v/>
      </c>
      <c r="J2578" s="115" t="str">
        <f t="shared" si="434"/>
        <v/>
      </c>
      <c r="K2578" s="102" t="str">
        <f>IF(A2578&amp;B2578="","",VLOOKUP(A2578&amp;B2578,INSUMOS!C:G,5,0))</f>
        <v/>
      </c>
    </row>
    <row r="2579" spans="1:17" ht="15" x14ac:dyDescent="0.25">
      <c r="A2579" s="120"/>
      <c r="B2579" s="121"/>
      <c r="C2579" s="518" t="str">
        <f>IF(A2579&amp;B2579="","",VLOOKUP(A2579&amp;B2579,INSUMOS!C:G,2,0))</f>
        <v/>
      </c>
      <c r="D2579" s="519"/>
      <c r="E2579" s="117" t="str">
        <f>IF(A2579&amp;B2579="","",VLOOKUP(A2579&amp;B2579,INSUMOS!C:G,3,0))</f>
        <v/>
      </c>
      <c r="F2579" s="118"/>
      <c r="G2579" s="122" t="str">
        <f>IF(A2579&amp;B2579="","",VLOOKUP(A2579&amp;B2579,INSUMOS!C:G,4,0))</f>
        <v/>
      </c>
      <c r="H2579" s="119" t="str">
        <f t="shared" si="432"/>
        <v/>
      </c>
      <c r="I2579" s="119" t="str">
        <f t="shared" si="433"/>
        <v/>
      </c>
      <c r="J2579" s="115" t="str">
        <f t="shared" si="434"/>
        <v/>
      </c>
      <c r="K2579" s="102" t="str">
        <f>IF(A2579&amp;B2579="","",VLOOKUP(A2579&amp;B2579,INSUMOS!C:G,5,0))</f>
        <v/>
      </c>
    </row>
    <row r="2580" spans="1:17" ht="15" x14ac:dyDescent="0.25">
      <c r="A2580" s="120"/>
      <c r="B2580" s="121"/>
      <c r="C2580" s="518" t="str">
        <f>IF(A2580&amp;B2580="","",VLOOKUP(A2580&amp;B2580,INSUMOS!C:G,2,0))</f>
        <v/>
      </c>
      <c r="D2580" s="519"/>
      <c r="E2580" s="117" t="str">
        <f>IF(A2580&amp;B2580="","",VLOOKUP(A2580&amp;B2580,INSUMOS!C:G,3,0))</f>
        <v/>
      </c>
      <c r="F2580" s="118"/>
      <c r="G2580" s="122" t="str">
        <f>IF(A2580&amp;B2580="","",VLOOKUP(A2580&amp;B2580,INSUMOS!C:G,4,0))</f>
        <v/>
      </c>
      <c r="H2580" s="119" t="str">
        <f t="shared" si="432"/>
        <v/>
      </c>
      <c r="I2580" s="119" t="str">
        <f t="shared" si="433"/>
        <v/>
      </c>
      <c r="J2580" s="115" t="str">
        <f t="shared" si="434"/>
        <v/>
      </c>
      <c r="K2580" s="102" t="str">
        <f>IF(A2580&amp;B2580="","",VLOOKUP(A2580&amp;B2580,INSUMOS!C:G,5,0))</f>
        <v/>
      </c>
    </row>
    <row r="2581" spans="1:17" ht="15" x14ac:dyDescent="0.25">
      <c r="A2581" s="120"/>
      <c r="B2581" s="121"/>
      <c r="C2581" s="518" t="str">
        <f>IF(A2581&amp;B2581="","",VLOOKUP(A2581&amp;B2581,INSUMOS!C:G,2,0))</f>
        <v/>
      </c>
      <c r="D2581" s="519"/>
      <c r="E2581" s="117" t="str">
        <f>IF(A2581&amp;B2581="","",VLOOKUP(A2581&amp;B2581,INSUMOS!C:G,3,0))</f>
        <v/>
      </c>
      <c r="F2581" s="118"/>
      <c r="G2581" s="122" t="str">
        <f>IF(A2581&amp;B2581="","",VLOOKUP(A2581&amp;B2581,INSUMOS!C:G,4,0))</f>
        <v/>
      </c>
      <c r="H2581" s="119" t="str">
        <f t="shared" si="432"/>
        <v/>
      </c>
      <c r="I2581" s="119" t="str">
        <f t="shared" si="433"/>
        <v/>
      </c>
      <c r="J2581" s="115" t="str">
        <f t="shared" si="434"/>
        <v/>
      </c>
      <c r="K2581" s="102" t="str">
        <f>IF(A2581&amp;B2581="","",VLOOKUP(A2581&amp;B2581,INSUMOS!C:G,5,0))</f>
        <v/>
      </c>
    </row>
    <row r="2582" spans="1:17" ht="15" x14ac:dyDescent="0.25">
      <c r="A2582" s="123" t="s">
        <v>4399</v>
      </c>
      <c r="B2582" s="542"/>
      <c r="C2582" s="542"/>
      <c r="D2582" s="542"/>
      <c r="E2582" s="542"/>
      <c r="F2582" s="543"/>
      <c r="G2582" s="124" t="s">
        <v>50</v>
      </c>
      <c r="H2582" s="125">
        <f>SUM(H2569:H2581)</f>
        <v>55.78</v>
      </c>
      <c r="I2582" s="125">
        <f>SUM(I2569:I2581)</f>
        <v>154.59</v>
      </c>
      <c r="J2582" s="126">
        <f>SUM(J2569:J2581)</f>
        <v>0</v>
      </c>
    </row>
    <row r="2583" spans="1:17" ht="15" x14ac:dyDescent="0.25">
      <c r="A2583" s="127" t="s">
        <v>4400</v>
      </c>
      <c r="B2583" s="128"/>
      <c r="C2583" s="128"/>
      <c r="D2583" s="127" t="s">
        <v>51</v>
      </c>
      <c r="E2583" s="128"/>
      <c r="F2583" s="129"/>
      <c r="G2583" s="130" t="s">
        <v>55</v>
      </c>
      <c r="H2583" s="131" t="s">
        <v>52</v>
      </c>
      <c r="I2583" s="132"/>
      <c r="J2583" s="125">
        <f>SUM(H2582:J2582)</f>
        <v>210.37</v>
      </c>
    </row>
    <row r="2584" spans="1:17" ht="15" x14ac:dyDescent="0.25">
      <c r="A2584" s="313" t="str">
        <f>$I$3</f>
        <v>Carlos Wieck</v>
      </c>
      <c r="B2584" s="133"/>
      <c r="C2584" s="133"/>
      <c r="D2584" s="134"/>
      <c r="E2584" s="133"/>
      <c r="F2584" s="135"/>
      <c r="G2584" s="522">
        <f>$J$5</f>
        <v>43040</v>
      </c>
      <c r="H2584" s="136" t="s">
        <v>53</v>
      </c>
      <c r="I2584" s="137"/>
      <c r="J2584" s="125">
        <f>TRUNC(I2584*J2583,2)</f>
        <v>0</v>
      </c>
    </row>
    <row r="2585" spans="1:17" ht="15" x14ac:dyDescent="0.25">
      <c r="A2585" s="314"/>
      <c r="B2585" s="139"/>
      <c r="C2585" s="139"/>
      <c r="D2585" s="138"/>
      <c r="E2585" s="139"/>
      <c r="F2585" s="140"/>
      <c r="G2585" s="523"/>
      <c r="H2585" s="141" t="s">
        <v>54</v>
      </c>
      <c r="I2585" s="142"/>
      <c r="J2585" s="143">
        <f>J2584+J2583</f>
        <v>210.37</v>
      </c>
      <c r="L2585" s="102" t="str">
        <f>A2566</f>
        <v>COMPOSIÇÃO</v>
      </c>
      <c r="M2585" s="144" t="str">
        <f>B2566</f>
        <v>FF-110</v>
      </c>
      <c r="N2585" s="102" t="str">
        <f>L2585&amp;M2585</f>
        <v>COMPOSIÇÃOFF-110</v>
      </c>
      <c r="O2585" s="103" t="str">
        <f>D2565</f>
        <v>Caixa de inspeção de águas pluviais ref. Tigre ou equivalente técnico</v>
      </c>
      <c r="P2585" s="145" t="str">
        <f>J2566</f>
        <v>un</v>
      </c>
      <c r="Q2585" s="145">
        <f>J2585</f>
        <v>210.37</v>
      </c>
    </row>
    <row r="2586" spans="1:17" ht="15" customHeight="1" x14ac:dyDescent="0.25">
      <c r="A2586" s="524" t="s">
        <v>40</v>
      </c>
      <c r="B2586" s="525"/>
      <c r="C2586" s="104" t="s">
        <v>41</v>
      </c>
      <c r="D2586" s="526" t="str">
        <f>IF(B2587="","",VLOOKUP(B2587,SERVIÇOS!B:E,3,0))</f>
        <v>Cisterna 2.800L, equipada para água de chuva com 2 filtros e bomba 1/2CV ref. Acqualimp ou equivalente técnico</v>
      </c>
      <c r="E2586" s="526"/>
      <c r="F2586" s="526"/>
      <c r="G2586" s="526"/>
      <c r="H2586" s="526"/>
      <c r="I2586" s="527"/>
      <c r="J2586" s="105" t="s">
        <v>42</v>
      </c>
    </row>
    <row r="2587" spans="1:17" ht="15" x14ac:dyDescent="0.25">
      <c r="A2587" s="230" t="s">
        <v>4715</v>
      </c>
      <c r="B2587" s="230" t="s">
        <v>5290</v>
      </c>
      <c r="C2587" s="106"/>
      <c r="D2587" s="528"/>
      <c r="E2587" s="528"/>
      <c r="F2587" s="528"/>
      <c r="G2587" s="528"/>
      <c r="H2587" s="528"/>
      <c r="I2587" s="529"/>
      <c r="J2587" s="107" t="str">
        <f>IF(B2587="","",VLOOKUP(B2587,SERVIÇOS!B:E,4,0))</f>
        <v>un</v>
      </c>
    </row>
    <row r="2588" spans="1:17" ht="15" x14ac:dyDescent="0.25">
      <c r="A2588" s="530" t="s">
        <v>4397</v>
      </c>
      <c r="B2588" s="531" t="s">
        <v>11</v>
      </c>
      <c r="C2588" s="533" t="s">
        <v>43</v>
      </c>
      <c r="D2588" s="534"/>
      <c r="E2588" s="530" t="s">
        <v>13</v>
      </c>
      <c r="F2588" s="530" t="s">
        <v>44</v>
      </c>
      <c r="G2588" s="538" t="s">
        <v>45</v>
      </c>
      <c r="H2588" s="108" t="s">
        <v>46</v>
      </c>
      <c r="I2588" s="108"/>
      <c r="J2588" s="108"/>
    </row>
    <row r="2589" spans="1:17" ht="15" x14ac:dyDescent="0.25">
      <c r="A2589" s="530"/>
      <c r="B2589" s="532"/>
      <c r="C2589" s="535"/>
      <c r="D2589" s="536"/>
      <c r="E2589" s="537"/>
      <c r="F2589" s="537"/>
      <c r="G2589" s="539"/>
      <c r="H2589" s="108" t="s">
        <v>47</v>
      </c>
      <c r="I2589" s="108" t="s">
        <v>48</v>
      </c>
      <c r="J2589" s="108" t="s">
        <v>49</v>
      </c>
    </row>
    <row r="2590" spans="1:17" ht="15" x14ac:dyDescent="0.25">
      <c r="A2590" s="109" t="s">
        <v>4398</v>
      </c>
      <c r="B2590" s="110">
        <v>10119</v>
      </c>
      <c r="C2590" s="540" t="str">
        <f>IF(A2590&amp;B2590="","",VLOOKUP(A2590&amp;B2590,INSUMOS!C:G,2,0))</f>
        <v>Ajudante de encanador</v>
      </c>
      <c r="D2590" s="541"/>
      <c r="E2590" s="111" t="str">
        <f>IF(A2590&amp;B2590="","",VLOOKUP(A2590&amp;B2590,INSUMOS!C:G,3,0))</f>
        <v>h</v>
      </c>
      <c r="F2590" s="112">
        <v>2</v>
      </c>
      <c r="G2590" s="113">
        <f>IF(A2590&amp;B2590="","",VLOOKUP(A2590&amp;B2590,INSUMOS!C:G,4,0))</f>
        <v>10.985028</v>
      </c>
      <c r="H2590" s="114">
        <f>IF(K2590="MO",TRUNC(F2590*G2590,2),"")</f>
        <v>21.97</v>
      </c>
      <c r="I2590" s="114" t="str">
        <f>IF(K2590="MT",TRUNC(F2590*G2590,2),"")</f>
        <v/>
      </c>
      <c r="J2590" s="115" t="str">
        <f>IF(K2590="EQ",TRUNC(F2590*G2590,2),"")</f>
        <v/>
      </c>
      <c r="K2590" s="102" t="str">
        <f>IF(A2590&amp;B2590="","",VLOOKUP(A2590&amp;B2590,INSUMOS!C:G,5,0))</f>
        <v>MO</v>
      </c>
    </row>
    <row r="2591" spans="1:17" ht="15" x14ac:dyDescent="0.25">
      <c r="A2591" s="109" t="s">
        <v>4398</v>
      </c>
      <c r="B2591" s="116">
        <v>10118</v>
      </c>
      <c r="C2591" s="518" t="str">
        <f>IF(A2591&amp;B2591="","",VLOOKUP(A2591&amp;B2591,INSUMOS!C:G,2,0))</f>
        <v xml:space="preserve">Encanador </v>
      </c>
      <c r="D2591" s="519"/>
      <c r="E2591" s="117" t="str">
        <f>IF(A2591&amp;B2591="","",VLOOKUP(A2591&amp;B2591,INSUMOS!C:G,3,0))</f>
        <v>h</v>
      </c>
      <c r="F2591" s="118">
        <v>2</v>
      </c>
      <c r="G2591" s="113">
        <f>IF(A2591&amp;B2591="","",VLOOKUP(A2591&amp;B2591,INSUMOS!C:G,4,0))</f>
        <v>16.906036</v>
      </c>
      <c r="H2591" s="119">
        <f t="shared" ref="H2591:H2602" si="435">IF(K2591="MO",TRUNC(F2591*G2591,2),"")</f>
        <v>33.81</v>
      </c>
      <c r="I2591" s="119" t="str">
        <f t="shared" ref="I2591:I2602" si="436">IF(K2591="MT",TRUNC(F2591*G2591,2),"")</f>
        <v/>
      </c>
      <c r="J2591" s="115" t="str">
        <f t="shared" ref="J2591:J2602" si="437">IF(K2591="EQ",TRUNC(F2591*G2591,2),"")</f>
        <v/>
      </c>
      <c r="K2591" s="102" t="str">
        <f>IF(A2591&amp;B2591="","",VLOOKUP(A2591&amp;B2591,INSUMOS!C:G,5,0))</f>
        <v>MO</v>
      </c>
    </row>
    <row r="2592" spans="1:17" ht="30" customHeight="1" x14ac:dyDescent="0.25">
      <c r="A2592" s="109" t="s">
        <v>4717</v>
      </c>
      <c r="B2592" s="116" t="s">
        <v>4974</v>
      </c>
      <c r="C2592" s="518" t="str">
        <f>IF(A2592&amp;B2592="","",VLOOKUP(A2592&amp;B2592,INSUMOS!C:G,2,0))</f>
        <v>Cisterna 2.800L, equipada para água de chuva com 2 filtros e bomba 1/2CV ref. Acqualimp ou equivalente técnico</v>
      </c>
      <c r="D2592" s="519"/>
      <c r="E2592" s="117" t="str">
        <f>IF(A2592&amp;B2592="","",VLOOKUP(A2592&amp;B2592,INSUMOS!C:G,3,0))</f>
        <v>un</v>
      </c>
      <c r="F2592" s="118">
        <v>1</v>
      </c>
      <c r="G2592" s="113">
        <f>IF(A2592&amp;B2592="","",VLOOKUP(A2592&amp;B2592,INSUMOS!C:G,4,0))</f>
        <v>4668.0452000000005</v>
      </c>
      <c r="H2592" s="119" t="str">
        <f t="shared" si="435"/>
        <v/>
      </c>
      <c r="I2592" s="119">
        <f t="shared" si="436"/>
        <v>4668.04</v>
      </c>
      <c r="J2592" s="115" t="str">
        <f t="shared" si="437"/>
        <v/>
      </c>
      <c r="K2592" s="102" t="str">
        <f>IF(A2592&amp;B2592="","",VLOOKUP(A2592&amp;B2592,INSUMOS!C:G,5,0))</f>
        <v>MT</v>
      </c>
    </row>
    <row r="2593" spans="1:17" ht="15" x14ac:dyDescent="0.25">
      <c r="A2593" s="109"/>
      <c r="B2593" s="116"/>
      <c r="C2593" s="518" t="str">
        <f>IF(A2593&amp;B2593="","",VLOOKUP(A2593&amp;B2593,INSUMOS!C:G,2,0))</f>
        <v/>
      </c>
      <c r="D2593" s="519"/>
      <c r="E2593" s="117" t="str">
        <f>IF(A2593&amp;B2593="","",VLOOKUP(A2593&amp;B2593,INSUMOS!C:G,3,0))</f>
        <v/>
      </c>
      <c r="F2593" s="118"/>
      <c r="G2593" s="113" t="str">
        <f>IF(A2593&amp;B2593="","",VLOOKUP(A2593&amp;B2593,INSUMOS!C:G,4,0))</f>
        <v/>
      </c>
      <c r="H2593" s="119" t="str">
        <f t="shared" si="435"/>
        <v/>
      </c>
      <c r="I2593" s="119" t="str">
        <f t="shared" si="436"/>
        <v/>
      </c>
      <c r="J2593" s="115" t="str">
        <f t="shared" si="437"/>
        <v/>
      </c>
      <c r="K2593" s="102" t="str">
        <f>IF(A2593&amp;B2593="","",VLOOKUP(A2593&amp;B2593,INSUMOS!C:G,5,0))</f>
        <v/>
      </c>
    </row>
    <row r="2594" spans="1:17" ht="15" x14ac:dyDescent="0.25">
      <c r="A2594" s="109"/>
      <c r="B2594" s="116"/>
      <c r="C2594" s="518" t="str">
        <f>IF(A2594&amp;B2594="","",VLOOKUP(A2594&amp;B2594,INSUMOS!C:G,2,0))</f>
        <v/>
      </c>
      <c r="D2594" s="519"/>
      <c r="E2594" s="117" t="str">
        <f>IF(A2594&amp;B2594="","",VLOOKUP(A2594&amp;B2594,INSUMOS!C:G,3,0))</f>
        <v/>
      </c>
      <c r="F2594" s="118"/>
      <c r="G2594" s="113" t="str">
        <f>IF(A2594&amp;B2594="","",VLOOKUP(A2594&amp;B2594,INSUMOS!C:G,4,0))</f>
        <v/>
      </c>
      <c r="H2594" s="119" t="str">
        <f t="shared" si="435"/>
        <v/>
      </c>
      <c r="I2594" s="119" t="str">
        <f t="shared" si="436"/>
        <v/>
      </c>
      <c r="J2594" s="115" t="str">
        <f t="shared" si="437"/>
        <v/>
      </c>
      <c r="K2594" s="102" t="str">
        <f>IF(A2594&amp;B2594="","",VLOOKUP(A2594&amp;B2594,INSUMOS!C:G,5,0))</f>
        <v/>
      </c>
    </row>
    <row r="2595" spans="1:17" ht="15" x14ac:dyDescent="0.25">
      <c r="A2595" s="109"/>
      <c r="B2595" s="116"/>
      <c r="C2595" s="518" t="str">
        <f>IF(A2595&amp;B2595="","",VLOOKUP(A2595&amp;B2595,INSUMOS!C:G,2,0))</f>
        <v/>
      </c>
      <c r="D2595" s="519"/>
      <c r="E2595" s="117" t="str">
        <f>IF(A2595&amp;B2595="","",VLOOKUP(A2595&amp;B2595,INSUMOS!C:G,3,0))</f>
        <v/>
      </c>
      <c r="F2595" s="118"/>
      <c r="G2595" s="113" t="str">
        <f>IF(A2595&amp;B2595="","",VLOOKUP(A2595&amp;B2595,INSUMOS!C:G,4,0))</f>
        <v/>
      </c>
      <c r="H2595" s="119" t="str">
        <f t="shared" si="435"/>
        <v/>
      </c>
      <c r="I2595" s="119" t="str">
        <f t="shared" si="436"/>
        <v/>
      </c>
      <c r="J2595" s="115" t="str">
        <f t="shared" si="437"/>
        <v/>
      </c>
      <c r="K2595" s="102" t="str">
        <f>IF(A2595&amp;B2595="","",VLOOKUP(A2595&amp;B2595,INSUMOS!C:G,5,0))</f>
        <v/>
      </c>
    </row>
    <row r="2596" spans="1:17" ht="15" x14ac:dyDescent="0.25">
      <c r="A2596" s="109"/>
      <c r="B2596" s="116"/>
      <c r="C2596" s="518" t="str">
        <f>IF(A2596&amp;B2596="","",VLOOKUP(A2596&amp;B2596,INSUMOS!C:G,2,0))</f>
        <v/>
      </c>
      <c r="D2596" s="519"/>
      <c r="E2596" s="117" t="str">
        <f>IF(A2596&amp;B2596="","",VLOOKUP(A2596&amp;B2596,INSUMOS!C:G,3,0))</f>
        <v/>
      </c>
      <c r="F2596" s="118"/>
      <c r="G2596" s="113" t="str">
        <f>IF(A2596&amp;B2596="","",VLOOKUP(A2596&amp;B2596,INSUMOS!C:G,4,0))</f>
        <v/>
      </c>
      <c r="H2596" s="119" t="str">
        <f t="shared" si="435"/>
        <v/>
      </c>
      <c r="I2596" s="119" t="str">
        <f t="shared" si="436"/>
        <v/>
      </c>
      <c r="J2596" s="115" t="str">
        <f t="shared" si="437"/>
        <v/>
      </c>
      <c r="K2596" s="102" t="str">
        <f>IF(A2596&amp;B2596="","",VLOOKUP(A2596&amp;B2596,INSUMOS!C:G,5,0))</f>
        <v/>
      </c>
    </row>
    <row r="2597" spans="1:17" ht="15" x14ac:dyDescent="0.25">
      <c r="A2597" s="109"/>
      <c r="B2597" s="116"/>
      <c r="C2597" s="518" t="str">
        <f>IF(A2597&amp;B2597="","",VLOOKUP(A2597&amp;B2597,INSUMOS!C:G,2,0))</f>
        <v/>
      </c>
      <c r="D2597" s="519"/>
      <c r="E2597" s="117" t="str">
        <f>IF(A2597&amp;B2597="","",VLOOKUP(A2597&amp;B2597,INSUMOS!C:G,3,0))</f>
        <v/>
      </c>
      <c r="F2597" s="118"/>
      <c r="G2597" s="113" t="str">
        <f>IF(A2597&amp;B2597="","",VLOOKUP(A2597&amp;B2597,INSUMOS!C:G,4,0))</f>
        <v/>
      </c>
      <c r="H2597" s="119" t="str">
        <f t="shared" si="435"/>
        <v/>
      </c>
      <c r="I2597" s="119" t="str">
        <f t="shared" si="436"/>
        <v/>
      </c>
      <c r="J2597" s="115" t="str">
        <f t="shared" si="437"/>
        <v/>
      </c>
      <c r="K2597" s="102" t="str">
        <f>IF(A2597&amp;B2597="","",VLOOKUP(A2597&amp;B2597,INSUMOS!C:G,5,0))</f>
        <v/>
      </c>
    </row>
    <row r="2598" spans="1:17" ht="15" x14ac:dyDescent="0.25">
      <c r="A2598" s="109"/>
      <c r="B2598" s="116"/>
      <c r="C2598" s="518" t="str">
        <f>IF(A2598&amp;B2598="","",VLOOKUP(A2598&amp;B2598,INSUMOS!C:G,2,0))</f>
        <v/>
      </c>
      <c r="D2598" s="519"/>
      <c r="E2598" s="117" t="str">
        <f>IF(A2598&amp;B2598="","",VLOOKUP(A2598&amp;B2598,INSUMOS!C:G,3,0))</f>
        <v/>
      </c>
      <c r="F2598" s="118"/>
      <c r="G2598" s="113" t="str">
        <f>IF(A2598&amp;B2598="","",VLOOKUP(A2598&amp;B2598,INSUMOS!C:G,4,0))</f>
        <v/>
      </c>
      <c r="H2598" s="119" t="str">
        <f t="shared" si="435"/>
        <v/>
      </c>
      <c r="I2598" s="119" t="str">
        <f t="shared" si="436"/>
        <v/>
      </c>
      <c r="J2598" s="115" t="str">
        <f t="shared" si="437"/>
        <v/>
      </c>
      <c r="K2598" s="102" t="str">
        <f>IF(A2598&amp;B2598="","",VLOOKUP(A2598&amp;B2598,INSUMOS!C:G,5,0))</f>
        <v/>
      </c>
    </row>
    <row r="2599" spans="1:17" ht="15" x14ac:dyDescent="0.25">
      <c r="A2599" s="109"/>
      <c r="B2599" s="116"/>
      <c r="C2599" s="518" t="str">
        <f>IF(A2599&amp;B2599="","",VLOOKUP(A2599&amp;B2599,INSUMOS!C:G,2,0))</f>
        <v/>
      </c>
      <c r="D2599" s="519"/>
      <c r="E2599" s="117" t="str">
        <f>IF(A2599&amp;B2599="","",VLOOKUP(A2599&amp;B2599,INSUMOS!C:G,3,0))</f>
        <v/>
      </c>
      <c r="F2599" s="118"/>
      <c r="G2599" s="113" t="str">
        <f>IF(A2599&amp;B2599="","",VLOOKUP(A2599&amp;B2599,INSUMOS!C:G,4,0))</f>
        <v/>
      </c>
      <c r="H2599" s="119" t="str">
        <f t="shared" si="435"/>
        <v/>
      </c>
      <c r="I2599" s="119" t="str">
        <f t="shared" si="436"/>
        <v/>
      </c>
      <c r="J2599" s="115" t="str">
        <f t="shared" si="437"/>
        <v/>
      </c>
      <c r="K2599" s="102" t="str">
        <f>IF(A2599&amp;B2599="","",VLOOKUP(A2599&amp;B2599,INSUMOS!C:G,5,0))</f>
        <v/>
      </c>
    </row>
    <row r="2600" spans="1:17" ht="15" x14ac:dyDescent="0.25">
      <c r="A2600" s="120"/>
      <c r="B2600" s="121"/>
      <c r="C2600" s="518" t="str">
        <f>IF(A2600&amp;B2600="","",VLOOKUP(A2600&amp;B2600,INSUMOS!C:G,2,0))</f>
        <v/>
      </c>
      <c r="D2600" s="519"/>
      <c r="E2600" s="117" t="str">
        <f>IF(A2600&amp;B2600="","",VLOOKUP(A2600&amp;B2600,INSUMOS!C:G,3,0))</f>
        <v/>
      </c>
      <c r="F2600" s="118"/>
      <c r="G2600" s="122" t="str">
        <f>IF(A2600&amp;B2600="","",VLOOKUP(A2600&amp;B2600,INSUMOS!C:G,4,0))</f>
        <v/>
      </c>
      <c r="H2600" s="119" t="str">
        <f t="shared" si="435"/>
        <v/>
      </c>
      <c r="I2600" s="119" t="str">
        <f t="shared" si="436"/>
        <v/>
      </c>
      <c r="J2600" s="115" t="str">
        <f t="shared" si="437"/>
        <v/>
      </c>
      <c r="K2600" s="102" t="str">
        <f>IF(A2600&amp;B2600="","",VLOOKUP(A2600&amp;B2600,INSUMOS!C:G,5,0))</f>
        <v/>
      </c>
    </row>
    <row r="2601" spans="1:17" ht="15" x14ac:dyDescent="0.25">
      <c r="A2601" s="120"/>
      <c r="B2601" s="121"/>
      <c r="C2601" s="518" t="str">
        <f>IF(A2601&amp;B2601="","",VLOOKUP(A2601&amp;B2601,INSUMOS!C:G,2,0))</f>
        <v/>
      </c>
      <c r="D2601" s="519"/>
      <c r="E2601" s="117" t="str">
        <f>IF(A2601&amp;B2601="","",VLOOKUP(A2601&amp;B2601,INSUMOS!C:G,3,0))</f>
        <v/>
      </c>
      <c r="F2601" s="118"/>
      <c r="G2601" s="122" t="str">
        <f>IF(A2601&amp;B2601="","",VLOOKUP(A2601&amp;B2601,INSUMOS!C:G,4,0))</f>
        <v/>
      </c>
      <c r="H2601" s="119" t="str">
        <f t="shared" si="435"/>
        <v/>
      </c>
      <c r="I2601" s="119" t="str">
        <f t="shared" si="436"/>
        <v/>
      </c>
      <c r="J2601" s="115" t="str">
        <f t="shared" si="437"/>
        <v/>
      </c>
      <c r="K2601" s="102" t="str">
        <f>IF(A2601&amp;B2601="","",VLOOKUP(A2601&amp;B2601,INSUMOS!C:G,5,0))</f>
        <v/>
      </c>
    </row>
    <row r="2602" spans="1:17" ht="15" x14ac:dyDescent="0.25">
      <c r="A2602" s="120"/>
      <c r="B2602" s="121"/>
      <c r="C2602" s="518" t="str">
        <f>IF(A2602&amp;B2602="","",VLOOKUP(A2602&amp;B2602,INSUMOS!C:G,2,0))</f>
        <v/>
      </c>
      <c r="D2602" s="519"/>
      <c r="E2602" s="117" t="str">
        <f>IF(A2602&amp;B2602="","",VLOOKUP(A2602&amp;B2602,INSUMOS!C:G,3,0))</f>
        <v/>
      </c>
      <c r="F2602" s="118"/>
      <c r="G2602" s="122" t="str">
        <f>IF(A2602&amp;B2602="","",VLOOKUP(A2602&amp;B2602,INSUMOS!C:G,4,0))</f>
        <v/>
      </c>
      <c r="H2602" s="119" t="str">
        <f t="shared" si="435"/>
        <v/>
      </c>
      <c r="I2602" s="119" t="str">
        <f t="shared" si="436"/>
        <v/>
      </c>
      <c r="J2602" s="115" t="str">
        <f t="shared" si="437"/>
        <v/>
      </c>
      <c r="K2602" s="102" t="str">
        <f>IF(A2602&amp;B2602="","",VLOOKUP(A2602&amp;B2602,INSUMOS!C:G,5,0))</f>
        <v/>
      </c>
    </row>
    <row r="2603" spans="1:17" ht="15" x14ac:dyDescent="0.25">
      <c r="A2603" s="123" t="s">
        <v>4399</v>
      </c>
      <c r="B2603" s="542"/>
      <c r="C2603" s="542"/>
      <c r="D2603" s="542"/>
      <c r="E2603" s="542"/>
      <c r="F2603" s="543"/>
      <c r="G2603" s="124" t="s">
        <v>50</v>
      </c>
      <c r="H2603" s="125">
        <f>SUM(H2590:H2602)</f>
        <v>55.78</v>
      </c>
      <c r="I2603" s="125">
        <f>SUM(I2590:I2602)</f>
        <v>4668.04</v>
      </c>
      <c r="J2603" s="126">
        <f>SUM(J2590:J2602)</f>
        <v>0</v>
      </c>
    </row>
    <row r="2604" spans="1:17" ht="15" x14ac:dyDescent="0.25">
      <c r="A2604" s="127" t="s">
        <v>4400</v>
      </c>
      <c r="B2604" s="128"/>
      <c r="C2604" s="128"/>
      <c r="D2604" s="127" t="s">
        <v>51</v>
      </c>
      <c r="E2604" s="128"/>
      <c r="F2604" s="129"/>
      <c r="G2604" s="130" t="s">
        <v>55</v>
      </c>
      <c r="H2604" s="131" t="s">
        <v>52</v>
      </c>
      <c r="I2604" s="132"/>
      <c r="J2604" s="125">
        <f>SUM(H2603:J2603)</f>
        <v>4723.82</v>
      </c>
    </row>
    <row r="2605" spans="1:17" ht="15" x14ac:dyDescent="0.25">
      <c r="A2605" s="313" t="str">
        <f>$I$3</f>
        <v>Carlos Wieck</v>
      </c>
      <c r="B2605" s="133"/>
      <c r="C2605" s="133"/>
      <c r="D2605" s="134"/>
      <c r="E2605" s="133"/>
      <c r="F2605" s="135"/>
      <c r="G2605" s="522">
        <f>$J$5</f>
        <v>43040</v>
      </c>
      <c r="H2605" s="136" t="s">
        <v>53</v>
      </c>
      <c r="I2605" s="137"/>
      <c r="J2605" s="125">
        <f>TRUNC(I2605*J2604,2)</f>
        <v>0</v>
      </c>
    </row>
    <row r="2606" spans="1:17" ht="15" x14ac:dyDescent="0.25">
      <c r="A2606" s="314"/>
      <c r="B2606" s="139"/>
      <c r="C2606" s="139"/>
      <c r="D2606" s="138"/>
      <c r="E2606" s="139"/>
      <c r="F2606" s="140"/>
      <c r="G2606" s="523"/>
      <c r="H2606" s="141" t="s">
        <v>54</v>
      </c>
      <c r="I2606" s="142"/>
      <c r="J2606" s="143">
        <f>J2605+J2604</f>
        <v>4723.82</v>
      </c>
      <c r="L2606" s="102" t="str">
        <f>A2587</f>
        <v>COMPOSIÇÃO</v>
      </c>
      <c r="M2606" s="144" t="str">
        <f>B2587</f>
        <v>FF-111</v>
      </c>
      <c r="N2606" s="102" t="str">
        <f>L2606&amp;M2606</f>
        <v>COMPOSIÇÃOFF-111</v>
      </c>
      <c r="O2606" s="103" t="str">
        <f>D2586</f>
        <v>Cisterna 2.800L, equipada para água de chuva com 2 filtros e bomba 1/2CV ref. Acqualimp ou equivalente técnico</v>
      </c>
      <c r="P2606" s="145" t="str">
        <f>J2587</f>
        <v>un</v>
      </c>
      <c r="Q2606" s="145">
        <f>J2606</f>
        <v>4723.82</v>
      </c>
    </row>
    <row r="2607" spans="1:17" ht="15" customHeight="1" x14ac:dyDescent="0.25">
      <c r="A2607" s="524" t="s">
        <v>40</v>
      </c>
      <c r="B2607" s="525"/>
      <c r="C2607" s="104" t="s">
        <v>41</v>
      </c>
      <c r="D2607" s="526" t="str">
        <f>IF(B2608="","",VLOOKUP(B2608,SERVIÇOS!B:E,3,0))</f>
        <v>GC-01 - Guarda-corpo de madeira com fechamento de tela galvanizada + corrimão duplo de aço galvanizado 1/12"</v>
      </c>
      <c r="E2607" s="526"/>
      <c r="F2607" s="526"/>
      <c r="G2607" s="526"/>
      <c r="H2607" s="526"/>
      <c r="I2607" s="527"/>
      <c r="J2607" s="105" t="s">
        <v>42</v>
      </c>
    </row>
    <row r="2608" spans="1:17" ht="15" x14ac:dyDescent="0.25">
      <c r="A2608" s="230" t="s">
        <v>4715</v>
      </c>
      <c r="B2608" s="230" t="s">
        <v>5291</v>
      </c>
      <c r="C2608" s="106"/>
      <c r="D2608" s="528"/>
      <c r="E2608" s="528"/>
      <c r="F2608" s="528"/>
      <c r="G2608" s="528"/>
      <c r="H2608" s="528"/>
      <c r="I2608" s="529"/>
      <c r="J2608" s="107" t="str">
        <f>IF(B2608="","",VLOOKUP(B2608,SERVIÇOS!B:E,4,0))</f>
        <v>m</v>
      </c>
    </row>
    <row r="2609" spans="1:11" ht="15" x14ac:dyDescent="0.25">
      <c r="A2609" s="530" t="s">
        <v>4397</v>
      </c>
      <c r="B2609" s="531" t="s">
        <v>11</v>
      </c>
      <c r="C2609" s="533" t="s">
        <v>43</v>
      </c>
      <c r="D2609" s="534"/>
      <c r="E2609" s="530" t="s">
        <v>13</v>
      </c>
      <c r="F2609" s="530" t="s">
        <v>44</v>
      </c>
      <c r="G2609" s="538" t="s">
        <v>45</v>
      </c>
      <c r="H2609" s="108" t="s">
        <v>46</v>
      </c>
      <c r="I2609" s="108"/>
      <c r="J2609" s="108"/>
    </row>
    <row r="2610" spans="1:11" ht="15" x14ac:dyDescent="0.25">
      <c r="A2610" s="530"/>
      <c r="B2610" s="532"/>
      <c r="C2610" s="535"/>
      <c r="D2610" s="536"/>
      <c r="E2610" s="537"/>
      <c r="F2610" s="537"/>
      <c r="G2610" s="539"/>
      <c r="H2610" s="108" t="s">
        <v>47</v>
      </c>
      <c r="I2610" s="108" t="s">
        <v>48</v>
      </c>
      <c r="J2610" s="108" t="s">
        <v>49</v>
      </c>
    </row>
    <row r="2611" spans="1:11" ht="30" customHeight="1" x14ac:dyDescent="0.25">
      <c r="A2611" s="109" t="s">
        <v>4717</v>
      </c>
      <c r="B2611" s="110" t="s">
        <v>4975</v>
      </c>
      <c r="C2611" s="540" t="str">
        <f>IF(A2611&amp;B2611="","",VLOOKUP(A2611&amp;B2611,INSUMOS!C:G,2,0))</f>
        <v>GC-01 - Guarda-corpo de madeira com fechamento de tela galvanizada + corrimão duplo de aço galvanizado 1/12"</v>
      </c>
      <c r="D2611" s="541"/>
      <c r="E2611" s="111" t="str">
        <f>IF(A2611&amp;B2611="","",VLOOKUP(A2611&amp;B2611,INSUMOS!C:G,3,0))</f>
        <v>m</v>
      </c>
      <c r="F2611" s="112">
        <v>1</v>
      </c>
      <c r="G2611" s="113">
        <f>IF(A2611&amp;B2611="","",VLOOKUP(A2611&amp;B2611,INSUMOS!C:G,4,0))</f>
        <v>243.3623</v>
      </c>
      <c r="H2611" s="114" t="str">
        <f>IF(K2611="MO",TRUNC(F2611*G2611,2),"")</f>
        <v/>
      </c>
      <c r="I2611" s="114">
        <f>IF(K2611="MT",TRUNC(F2611*G2611,2),"")</f>
        <v>243.36</v>
      </c>
      <c r="J2611" s="115" t="str">
        <f>IF(K2611="EQ",TRUNC(F2611*G2611,2),"")</f>
        <v/>
      </c>
      <c r="K2611" s="102" t="str">
        <f>IF(A2611&amp;B2611="","",VLOOKUP(A2611&amp;B2611,INSUMOS!C:G,5,0))</f>
        <v>MT</v>
      </c>
    </row>
    <row r="2612" spans="1:11" ht="15" x14ac:dyDescent="0.25">
      <c r="A2612" s="109"/>
      <c r="B2612" s="116"/>
      <c r="C2612" s="518" t="str">
        <f>IF(A2612&amp;B2612="","",VLOOKUP(A2612&amp;B2612,INSUMOS!C:G,2,0))</f>
        <v/>
      </c>
      <c r="D2612" s="519"/>
      <c r="E2612" s="117" t="str">
        <f>IF(A2612&amp;B2612="","",VLOOKUP(A2612&amp;B2612,INSUMOS!C:G,3,0))</f>
        <v/>
      </c>
      <c r="F2612" s="118"/>
      <c r="G2612" s="113" t="str">
        <f>IF(A2612&amp;B2612="","",VLOOKUP(A2612&amp;B2612,INSUMOS!C:G,4,0))</f>
        <v/>
      </c>
      <c r="H2612" s="119" t="str">
        <f t="shared" ref="H2612:H2623" si="438">IF(K2612="MO",TRUNC(F2612*G2612,2),"")</f>
        <v/>
      </c>
      <c r="I2612" s="119" t="str">
        <f t="shared" ref="I2612:I2623" si="439">IF(K2612="MT",TRUNC(F2612*G2612,2),"")</f>
        <v/>
      </c>
      <c r="J2612" s="115" t="str">
        <f t="shared" ref="J2612:J2623" si="440">IF(K2612="EQ",TRUNC(F2612*G2612,2),"")</f>
        <v/>
      </c>
      <c r="K2612" s="102" t="str">
        <f>IF(A2612&amp;B2612="","",VLOOKUP(A2612&amp;B2612,INSUMOS!C:G,5,0))</f>
        <v/>
      </c>
    </row>
    <row r="2613" spans="1:11" ht="15" x14ac:dyDescent="0.25">
      <c r="A2613" s="109"/>
      <c r="B2613" s="116"/>
      <c r="C2613" s="518" t="str">
        <f>IF(A2613&amp;B2613="","",VLOOKUP(A2613&amp;B2613,INSUMOS!C:G,2,0))</f>
        <v/>
      </c>
      <c r="D2613" s="519"/>
      <c r="E2613" s="117" t="str">
        <f>IF(A2613&amp;B2613="","",VLOOKUP(A2613&amp;B2613,INSUMOS!C:G,3,0))</f>
        <v/>
      </c>
      <c r="F2613" s="118"/>
      <c r="G2613" s="113" t="str">
        <f>IF(A2613&amp;B2613="","",VLOOKUP(A2613&amp;B2613,INSUMOS!C:G,4,0))</f>
        <v/>
      </c>
      <c r="H2613" s="119" t="str">
        <f t="shared" si="438"/>
        <v/>
      </c>
      <c r="I2613" s="119" t="str">
        <f t="shared" si="439"/>
        <v/>
      </c>
      <c r="J2613" s="115" t="str">
        <f t="shared" si="440"/>
        <v/>
      </c>
      <c r="K2613" s="102" t="str">
        <f>IF(A2613&amp;B2613="","",VLOOKUP(A2613&amp;B2613,INSUMOS!C:G,5,0))</f>
        <v/>
      </c>
    </row>
    <row r="2614" spans="1:11" ht="15" x14ac:dyDescent="0.25">
      <c r="A2614" s="109"/>
      <c r="B2614" s="116"/>
      <c r="C2614" s="518" t="str">
        <f>IF(A2614&amp;B2614="","",VLOOKUP(A2614&amp;B2614,INSUMOS!C:G,2,0))</f>
        <v/>
      </c>
      <c r="D2614" s="519"/>
      <c r="E2614" s="117" t="str">
        <f>IF(A2614&amp;B2614="","",VLOOKUP(A2614&amp;B2614,INSUMOS!C:G,3,0))</f>
        <v/>
      </c>
      <c r="F2614" s="118"/>
      <c r="G2614" s="113" t="str">
        <f>IF(A2614&amp;B2614="","",VLOOKUP(A2614&amp;B2614,INSUMOS!C:G,4,0))</f>
        <v/>
      </c>
      <c r="H2614" s="119" t="str">
        <f t="shared" si="438"/>
        <v/>
      </c>
      <c r="I2614" s="119" t="str">
        <f t="shared" si="439"/>
        <v/>
      </c>
      <c r="J2614" s="115" t="str">
        <f t="shared" si="440"/>
        <v/>
      </c>
      <c r="K2614" s="102" t="str">
        <f>IF(A2614&amp;B2614="","",VLOOKUP(A2614&amp;B2614,INSUMOS!C:G,5,0))</f>
        <v/>
      </c>
    </row>
    <row r="2615" spans="1:11" ht="15" x14ac:dyDescent="0.25">
      <c r="A2615" s="109"/>
      <c r="B2615" s="116"/>
      <c r="C2615" s="518" t="str">
        <f>IF(A2615&amp;B2615="","",VLOOKUP(A2615&amp;B2615,INSUMOS!C:G,2,0))</f>
        <v/>
      </c>
      <c r="D2615" s="519"/>
      <c r="E2615" s="117" t="str">
        <f>IF(A2615&amp;B2615="","",VLOOKUP(A2615&amp;B2615,INSUMOS!C:G,3,0))</f>
        <v/>
      </c>
      <c r="F2615" s="118"/>
      <c r="G2615" s="113" t="str">
        <f>IF(A2615&amp;B2615="","",VLOOKUP(A2615&amp;B2615,INSUMOS!C:G,4,0))</f>
        <v/>
      </c>
      <c r="H2615" s="119" t="str">
        <f t="shared" si="438"/>
        <v/>
      </c>
      <c r="I2615" s="119" t="str">
        <f t="shared" si="439"/>
        <v/>
      </c>
      <c r="J2615" s="115" t="str">
        <f t="shared" si="440"/>
        <v/>
      </c>
      <c r="K2615" s="102" t="str">
        <f>IF(A2615&amp;B2615="","",VLOOKUP(A2615&amp;B2615,INSUMOS!C:G,5,0))</f>
        <v/>
      </c>
    </row>
    <row r="2616" spans="1:11" ht="15" x14ac:dyDescent="0.25">
      <c r="A2616" s="109"/>
      <c r="B2616" s="116"/>
      <c r="C2616" s="518" t="str">
        <f>IF(A2616&amp;B2616="","",VLOOKUP(A2616&amp;B2616,INSUMOS!C:G,2,0))</f>
        <v/>
      </c>
      <c r="D2616" s="519"/>
      <c r="E2616" s="117" t="str">
        <f>IF(A2616&amp;B2616="","",VLOOKUP(A2616&amp;B2616,INSUMOS!C:G,3,0))</f>
        <v/>
      </c>
      <c r="F2616" s="118"/>
      <c r="G2616" s="113" t="str">
        <f>IF(A2616&amp;B2616="","",VLOOKUP(A2616&amp;B2616,INSUMOS!C:G,4,0))</f>
        <v/>
      </c>
      <c r="H2616" s="119" t="str">
        <f t="shared" si="438"/>
        <v/>
      </c>
      <c r="I2616" s="119" t="str">
        <f t="shared" si="439"/>
        <v/>
      </c>
      <c r="J2616" s="115" t="str">
        <f t="shared" si="440"/>
        <v/>
      </c>
      <c r="K2616" s="102" t="str">
        <f>IF(A2616&amp;B2616="","",VLOOKUP(A2616&amp;B2616,INSUMOS!C:G,5,0))</f>
        <v/>
      </c>
    </row>
    <row r="2617" spans="1:11" ht="15" x14ac:dyDescent="0.25">
      <c r="A2617" s="109"/>
      <c r="B2617" s="116"/>
      <c r="C2617" s="518" t="str">
        <f>IF(A2617&amp;B2617="","",VLOOKUP(A2617&amp;B2617,INSUMOS!C:G,2,0))</f>
        <v/>
      </c>
      <c r="D2617" s="519"/>
      <c r="E2617" s="117" t="str">
        <f>IF(A2617&amp;B2617="","",VLOOKUP(A2617&amp;B2617,INSUMOS!C:G,3,0))</f>
        <v/>
      </c>
      <c r="F2617" s="118"/>
      <c r="G2617" s="113" t="str">
        <f>IF(A2617&amp;B2617="","",VLOOKUP(A2617&amp;B2617,INSUMOS!C:G,4,0))</f>
        <v/>
      </c>
      <c r="H2617" s="119" t="str">
        <f t="shared" si="438"/>
        <v/>
      </c>
      <c r="I2617" s="119" t="str">
        <f t="shared" si="439"/>
        <v/>
      </c>
      <c r="J2617" s="115" t="str">
        <f t="shared" si="440"/>
        <v/>
      </c>
      <c r="K2617" s="102" t="str">
        <f>IF(A2617&amp;B2617="","",VLOOKUP(A2617&amp;B2617,INSUMOS!C:G,5,0))</f>
        <v/>
      </c>
    </row>
    <row r="2618" spans="1:11" ht="15" x14ac:dyDescent="0.25">
      <c r="A2618" s="109"/>
      <c r="B2618" s="116"/>
      <c r="C2618" s="518" t="str">
        <f>IF(A2618&amp;B2618="","",VLOOKUP(A2618&amp;B2618,INSUMOS!C:G,2,0))</f>
        <v/>
      </c>
      <c r="D2618" s="519"/>
      <c r="E2618" s="117" t="str">
        <f>IF(A2618&amp;B2618="","",VLOOKUP(A2618&amp;B2618,INSUMOS!C:G,3,0))</f>
        <v/>
      </c>
      <c r="F2618" s="118"/>
      <c r="G2618" s="113" t="str">
        <f>IF(A2618&amp;B2618="","",VLOOKUP(A2618&amp;B2618,INSUMOS!C:G,4,0))</f>
        <v/>
      </c>
      <c r="H2618" s="119" t="str">
        <f t="shared" si="438"/>
        <v/>
      </c>
      <c r="I2618" s="119" t="str">
        <f t="shared" si="439"/>
        <v/>
      </c>
      <c r="J2618" s="115" t="str">
        <f t="shared" si="440"/>
        <v/>
      </c>
      <c r="K2618" s="102" t="str">
        <f>IF(A2618&amp;B2618="","",VLOOKUP(A2618&amp;B2618,INSUMOS!C:G,5,0))</f>
        <v/>
      </c>
    </row>
    <row r="2619" spans="1:11" ht="15" x14ac:dyDescent="0.25">
      <c r="A2619" s="109"/>
      <c r="B2619" s="116"/>
      <c r="C2619" s="518" t="str">
        <f>IF(A2619&amp;B2619="","",VLOOKUP(A2619&amp;B2619,INSUMOS!C:G,2,0))</f>
        <v/>
      </c>
      <c r="D2619" s="519"/>
      <c r="E2619" s="117" t="str">
        <f>IF(A2619&amp;B2619="","",VLOOKUP(A2619&amp;B2619,INSUMOS!C:G,3,0))</f>
        <v/>
      </c>
      <c r="F2619" s="118"/>
      <c r="G2619" s="113" t="str">
        <f>IF(A2619&amp;B2619="","",VLOOKUP(A2619&amp;B2619,INSUMOS!C:G,4,0))</f>
        <v/>
      </c>
      <c r="H2619" s="119" t="str">
        <f t="shared" si="438"/>
        <v/>
      </c>
      <c r="I2619" s="119" t="str">
        <f t="shared" si="439"/>
        <v/>
      </c>
      <c r="J2619" s="115" t="str">
        <f t="shared" si="440"/>
        <v/>
      </c>
      <c r="K2619" s="102" t="str">
        <f>IF(A2619&amp;B2619="","",VLOOKUP(A2619&amp;B2619,INSUMOS!C:G,5,0))</f>
        <v/>
      </c>
    </row>
    <row r="2620" spans="1:11" ht="15" x14ac:dyDescent="0.25">
      <c r="A2620" s="109"/>
      <c r="B2620" s="116"/>
      <c r="C2620" s="518" t="str">
        <f>IF(A2620&amp;B2620="","",VLOOKUP(A2620&amp;B2620,INSUMOS!C:G,2,0))</f>
        <v/>
      </c>
      <c r="D2620" s="519"/>
      <c r="E2620" s="117" t="str">
        <f>IF(A2620&amp;B2620="","",VLOOKUP(A2620&amp;B2620,INSUMOS!C:G,3,0))</f>
        <v/>
      </c>
      <c r="F2620" s="118"/>
      <c r="G2620" s="113" t="str">
        <f>IF(A2620&amp;B2620="","",VLOOKUP(A2620&amp;B2620,INSUMOS!C:G,4,0))</f>
        <v/>
      </c>
      <c r="H2620" s="119" t="str">
        <f t="shared" si="438"/>
        <v/>
      </c>
      <c r="I2620" s="119" t="str">
        <f t="shared" si="439"/>
        <v/>
      </c>
      <c r="J2620" s="115" t="str">
        <f t="shared" si="440"/>
        <v/>
      </c>
      <c r="K2620" s="102" t="str">
        <f>IF(A2620&amp;B2620="","",VLOOKUP(A2620&amp;B2620,INSUMOS!C:G,5,0))</f>
        <v/>
      </c>
    </row>
    <row r="2621" spans="1:11" ht="15" x14ac:dyDescent="0.25">
      <c r="A2621" s="120"/>
      <c r="B2621" s="121"/>
      <c r="C2621" s="518" t="str">
        <f>IF(A2621&amp;B2621="","",VLOOKUP(A2621&amp;B2621,INSUMOS!C:G,2,0))</f>
        <v/>
      </c>
      <c r="D2621" s="519"/>
      <c r="E2621" s="117" t="str">
        <f>IF(A2621&amp;B2621="","",VLOOKUP(A2621&amp;B2621,INSUMOS!C:G,3,0))</f>
        <v/>
      </c>
      <c r="F2621" s="118"/>
      <c r="G2621" s="122" t="str">
        <f>IF(A2621&amp;B2621="","",VLOOKUP(A2621&amp;B2621,INSUMOS!C:G,4,0))</f>
        <v/>
      </c>
      <c r="H2621" s="119" t="str">
        <f t="shared" si="438"/>
        <v/>
      </c>
      <c r="I2621" s="119" t="str">
        <f t="shared" si="439"/>
        <v/>
      </c>
      <c r="J2621" s="115" t="str">
        <f t="shared" si="440"/>
        <v/>
      </c>
      <c r="K2621" s="102" t="str">
        <f>IF(A2621&amp;B2621="","",VLOOKUP(A2621&amp;B2621,INSUMOS!C:G,5,0))</f>
        <v/>
      </c>
    </row>
    <row r="2622" spans="1:11" ht="15" x14ac:dyDescent="0.25">
      <c r="A2622" s="120"/>
      <c r="B2622" s="121"/>
      <c r="C2622" s="518" t="str">
        <f>IF(A2622&amp;B2622="","",VLOOKUP(A2622&amp;B2622,INSUMOS!C:G,2,0))</f>
        <v/>
      </c>
      <c r="D2622" s="519"/>
      <c r="E2622" s="117" t="str">
        <f>IF(A2622&amp;B2622="","",VLOOKUP(A2622&amp;B2622,INSUMOS!C:G,3,0))</f>
        <v/>
      </c>
      <c r="F2622" s="118"/>
      <c r="G2622" s="122" t="str">
        <f>IF(A2622&amp;B2622="","",VLOOKUP(A2622&amp;B2622,INSUMOS!C:G,4,0))</f>
        <v/>
      </c>
      <c r="H2622" s="119" t="str">
        <f t="shared" si="438"/>
        <v/>
      </c>
      <c r="I2622" s="119" t="str">
        <f t="shared" si="439"/>
        <v/>
      </c>
      <c r="J2622" s="115" t="str">
        <f t="shared" si="440"/>
        <v/>
      </c>
      <c r="K2622" s="102" t="str">
        <f>IF(A2622&amp;B2622="","",VLOOKUP(A2622&amp;B2622,INSUMOS!C:G,5,0))</f>
        <v/>
      </c>
    </row>
    <row r="2623" spans="1:11" ht="15" x14ac:dyDescent="0.25">
      <c r="A2623" s="120"/>
      <c r="B2623" s="121"/>
      <c r="C2623" s="518" t="str">
        <f>IF(A2623&amp;B2623="","",VLOOKUP(A2623&amp;B2623,INSUMOS!C:G,2,0))</f>
        <v/>
      </c>
      <c r="D2623" s="519"/>
      <c r="E2623" s="117" t="str">
        <f>IF(A2623&amp;B2623="","",VLOOKUP(A2623&amp;B2623,INSUMOS!C:G,3,0))</f>
        <v/>
      </c>
      <c r="F2623" s="118"/>
      <c r="G2623" s="122" t="str">
        <f>IF(A2623&amp;B2623="","",VLOOKUP(A2623&amp;B2623,INSUMOS!C:G,4,0))</f>
        <v/>
      </c>
      <c r="H2623" s="119" t="str">
        <f t="shared" si="438"/>
        <v/>
      </c>
      <c r="I2623" s="119" t="str">
        <f t="shared" si="439"/>
        <v/>
      </c>
      <c r="J2623" s="115" t="str">
        <f t="shared" si="440"/>
        <v/>
      </c>
      <c r="K2623" s="102" t="str">
        <f>IF(A2623&amp;B2623="","",VLOOKUP(A2623&amp;B2623,INSUMOS!C:G,5,0))</f>
        <v/>
      </c>
    </row>
    <row r="2624" spans="1:11" ht="15" x14ac:dyDescent="0.25">
      <c r="A2624" s="123" t="s">
        <v>4399</v>
      </c>
      <c r="B2624" s="542"/>
      <c r="C2624" s="542"/>
      <c r="D2624" s="542"/>
      <c r="E2624" s="542"/>
      <c r="F2624" s="543"/>
      <c r="G2624" s="124" t="s">
        <v>50</v>
      </c>
      <c r="H2624" s="125">
        <f>SUM(H2611:H2623)</f>
        <v>0</v>
      </c>
      <c r="I2624" s="125">
        <f>SUM(I2611:I2623)</f>
        <v>243.36</v>
      </c>
      <c r="J2624" s="126">
        <f>SUM(J2611:J2623)</f>
        <v>0</v>
      </c>
    </row>
    <row r="2625" spans="1:17" ht="15" x14ac:dyDescent="0.25">
      <c r="A2625" s="127" t="s">
        <v>4400</v>
      </c>
      <c r="B2625" s="128"/>
      <c r="C2625" s="128"/>
      <c r="D2625" s="127" t="s">
        <v>51</v>
      </c>
      <c r="E2625" s="128"/>
      <c r="F2625" s="129"/>
      <c r="G2625" s="130" t="s">
        <v>55</v>
      </c>
      <c r="H2625" s="131" t="s">
        <v>52</v>
      </c>
      <c r="I2625" s="132"/>
      <c r="J2625" s="125">
        <f>SUM(H2624:J2624)</f>
        <v>243.36</v>
      </c>
    </row>
    <row r="2626" spans="1:17" ht="15" x14ac:dyDescent="0.25">
      <c r="A2626" s="313" t="str">
        <f>$I$3</f>
        <v>Carlos Wieck</v>
      </c>
      <c r="B2626" s="133"/>
      <c r="C2626" s="133"/>
      <c r="D2626" s="134"/>
      <c r="E2626" s="133"/>
      <c r="F2626" s="135"/>
      <c r="G2626" s="522">
        <f>$J$5</f>
        <v>43040</v>
      </c>
      <c r="H2626" s="136" t="s">
        <v>53</v>
      </c>
      <c r="I2626" s="137"/>
      <c r="J2626" s="125">
        <f>TRUNC(I2626*J2625,2)</f>
        <v>0</v>
      </c>
    </row>
    <row r="2627" spans="1:17" ht="15" x14ac:dyDescent="0.25">
      <c r="A2627" s="314"/>
      <c r="B2627" s="139"/>
      <c r="C2627" s="139"/>
      <c r="D2627" s="138"/>
      <c r="E2627" s="139"/>
      <c r="F2627" s="140"/>
      <c r="G2627" s="523"/>
      <c r="H2627" s="141" t="s">
        <v>54</v>
      </c>
      <c r="I2627" s="142"/>
      <c r="J2627" s="143">
        <f>J2626+J2625</f>
        <v>243.36</v>
      </c>
      <c r="L2627" s="102" t="str">
        <f>A2608</f>
        <v>COMPOSIÇÃO</v>
      </c>
      <c r="M2627" s="144" t="str">
        <f>B2608</f>
        <v>FF-112</v>
      </c>
      <c r="N2627" s="102" t="str">
        <f>L2627&amp;M2627</f>
        <v>COMPOSIÇÃOFF-112</v>
      </c>
      <c r="O2627" s="103" t="str">
        <f>D2607</f>
        <v>GC-01 - Guarda-corpo de madeira com fechamento de tela galvanizada + corrimão duplo de aço galvanizado 1/12"</v>
      </c>
      <c r="P2627" s="145" t="str">
        <f>J2608</f>
        <v>m</v>
      </c>
      <c r="Q2627" s="145">
        <f>J2627</f>
        <v>243.36</v>
      </c>
    </row>
    <row r="2628" spans="1:17" ht="15" customHeight="1" x14ac:dyDescent="0.25">
      <c r="A2628" s="524" t="s">
        <v>40</v>
      </c>
      <c r="B2628" s="525"/>
      <c r="C2628" s="104" t="s">
        <v>41</v>
      </c>
      <c r="D2628" s="526" t="str">
        <f>IF(B2629="","",VLOOKUP(B2629,SERVIÇOS!B:E,3,0))</f>
        <v>GC-02 - Guarda-corpo de madeira com fechamento de tela galvanizada (rampas, escadas e decks externos)</v>
      </c>
      <c r="E2628" s="526"/>
      <c r="F2628" s="526"/>
      <c r="G2628" s="526"/>
      <c r="H2628" s="526"/>
      <c r="I2628" s="527"/>
      <c r="J2628" s="105" t="s">
        <v>42</v>
      </c>
    </row>
    <row r="2629" spans="1:17" ht="15" x14ac:dyDescent="0.25">
      <c r="A2629" s="230" t="s">
        <v>4715</v>
      </c>
      <c r="B2629" s="230" t="s">
        <v>5292</v>
      </c>
      <c r="C2629" s="106"/>
      <c r="D2629" s="528"/>
      <c r="E2629" s="528"/>
      <c r="F2629" s="528"/>
      <c r="G2629" s="528"/>
      <c r="H2629" s="528"/>
      <c r="I2629" s="529"/>
      <c r="J2629" s="107" t="str">
        <f>IF(B2629="","",VLOOKUP(B2629,SERVIÇOS!B:E,4,0))</f>
        <v>m</v>
      </c>
    </row>
    <row r="2630" spans="1:17" ht="15" x14ac:dyDescent="0.25">
      <c r="A2630" s="530" t="s">
        <v>4397</v>
      </c>
      <c r="B2630" s="531" t="s">
        <v>11</v>
      </c>
      <c r="C2630" s="533" t="s">
        <v>43</v>
      </c>
      <c r="D2630" s="534"/>
      <c r="E2630" s="530" t="s">
        <v>13</v>
      </c>
      <c r="F2630" s="530" t="s">
        <v>44</v>
      </c>
      <c r="G2630" s="538" t="s">
        <v>45</v>
      </c>
      <c r="H2630" s="108" t="s">
        <v>46</v>
      </c>
      <c r="I2630" s="108"/>
      <c r="J2630" s="108"/>
    </row>
    <row r="2631" spans="1:17" ht="15" x14ac:dyDescent="0.25">
      <c r="A2631" s="530"/>
      <c r="B2631" s="532"/>
      <c r="C2631" s="535"/>
      <c r="D2631" s="536"/>
      <c r="E2631" s="537"/>
      <c r="F2631" s="537"/>
      <c r="G2631" s="539"/>
      <c r="H2631" s="108" t="s">
        <v>47</v>
      </c>
      <c r="I2631" s="108" t="s">
        <v>48</v>
      </c>
      <c r="J2631" s="108" t="s">
        <v>49</v>
      </c>
    </row>
    <row r="2632" spans="1:17" ht="30" customHeight="1" x14ac:dyDescent="0.25">
      <c r="A2632" s="109" t="s">
        <v>4717</v>
      </c>
      <c r="B2632" s="110" t="s">
        <v>4976</v>
      </c>
      <c r="C2632" s="540" t="str">
        <f>IF(A2632&amp;B2632="","",VLOOKUP(A2632&amp;B2632,INSUMOS!C:G,2,0))</f>
        <v>GC-02 - Guarda-corpo de madeira com fechamento de tela galvanizada (rampas, escadas e decks externos)</v>
      </c>
      <c r="D2632" s="541"/>
      <c r="E2632" s="111" t="str">
        <f>IF(A2632&amp;B2632="","",VLOOKUP(A2632&amp;B2632,INSUMOS!C:G,3,0))</f>
        <v>m</v>
      </c>
      <c r="F2632" s="112">
        <v>1</v>
      </c>
      <c r="G2632" s="113">
        <f>IF(A2632&amp;B2632="","",VLOOKUP(A2632&amp;B2632,INSUMOS!C:G,4,0))</f>
        <v>243.3623</v>
      </c>
      <c r="H2632" s="114" t="str">
        <f>IF(K2632="MO",TRUNC(F2632*G2632,2),"")</f>
        <v/>
      </c>
      <c r="I2632" s="114">
        <f>IF(K2632="MT",TRUNC(F2632*G2632,2),"")</f>
        <v>243.36</v>
      </c>
      <c r="J2632" s="115" t="str">
        <f>IF(K2632="EQ",TRUNC(F2632*G2632,2),"")</f>
        <v/>
      </c>
      <c r="K2632" s="102" t="str">
        <f>IF(A2632&amp;B2632="","",VLOOKUP(A2632&amp;B2632,INSUMOS!C:G,5,0))</f>
        <v>MT</v>
      </c>
    </row>
    <row r="2633" spans="1:17" ht="15" x14ac:dyDescent="0.25">
      <c r="A2633" s="109"/>
      <c r="B2633" s="116"/>
      <c r="C2633" s="518" t="str">
        <f>IF(A2633&amp;B2633="","",VLOOKUP(A2633&amp;B2633,INSUMOS!C:G,2,0))</f>
        <v/>
      </c>
      <c r="D2633" s="519"/>
      <c r="E2633" s="117" t="str">
        <f>IF(A2633&amp;B2633="","",VLOOKUP(A2633&amp;B2633,INSUMOS!C:G,3,0))</f>
        <v/>
      </c>
      <c r="F2633" s="118"/>
      <c r="G2633" s="113" t="str">
        <f>IF(A2633&amp;B2633="","",VLOOKUP(A2633&amp;B2633,INSUMOS!C:G,4,0))</f>
        <v/>
      </c>
      <c r="H2633" s="119" t="str">
        <f t="shared" ref="H2633:H2644" si="441">IF(K2633="MO",TRUNC(F2633*G2633,2),"")</f>
        <v/>
      </c>
      <c r="I2633" s="119" t="str">
        <f t="shared" ref="I2633:I2644" si="442">IF(K2633="MT",TRUNC(F2633*G2633,2),"")</f>
        <v/>
      </c>
      <c r="J2633" s="115" t="str">
        <f t="shared" ref="J2633:J2644" si="443">IF(K2633="EQ",TRUNC(F2633*G2633,2),"")</f>
        <v/>
      </c>
      <c r="K2633" s="102" t="str">
        <f>IF(A2633&amp;B2633="","",VLOOKUP(A2633&amp;B2633,INSUMOS!C:G,5,0))</f>
        <v/>
      </c>
    </row>
    <row r="2634" spans="1:17" ht="15" x14ac:dyDescent="0.25">
      <c r="A2634" s="109"/>
      <c r="B2634" s="116"/>
      <c r="C2634" s="518" t="str">
        <f>IF(A2634&amp;B2634="","",VLOOKUP(A2634&amp;B2634,INSUMOS!C:G,2,0))</f>
        <v/>
      </c>
      <c r="D2634" s="519"/>
      <c r="E2634" s="117" t="str">
        <f>IF(A2634&amp;B2634="","",VLOOKUP(A2634&amp;B2634,INSUMOS!C:G,3,0))</f>
        <v/>
      </c>
      <c r="F2634" s="118"/>
      <c r="G2634" s="113" t="str">
        <f>IF(A2634&amp;B2634="","",VLOOKUP(A2634&amp;B2634,INSUMOS!C:G,4,0))</f>
        <v/>
      </c>
      <c r="H2634" s="119" t="str">
        <f t="shared" si="441"/>
        <v/>
      </c>
      <c r="I2634" s="119" t="str">
        <f t="shared" si="442"/>
        <v/>
      </c>
      <c r="J2634" s="115" t="str">
        <f t="shared" si="443"/>
        <v/>
      </c>
      <c r="K2634" s="102" t="str">
        <f>IF(A2634&amp;B2634="","",VLOOKUP(A2634&amp;B2634,INSUMOS!C:G,5,0))</f>
        <v/>
      </c>
    </row>
    <row r="2635" spans="1:17" ht="15" x14ac:dyDescent="0.25">
      <c r="A2635" s="109"/>
      <c r="B2635" s="116"/>
      <c r="C2635" s="518" t="str">
        <f>IF(A2635&amp;B2635="","",VLOOKUP(A2635&amp;B2635,INSUMOS!C:G,2,0))</f>
        <v/>
      </c>
      <c r="D2635" s="519"/>
      <c r="E2635" s="117" t="str">
        <f>IF(A2635&amp;B2635="","",VLOOKUP(A2635&amp;B2635,INSUMOS!C:G,3,0))</f>
        <v/>
      </c>
      <c r="F2635" s="118"/>
      <c r="G2635" s="113" t="str">
        <f>IF(A2635&amp;B2635="","",VLOOKUP(A2635&amp;B2635,INSUMOS!C:G,4,0))</f>
        <v/>
      </c>
      <c r="H2635" s="119" t="str">
        <f t="shared" si="441"/>
        <v/>
      </c>
      <c r="I2635" s="119" t="str">
        <f t="shared" si="442"/>
        <v/>
      </c>
      <c r="J2635" s="115" t="str">
        <f t="shared" si="443"/>
        <v/>
      </c>
      <c r="K2635" s="102" t="str">
        <f>IF(A2635&amp;B2635="","",VLOOKUP(A2635&amp;B2635,INSUMOS!C:G,5,0))</f>
        <v/>
      </c>
    </row>
    <row r="2636" spans="1:17" ht="15" x14ac:dyDescent="0.25">
      <c r="A2636" s="109"/>
      <c r="B2636" s="116"/>
      <c r="C2636" s="518" t="str">
        <f>IF(A2636&amp;B2636="","",VLOOKUP(A2636&amp;B2636,INSUMOS!C:G,2,0))</f>
        <v/>
      </c>
      <c r="D2636" s="519"/>
      <c r="E2636" s="117" t="str">
        <f>IF(A2636&amp;B2636="","",VLOOKUP(A2636&amp;B2636,INSUMOS!C:G,3,0))</f>
        <v/>
      </c>
      <c r="F2636" s="118"/>
      <c r="G2636" s="113" t="str">
        <f>IF(A2636&amp;B2636="","",VLOOKUP(A2636&amp;B2636,INSUMOS!C:G,4,0))</f>
        <v/>
      </c>
      <c r="H2636" s="119" t="str">
        <f t="shared" si="441"/>
        <v/>
      </c>
      <c r="I2636" s="119" t="str">
        <f t="shared" si="442"/>
        <v/>
      </c>
      <c r="J2636" s="115" t="str">
        <f t="shared" si="443"/>
        <v/>
      </c>
      <c r="K2636" s="102" t="str">
        <f>IF(A2636&amp;B2636="","",VLOOKUP(A2636&amp;B2636,INSUMOS!C:G,5,0))</f>
        <v/>
      </c>
    </row>
    <row r="2637" spans="1:17" ht="15" x14ac:dyDescent="0.25">
      <c r="A2637" s="109"/>
      <c r="B2637" s="116"/>
      <c r="C2637" s="518" t="str">
        <f>IF(A2637&amp;B2637="","",VLOOKUP(A2637&amp;B2637,INSUMOS!C:G,2,0))</f>
        <v/>
      </c>
      <c r="D2637" s="519"/>
      <c r="E2637" s="117" t="str">
        <f>IF(A2637&amp;B2637="","",VLOOKUP(A2637&amp;B2637,INSUMOS!C:G,3,0))</f>
        <v/>
      </c>
      <c r="F2637" s="118"/>
      <c r="G2637" s="113" t="str">
        <f>IF(A2637&amp;B2637="","",VLOOKUP(A2637&amp;B2637,INSUMOS!C:G,4,0))</f>
        <v/>
      </c>
      <c r="H2637" s="119" t="str">
        <f t="shared" si="441"/>
        <v/>
      </c>
      <c r="I2637" s="119" t="str">
        <f t="shared" si="442"/>
        <v/>
      </c>
      <c r="J2637" s="115" t="str">
        <f t="shared" si="443"/>
        <v/>
      </c>
      <c r="K2637" s="102" t="str">
        <f>IF(A2637&amp;B2637="","",VLOOKUP(A2637&amp;B2637,INSUMOS!C:G,5,0))</f>
        <v/>
      </c>
    </row>
    <row r="2638" spans="1:17" ht="15" x14ac:dyDescent="0.25">
      <c r="A2638" s="109"/>
      <c r="B2638" s="116"/>
      <c r="C2638" s="518" t="str">
        <f>IF(A2638&amp;B2638="","",VLOOKUP(A2638&amp;B2638,INSUMOS!C:G,2,0))</f>
        <v/>
      </c>
      <c r="D2638" s="519"/>
      <c r="E2638" s="117" t="str">
        <f>IF(A2638&amp;B2638="","",VLOOKUP(A2638&amp;B2638,INSUMOS!C:G,3,0))</f>
        <v/>
      </c>
      <c r="F2638" s="118"/>
      <c r="G2638" s="113" t="str">
        <f>IF(A2638&amp;B2638="","",VLOOKUP(A2638&amp;B2638,INSUMOS!C:G,4,0))</f>
        <v/>
      </c>
      <c r="H2638" s="119" t="str">
        <f t="shared" si="441"/>
        <v/>
      </c>
      <c r="I2638" s="119" t="str">
        <f t="shared" si="442"/>
        <v/>
      </c>
      <c r="J2638" s="115" t="str">
        <f t="shared" si="443"/>
        <v/>
      </c>
      <c r="K2638" s="102" t="str">
        <f>IF(A2638&amp;B2638="","",VLOOKUP(A2638&amp;B2638,INSUMOS!C:G,5,0))</f>
        <v/>
      </c>
    </row>
    <row r="2639" spans="1:17" ht="15" x14ac:dyDescent="0.25">
      <c r="A2639" s="109"/>
      <c r="B2639" s="116"/>
      <c r="C2639" s="518" t="str">
        <f>IF(A2639&amp;B2639="","",VLOOKUP(A2639&amp;B2639,INSUMOS!C:G,2,0))</f>
        <v/>
      </c>
      <c r="D2639" s="519"/>
      <c r="E2639" s="117" t="str">
        <f>IF(A2639&amp;B2639="","",VLOOKUP(A2639&amp;B2639,INSUMOS!C:G,3,0))</f>
        <v/>
      </c>
      <c r="F2639" s="118"/>
      <c r="G2639" s="113" t="str">
        <f>IF(A2639&amp;B2639="","",VLOOKUP(A2639&amp;B2639,INSUMOS!C:G,4,0))</f>
        <v/>
      </c>
      <c r="H2639" s="119" t="str">
        <f t="shared" si="441"/>
        <v/>
      </c>
      <c r="I2639" s="119" t="str">
        <f t="shared" si="442"/>
        <v/>
      </c>
      <c r="J2639" s="115" t="str">
        <f t="shared" si="443"/>
        <v/>
      </c>
      <c r="K2639" s="102" t="str">
        <f>IF(A2639&amp;B2639="","",VLOOKUP(A2639&amp;B2639,INSUMOS!C:G,5,0))</f>
        <v/>
      </c>
    </row>
    <row r="2640" spans="1:17" ht="15" x14ac:dyDescent="0.25">
      <c r="A2640" s="109"/>
      <c r="B2640" s="116"/>
      <c r="C2640" s="518" t="str">
        <f>IF(A2640&amp;B2640="","",VLOOKUP(A2640&amp;B2640,INSUMOS!C:G,2,0))</f>
        <v/>
      </c>
      <c r="D2640" s="519"/>
      <c r="E2640" s="117" t="str">
        <f>IF(A2640&amp;B2640="","",VLOOKUP(A2640&amp;B2640,INSUMOS!C:G,3,0))</f>
        <v/>
      </c>
      <c r="F2640" s="118"/>
      <c r="G2640" s="113" t="str">
        <f>IF(A2640&amp;B2640="","",VLOOKUP(A2640&amp;B2640,INSUMOS!C:G,4,0))</f>
        <v/>
      </c>
      <c r="H2640" s="119" t="str">
        <f t="shared" si="441"/>
        <v/>
      </c>
      <c r="I2640" s="119" t="str">
        <f t="shared" si="442"/>
        <v/>
      </c>
      <c r="J2640" s="115" t="str">
        <f t="shared" si="443"/>
        <v/>
      </c>
      <c r="K2640" s="102" t="str">
        <f>IF(A2640&amp;B2640="","",VLOOKUP(A2640&amp;B2640,INSUMOS!C:G,5,0))</f>
        <v/>
      </c>
    </row>
    <row r="2641" spans="1:17" ht="15" x14ac:dyDescent="0.25">
      <c r="A2641" s="109"/>
      <c r="B2641" s="116"/>
      <c r="C2641" s="518" t="str">
        <f>IF(A2641&amp;B2641="","",VLOOKUP(A2641&amp;B2641,INSUMOS!C:G,2,0))</f>
        <v/>
      </c>
      <c r="D2641" s="519"/>
      <c r="E2641" s="117" t="str">
        <f>IF(A2641&amp;B2641="","",VLOOKUP(A2641&amp;B2641,INSUMOS!C:G,3,0))</f>
        <v/>
      </c>
      <c r="F2641" s="118"/>
      <c r="G2641" s="113" t="str">
        <f>IF(A2641&amp;B2641="","",VLOOKUP(A2641&amp;B2641,INSUMOS!C:G,4,0))</f>
        <v/>
      </c>
      <c r="H2641" s="119" t="str">
        <f t="shared" si="441"/>
        <v/>
      </c>
      <c r="I2641" s="119" t="str">
        <f t="shared" si="442"/>
        <v/>
      </c>
      <c r="J2641" s="115" t="str">
        <f t="shared" si="443"/>
        <v/>
      </c>
      <c r="K2641" s="102" t="str">
        <f>IF(A2641&amp;B2641="","",VLOOKUP(A2641&amp;B2641,INSUMOS!C:G,5,0))</f>
        <v/>
      </c>
    </row>
    <row r="2642" spans="1:17" ht="15" x14ac:dyDescent="0.25">
      <c r="A2642" s="120"/>
      <c r="B2642" s="121"/>
      <c r="C2642" s="518" t="str">
        <f>IF(A2642&amp;B2642="","",VLOOKUP(A2642&amp;B2642,INSUMOS!C:G,2,0))</f>
        <v/>
      </c>
      <c r="D2642" s="519"/>
      <c r="E2642" s="117" t="str">
        <f>IF(A2642&amp;B2642="","",VLOOKUP(A2642&amp;B2642,INSUMOS!C:G,3,0))</f>
        <v/>
      </c>
      <c r="F2642" s="118"/>
      <c r="G2642" s="122" t="str">
        <f>IF(A2642&amp;B2642="","",VLOOKUP(A2642&amp;B2642,INSUMOS!C:G,4,0))</f>
        <v/>
      </c>
      <c r="H2642" s="119" t="str">
        <f t="shared" si="441"/>
        <v/>
      </c>
      <c r="I2642" s="119" t="str">
        <f t="shared" si="442"/>
        <v/>
      </c>
      <c r="J2642" s="115" t="str">
        <f t="shared" si="443"/>
        <v/>
      </c>
      <c r="K2642" s="102" t="str">
        <f>IF(A2642&amp;B2642="","",VLOOKUP(A2642&amp;B2642,INSUMOS!C:G,5,0))</f>
        <v/>
      </c>
    </row>
    <row r="2643" spans="1:17" ht="15" x14ac:dyDescent="0.25">
      <c r="A2643" s="120"/>
      <c r="B2643" s="121"/>
      <c r="C2643" s="518" t="str">
        <f>IF(A2643&amp;B2643="","",VLOOKUP(A2643&amp;B2643,INSUMOS!C:G,2,0))</f>
        <v/>
      </c>
      <c r="D2643" s="519"/>
      <c r="E2643" s="117" t="str">
        <f>IF(A2643&amp;B2643="","",VLOOKUP(A2643&amp;B2643,INSUMOS!C:G,3,0))</f>
        <v/>
      </c>
      <c r="F2643" s="118"/>
      <c r="G2643" s="122" t="str">
        <f>IF(A2643&amp;B2643="","",VLOOKUP(A2643&amp;B2643,INSUMOS!C:G,4,0))</f>
        <v/>
      </c>
      <c r="H2643" s="119" t="str">
        <f t="shared" si="441"/>
        <v/>
      </c>
      <c r="I2643" s="119" t="str">
        <f t="shared" si="442"/>
        <v/>
      </c>
      <c r="J2643" s="115" t="str">
        <f t="shared" si="443"/>
        <v/>
      </c>
      <c r="K2643" s="102" t="str">
        <f>IF(A2643&amp;B2643="","",VLOOKUP(A2643&amp;B2643,INSUMOS!C:G,5,0))</f>
        <v/>
      </c>
    </row>
    <row r="2644" spans="1:17" ht="15" x14ac:dyDescent="0.25">
      <c r="A2644" s="120"/>
      <c r="B2644" s="121"/>
      <c r="C2644" s="518" t="str">
        <f>IF(A2644&amp;B2644="","",VLOOKUP(A2644&amp;B2644,INSUMOS!C:G,2,0))</f>
        <v/>
      </c>
      <c r="D2644" s="519"/>
      <c r="E2644" s="117" t="str">
        <f>IF(A2644&amp;B2644="","",VLOOKUP(A2644&amp;B2644,INSUMOS!C:G,3,0))</f>
        <v/>
      </c>
      <c r="F2644" s="118"/>
      <c r="G2644" s="122" t="str">
        <f>IF(A2644&amp;B2644="","",VLOOKUP(A2644&amp;B2644,INSUMOS!C:G,4,0))</f>
        <v/>
      </c>
      <c r="H2644" s="119" t="str">
        <f t="shared" si="441"/>
        <v/>
      </c>
      <c r="I2644" s="119" t="str">
        <f t="shared" si="442"/>
        <v/>
      </c>
      <c r="J2644" s="115" t="str">
        <f t="shared" si="443"/>
        <v/>
      </c>
      <c r="K2644" s="102" t="str">
        <f>IF(A2644&amp;B2644="","",VLOOKUP(A2644&amp;B2644,INSUMOS!C:G,5,0))</f>
        <v/>
      </c>
    </row>
    <row r="2645" spans="1:17" ht="15" x14ac:dyDescent="0.25">
      <c r="A2645" s="123" t="s">
        <v>4399</v>
      </c>
      <c r="B2645" s="542"/>
      <c r="C2645" s="542"/>
      <c r="D2645" s="542"/>
      <c r="E2645" s="542"/>
      <c r="F2645" s="543"/>
      <c r="G2645" s="124" t="s">
        <v>50</v>
      </c>
      <c r="H2645" s="125">
        <f>SUM(H2632:H2644)</f>
        <v>0</v>
      </c>
      <c r="I2645" s="125">
        <f>SUM(I2632:I2644)</f>
        <v>243.36</v>
      </c>
      <c r="J2645" s="126">
        <f>SUM(J2632:J2644)</f>
        <v>0</v>
      </c>
    </row>
    <row r="2646" spans="1:17" ht="15" x14ac:dyDescent="0.25">
      <c r="A2646" s="127" t="s">
        <v>4400</v>
      </c>
      <c r="B2646" s="128"/>
      <c r="C2646" s="128"/>
      <c r="D2646" s="127" t="s">
        <v>51</v>
      </c>
      <c r="E2646" s="128"/>
      <c r="F2646" s="129"/>
      <c r="G2646" s="130" t="s">
        <v>55</v>
      </c>
      <c r="H2646" s="131" t="s">
        <v>52</v>
      </c>
      <c r="I2646" s="132"/>
      <c r="J2646" s="125">
        <f>SUM(H2645:J2645)</f>
        <v>243.36</v>
      </c>
    </row>
    <row r="2647" spans="1:17" ht="15" x14ac:dyDescent="0.25">
      <c r="A2647" s="313" t="str">
        <f>$I$3</f>
        <v>Carlos Wieck</v>
      </c>
      <c r="B2647" s="133"/>
      <c r="C2647" s="133"/>
      <c r="D2647" s="134"/>
      <c r="E2647" s="133"/>
      <c r="F2647" s="135"/>
      <c r="G2647" s="522">
        <f>$J$5</f>
        <v>43040</v>
      </c>
      <c r="H2647" s="136" t="s">
        <v>53</v>
      </c>
      <c r="I2647" s="137"/>
      <c r="J2647" s="125">
        <f>TRUNC(I2647*J2646,2)</f>
        <v>0</v>
      </c>
    </row>
    <row r="2648" spans="1:17" ht="15" x14ac:dyDescent="0.25">
      <c r="A2648" s="314"/>
      <c r="B2648" s="139"/>
      <c r="C2648" s="139"/>
      <c r="D2648" s="138"/>
      <c r="E2648" s="139"/>
      <c r="F2648" s="140"/>
      <c r="G2648" s="523"/>
      <c r="H2648" s="141" t="s">
        <v>54</v>
      </c>
      <c r="I2648" s="142"/>
      <c r="J2648" s="143">
        <f>J2647+J2646</f>
        <v>243.36</v>
      </c>
      <c r="L2648" s="102" t="str">
        <f>A2629</f>
        <v>COMPOSIÇÃO</v>
      </c>
      <c r="M2648" s="144" t="str">
        <f>B2629</f>
        <v>FF-113</v>
      </c>
      <c r="N2648" s="102" t="str">
        <f>L2648&amp;M2648</f>
        <v>COMPOSIÇÃOFF-113</v>
      </c>
      <c r="O2648" s="103" t="str">
        <f>D2628</f>
        <v>GC-02 - Guarda-corpo de madeira com fechamento de tela galvanizada (rampas, escadas e decks externos)</v>
      </c>
      <c r="P2648" s="145" t="str">
        <f>J2629</f>
        <v>m</v>
      </c>
      <c r="Q2648" s="145">
        <f>J2648</f>
        <v>243.36</v>
      </c>
    </row>
    <row r="2649" spans="1:17" ht="15" customHeight="1" x14ac:dyDescent="0.25">
      <c r="A2649" s="524" t="s">
        <v>40</v>
      </c>
      <c r="B2649" s="525"/>
      <c r="C2649" s="104" t="s">
        <v>41</v>
      </c>
      <c r="D2649" s="526" t="str">
        <f>IF(B2650="","",VLOOKUP(B2650,SERVIÇOS!B:E,3,0))</f>
        <v>GC-03 - Guarda-corpo de madeira com fechamento de tela galvanizada (edifício padrão)</v>
      </c>
      <c r="E2649" s="526"/>
      <c r="F2649" s="526"/>
      <c r="G2649" s="526"/>
      <c r="H2649" s="526"/>
      <c r="I2649" s="527"/>
      <c r="J2649" s="105" t="s">
        <v>42</v>
      </c>
    </row>
    <row r="2650" spans="1:17" ht="15" x14ac:dyDescent="0.25">
      <c r="A2650" s="230" t="s">
        <v>4715</v>
      </c>
      <c r="B2650" s="230" t="s">
        <v>5293</v>
      </c>
      <c r="C2650" s="106"/>
      <c r="D2650" s="528"/>
      <c r="E2650" s="528"/>
      <c r="F2650" s="528"/>
      <c r="G2650" s="528"/>
      <c r="H2650" s="528"/>
      <c r="I2650" s="529"/>
      <c r="J2650" s="107" t="str">
        <f>IF(B2650="","",VLOOKUP(B2650,SERVIÇOS!B:E,4,0))</f>
        <v>m</v>
      </c>
    </row>
    <row r="2651" spans="1:17" ht="15" x14ac:dyDescent="0.25">
      <c r="A2651" s="530" t="s">
        <v>4397</v>
      </c>
      <c r="B2651" s="531" t="s">
        <v>11</v>
      </c>
      <c r="C2651" s="533" t="s">
        <v>43</v>
      </c>
      <c r="D2651" s="534"/>
      <c r="E2651" s="530" t="s">
        <v>13</v>
      </c>
      <c r="F2651" s="530" t="s">
        <v>44</v>
      </c>
      <c r="G2651" s="538" t="s">
        <v>45</v>
      </c>
      <c r="H2651" s="108" t="s">
        <v>46</v>
      </c>
      <c r="I2651" s="108"/>
      <c r="J2651" s="108"/>
    </row>
    <row r="2652" spans="1:17" ht="15" x14ac:dyDescent="0.25">
      <c r="A2652" s="530"/>
      <c r="B2652" s="532"/>
      <c r="C2652" s="535"/>
      <c r="D2652" s="536"/>
      <c r="E2652" s="537"/>
      <c r="F2652" s="537"/>
      <c r="G2652" s="539"/>
      <c r="H2652" s="108" t="s">
        <v>47</v>
      </c>
      <c r="I2652" s="108" t="s">
        <v>48</v>
      </c>
      <c r="J2652" s="108" t="s">
        <v>49</v>
      </c>
    </row>
    <row r="2653" spans="1:17" ht="15" x14ac:dyDescent="0.25">
      <c r="A2653" s="109" t="s">
        <v>4717</v>
      </c>
      <c r="B2653" s="110" t="s">
        <v>4977</v>
      </c>
      <c r="C2653" s="540" t="str">
        <f>IF(A2653&amp;B2653="","",VLOOKUP(A2653&amp;B2653,INSUMOS!C:G,2,0))</f>
        <v>GC-03 - Guarda-corpo de madeira com fechamento de tela galvanizada (edifício padrão)</v>
      </c>
      <c r="D2653" s="541"/>
      <c r="E2653" s="111" t="str">
        <f>IF(A2653&amp;B2653="","",VLOOKUP(A2653&amp;B2653,INSUMOS!C:G,3,0))</f>
        <v>m</v>
      </c>
      <c r="F2653" s="112">
        <v>1</v>
      </c>
      <c r="G2653" s="113">
        <f>IF(A2653&amp;B2653="","",VLOOKUP(A2653&amp;B2653,INSUMOS!C:G,4,0))</f>
        <v>642.68295218295214</v>
      </c>
      <c r="H2653" s="114" t="str">
        <f>IF(K2653="MO",TRUNC(F2653*G2653,2),"")</f>
        <v/>
      </c>
      <c r="I2653" s="114">
        <f>IF(K2653="MT",TRUNC(F2653*G2653,2),"")</f>
        <v>642.67999999999995</v>
      </c>
      <c r="J2653" s="115" t="str">
        <f>IF(K2653="EQ",TRUNC(F2653*G2653,2),"")</f>
        <v/>
      </c>
      <c r="K2653" s="102" t="str">
        <f>IF(A2653&amp;B2653="","",VLOOKUP(A2653&amp;B2653,INSUMOS!C:G,5,0))</f>
        <v>MT</v>
      </c>
    </row>
    <row r="2654" spans="1:17" ht="15" x14ac:dyDescent="0.25">
      <c r="A2654" s="109"/>
      <c r="B2654" s="116"/>
      <c r="C2654" s="518" t="str">
        <f>IF(A2654&amp;B2654="","",VLOOKUP(A2654&amp;B2654,INSUMOS!C:G,2,0))</f>
        <v/>
      </c>
      <c r="D2654" s="519"/>
      <c r="E2654" s="117" t="str">
        <f>IF(A2654&amp;B2654="","",VLOOKUP(A2654&amp;B2654,INSUMOS!C:G,3,0))</f>
        <v/>
      </c>
      <c r="F2654" s="118"/>
      <c r="G2654" s="113" t="str">
        <f>IF(A2654&amp;B2654="","",VLOOKUP(A2654&amp;B2654,INSUMOS!C:G,4,0))</f>
        <v/>
      </c>
      <c r="H2654" s="119" t="str">
        <f t="shared" ref="H2654:H2665" si="444">IF(K2654="MO",TRUNC(F2654*G2654,2),"")</f>
        <v/>
      </c>
      <c r="I2654" s="119" t="str">
        <f t="shared" ref="I2654:I2665" si="445">IF(K2654="MT",TRUNC(F2654*G2654,2),"")</f>
        <v/>
      </c>
      <c r="J2654" s="115" t="str">
        <f t="shared" ref="J2654:J2665" si="446">IF(K2654="EQ",TRUNC(F2654*G2654,2),"")</f>
        <v/>
      </c>
      <c r="K2654" s="102" t="str">
        <f>IF(A2654&amp;B2654="","",VLOOKUP(A2654&amp;B2654,INSUMOS!C:G,5,0))</f>
        <v/>
      </c>
    </row>
    <row r="2655" spans="1:17" ht="15" x14ac:dyDescent="0.25">
      <c r="A2655" s="109"/>
      <c r="B2655" s="116"/>
      <c r="C2655" s="518" t="str">
        <f>IF(A2655&amp;B2655="","",VLOOKUP(A2655&amp;B2655,INSUMOS!C:G,2,0))</f>
        <v/>
      </c>
      <c r="D2655" s="519"/>
      <c r="E2655" s="117" t="str">
        <f>IF(A2655&amp;B2655="","",VLOOKUP(A2655&amp;B2655,INSUMOS!C:G,3,0))</f>
        <v/>
      </c>
      <c r="F2655" s="118"/>
      <c r="G2655" s="113" t="str">
        <f>IF(A2655&amp;B2655="","",VLOOKUP(A2655&amp;B2655,INSUMOS!C:G,4,0))</f>
        <v/>
      </c>
      <c r="H2655" s="119" t="str">
        <f t="shared" si="444"/>
        <v/>
      </c>
      <c r="I2655" s="119" t="str">
        <f t="shared" si="445"/>
        <v/>
      </c>
      <c r="J2655" s="115" t="str">
        <f t="shared" si="446"/>
        <v/>
      </c>
      <c r="K2655" s="102" t="str">
        <f>IF(A2655&amp;B2655="","",VLOOKUP(A2655&amp;B2655,INSUMOS!C:G,5,0))</f>
        <v/>
      </c>
    </row>
    <row r="2656" spans="1:17" ht="15" x14ac:dyDescent="0.25">
      <c r="A2656" s="109"/>
      <c r="B2656" s="116"/>
      <c r="C2656" s="518" t="str">
        <f>IF(A2656&amp;B2656="","",VLOOKUP(A2656&amp;B2656,INSUMOS!C:G,2,0))</f>
        <v/>
      </c>
      <c r="D2656" s="519"/>
      <c r="E2656" s="117" t="str">
        <f>IF(A2656&amp;B2656="","",VLOOKUP(A2656&amp;B2656,INSUMOS!C:G,3,0))</f>
        <v/>
      </c>
      <c r="F2656" s="118"/>
      <c r="G2656" s="113" t="str">
        <f>IF(A2656&amp;B2656="","",VLOOKUP(A2656&amp;B2656,INSUMOS!C:G,4,0))</f>
        <v/>
      </c>
      <c r="H2656" s="119" t="str">
        <f t="shared" si="444"/>
        <v/>
      </c>
      <c r="I2656" s="119" t="str">
        <f t="shared" si="445"/>
        <v/>
      </c>
      <c r="J2656" s="115" t="str">
        <f t="shared" si="446"/>
        <v/>
      </c>
      <c r="K2656" s="102" t="str">
        <f>IF(A2656&amp;B2656="","",VLOOKUP(A2656&amp;B2656,INSUMOS!C:G,5,0))</f>
        <v/>
      </c>
    </row>
    <row r="2657" spans="1:17" ht="15" x14ac:dyDescent="0.25">
      <c r="A2657" s="109"/>
      <c r="B2657" s="116"/>
      <c r="C2657" s="518" t="str">
        <f>IF(A2657&amp;B2657="","",VLOOKUP(A2657&amp;B2657,INSUMOS!C:G,2,0))</f>
        <v/>
      </c>
      <c r="D2657" s="519"/>
      <c r="E2657" s="117" t="str">
        <f>IF(A2657&amp;B2657="","",VLOOKUP(A2657&amp;B2657,INSUMOS!C:G,3,0))</f>
        <v/>
      </c>
      <c r="F2657" s="118"/>
      <c r="G2657" s="113" t="str">
        <f>IF(A2657&amp;B2657="","",VLOOKUP(A2657&amp;B2657,INSUMOS!C:G,4,0))</f>
        <v/>
      </c>
      <c r="H2657" s="119" t="str">
        <f t="shared" si="444"/>
        <v/>
      </c>
      <c r="I2657" s="119" t="str">
        <f t="shared" si="445"/>
        <v/>
      </c>
      <c r="J2657" s="115" t="str">
        <f t="shared" si="446"/>
        <v/>
      </c>
      <c r="K2657" s="102" t="str">
        <f>IF(A2657&amp;B2657="","",VLOOKUP(A2657&amp;B2657,INSUMOS!C:G,5,0))</f>
        <v/>
      </c>
    </row>
    <row r="2658" spans="1:17" ht="15" x14ac:dyDescent="0.25">
      <c r="A2658" s="109"/>
      <c r="B2658" s="116"/>
      <c r="C2658" s="518" t="str">
        <f>IF(A2658&amp;B2658="","",VLOOKUP(A2658&amp;B2658,INSUMOS!C:G,2,0))</f>
        <v/>
      </c>
      <c r="D2658" s="519"/>
      <c r="E2658" s="117" t="str">
        <f>IF(A2658&amp;B2658="","",VLOOKUP(A2658&amp;B2658,INSUMOS!C:G,3,0))</f>
        <v/>
      </c>
      <c r="F2658" s="118"/>
      <c r="G2658" s="113" t="str">
        <f>IF(A2658&amp;B2658="","",VLOOKUP(A2658&amp;B2658,INSUMOS!C:G,4,0))</f>
        <v/>
      </c>
      <c r="H2658" s="119" t="str">
        <f t="shared" si="444"/>
        <v/>
      </c>
      <c r="I2658" s="119" t="str">
        <f t="shared" si="445"/>
        <v/>
      </c>
      <c r="J2658" s="115" t="str">
        <f t="shared" si="446"/>
        <v/>
      </c>
      <c r="K2658" s="102" t="str">
        <f>IF(A2658&amp;B2658="","",VLOOKUP(A2658&amp;B2658,INSUMOS!C:G,5,0))</f>
        <v/>
      </c>
    </row>
    <row r="2659" spans="1:17" ht="15" x14ac:dyDescent="0.25">
      <c r="A2659" s="109"/>
      <c r="B2659" s="116"/>
      <c r="C2659" s="518" t="str">
        <f>IF(A2659&amp;B2659="","",VLOOKUP(A2659&amp;B2659,INSUMOS!C:G,2,0))</f>
        <v/>
      </c>
      <c r="D2659" s="519"/>
      <c r="E2659" s="117" t="str">
        <f>IF(A2659&amp;B2659="","",VLOOKUP(A2659&amp;B2659,INSUMOS!C:G,3,0))</f>
        <v/>
      </c>
      <c r="F2659" s="118"/>
      <c r="G2659" s="113" t="str">
        <f>IF(A2659&amp;B2659="","",VLOOKUP(A2659&amp;B2659,INSUMOS!C:G,4,0))</f>
        <v/>
      </c>
      <c r="H2659" s="119" t="str">
        <f t="shared" si="444"/>
        <v/>
      </c>
      <c r="I2659" s="119" t="str">
        <f t="shared" si="445"/>
        <v/>
      </c>
      <c r="J2659" s="115" t="str">
        <f t="shared" si="446"/>
        <v/>
      </c>
      <c r="K2659" s="102" t="str">
        <f>IF(A2659&amp;B2659="","",VLOOKUP(A2659&amp;B2659,INSUMOS!C:G,5,0))</f>
        <v/>
      </c>
    </row>
    <row r="2660" spans="1:17" ht="15" x14ac:dyDescent="0.25">
      <c r="A2660" s="109"/>
      <c r="B2660" s="116"/>
      <c r="C2660" s="518" t="str">
        <f>IF(A2660&amp;B2660="","",VLOOKUP(A2660&amp;B2660,INSUMOS!C:G,2,0))</f>
        <v/>
      </c>
      <c r="D2660" s="519"/>
      <c r="E2660" s="117" t="str">
        <f>IF(A2660&amp;B2660="","",VLOOKUP(A2660&amp;B2660,INSUMOS!C:G,3,0))</f>
        <v/>
      </c>
      <c r="F2660" s="118"/>
      <c r="G2660" s="113" t="str">
        <f>IF(A2660&amp;B2660="","",VLOOKUP(A2660&amp;B2660,INSUMOS!C:G,4,0))</f>
        <v/>
      </c>
      <c r="H2660" s="119" t="str">
        <f t="shared" si="444"/>
        <v/>
      </c>
      <c r="I2660" s="119" t="str">
        <f t="shared" si="445"/>
        <v/>
      </c>
      <c r="J2660" s="115" t="str">
        <f t="shared" si="446"/>
        <v/>
      </c>
      <c r="K2660" s="102" t="str">
        <f>IF(A2660&amp;B2660="","",VLOOKUP(A2660&amp;B2660,INSUMOS!C:G,5,0))</f>
        <v/>
      </c>
    </row>
    <row r="2661" spans="1:17" ht="15" x14ac:dyDescent="0.25">
      <c r="A2661" s="109"/>
      <c r="B2661" s="116"/>
      <c r="C2661" s="518" t="str">
        <f>IF(A2661&amp;B2661="","",VLOOKUP(A2661&amp;B2661,INSUMOS!C:G,2,0))</f>
        <v/>
      </c>
      <c r="D2661" s="519"/>
      <c r="E2661" s="117" t="str">
        <f>IF(A2661&amp;B2661="","",VLOOKUP(A2661&amp;B2661,INSUMOS!C:G,3,0))</f>
        <v/>
      </c>
      <c r="F2661" s="118"/>
      <c r="G2661" s="113" t="str">
        <f>IF(A2661&amp;B2661="","",VLOOKUP(A2661&amp;B2661,INSUMOS!C:G,4,0))</f>
        <v/>
      </c>
      <c r="H2661" s="119" t="str">
        <f t="shared" si="444"/>
        <v/>
      </c>
      <c r="I2661" s="119" t="str">
        <f t="shared" si="445"/>
        <v/>
      </c>
      <c r="J2661" s="115" t="str">
        <f t="shared" si="446"/>
        <v/>
      </c>
      <c r="K2661" s="102" t="str">
        <f>IF(A2661&amp;B2661="","",VLOOKUP(A2661&amp;B2661,INSUMOS!C:G,5,0))</f>
        <v/>
      </c>
    </row>
    <row r="2662" spans="1:17" ht="15" x14ac:dyDescent="0.25">
      <c r="A2662" s="109"/>
      <c r="B2662" s="116"/>
      <c r="C2662" s="518" t="str">
        <f>IF(A2662&amp;B2662="","",VLOOKUP(A2662&amp;B2662,INSUMOS!C:G,2,0))</f>
        <v/>
      </c>
      <c r="D2662" s="519"/>
      <c r="E2662" s="117" t="str">
        <f>IF(A2662&amp;B2662="","",VLOOKUP(A2662&amp;B2662,INSUMOS!C:G,3,0))</f>
        <v/>
      </c>
      <c r="F2662" s="118"/>
      <c r="G2662" s="113" t="str">
        <f>IF(A2662&amp;B2662="","",VLOOKUP(A2662&amp;B2662,INSUMOS!C:G,4,0))</f>
        <v/>
      </c>
      <c r="H2662" s="119" t="str">
        <f t="shared" si="444"/>
        <v/>
      </c>
      <c r="I2662" s="119" t="str">
        <f t="shared" si="445"/>
        <v/>
      </c>
      <c r="J2662" s="115" t="str">
        <f t="shared" si="446"/>
        <v/>
      </c>
      <c r="K2662" s="102" t="str">
        <f>IF(A2662&amp;B2662="","",VLOOKUP(A2662&amp;B2662,INSUMOS!C:G,5,0))</f>
        <v/>
      </c>
    </row>
    <row r="2663" spans="1:17" ht="15" x14ac:dyDescent="0.25">
      <c r="A2663" s="120"/>
      <c r="B2663" s="121"/>
      <c r="C2663" s="518" t="str">
        <f>IF(A2663&amp;B2663="","",VLOOKUP(A2663&amp;B2663,INSUMOS!C:G,2,0))</f>
        <v/>
      </c>
      <c r="D2663" s="519"/>
      <c r="E2663" s="117" t="str">
        <f>IF(A2663&amp;B2663="","",VLOOKUP(A2663&amp;B2663,INSUMOS!C:G,3,0))</f>
        <v/>
      </c>
      <c r="F2663" s="118"/>
      <c r="G2663" s="122" t="str">
        <f>IF(A2663&amp;B2663="","",VLOOKUP(A2663&amp;B2663,INSUMOS!C:G,4,0))</f>
        <v/>
      </c>
      <c r="H2663" s="119" t="str">
        <f t="shared" si="444"/>
        <v/>
      </c>
      <c r="I2663" s="119" t="str">
        <f t="shared" si="445"/>
        <v/>
      </c>
      <c r="J2663" s="115" t="str">
        <f t="shared" si="446"/>
        <v/>
      </c>
      <c r="K2663" s="102" t="str">
        <f>IF(A2663&amp;B2663="","",VLOOKUP(A2663&amp;B2663,INSUMOS!C:G,5,0))</f>
        <v/>
      </c>
    </row>
    <row r="2664" spans="1:17" ht="15" x14ac:dyDescent="0.25">
      <c r="A2664" s="120"/>
      <c r="B2664" s="121"/>
      <c r="C2664" s="518" t="str">
        <f>IF(A2664&amp;B2664="","",VLOOKUP(A2664&amp;B2664,INSUMOS!C:G,2,0))</f>
        <v/>
      </c>
      <c r="D2664" s="519"/>
      <c r="E2664" s="117" t="str">
        <f>IF(A2664&amp;B2664="","",VLOOKUP(A2664&amp;B2664,INSUMOS!C:G,3,0))</f>
        <v/>
      </c>
      <c r="F2664" s="118"/>
      <c r="G2664" s="122" t="str">
        <f>IF(A2664&amp;B2664="","",VLOOKUP(A2664&amp;B2664,INSUMOS!C:G,4,0))</f>
        <v/>
      </c>
      <c r="H2664" s="119" t="str">
        <f t="shared" si="444"/>
        <v/>
      </c>
      <c r="I2664" s="119" t="str">
        <f t="shared" si="445"/>
        <v/>
      </c>
      <c r="J2664" s="115" t="str">
        <f t="shared" si="446"/>
        <v/>
      </c>
      <c r="K2664" s="102" t="str">
        <f>IF(A2664&amp;B2664="","",VLOOKUP(A2664&amp;B2664,INSUMOS!C:G,5,0))</f>
        <v/>
      </c>
    </row>
    <row r="2665" spans="1:17" ht="15" x14ac:dyDescent="0.25">
      <c r="A2665" s="120"/>
      <c r="B2665" s="121"/>
      <c r="C2665" s="518" t="str">
        <f>IF(A2665&amp;B2665="","",VLOOKUP(A2665&amp;B2665,INSUMOS!C:G,2,0))</f>
        <v/>
      </c>
      <c r="D2665" s="519"/>
      <c r="E2665" s="117" t="str">
        <f>IF(A2665&amp;B2665="","",VLOOKUP(A2665&amp;B2665,INSUMOS!C:G,3,0))</f>
        <v/>
      </c>
      <c r="F2665" s="118"/>
      <c r="G2665" s="122" t="str">
        <f>IF(A2665&amp;B2665="","",VLOOKUP(A2665&amp;B2665,INSUMOS!C:G,4,0))</f>
        <v/>
      </c>
      <c r="H2665" s="119" t="str">
        <f t="shared" si="444"/>
        <v/>
      </c>
      <c r="I2665" s="119" t="str">
        <f t="shared" si="445"/>
        <v/>
      </c>
      <c r="J2665" s="115" t="str">
        <f t="shared" si="446"/>
        <v/>
      </c>
      <c r="K2665" s="102" t="str">
        <f>IF(A2665&amp;B2665="","",VLOOKUP(A2665&amp;B2665,INSUMOS!C:G,5,0))</f>
        <v/>
      </c>
    </row>
    <row r="2666" spans="1:17" ht="15" x14ac:dyDescent="0.25">
      <c r="A2666" s="123" t="s">
        <v>4399</v>
      </c>
      <c r="B2666" s="542"/>
      <c r="C2666" s="542"/>
      <c r="D2666" s="542"/>
      <c r="E2666" s="542"/>
      <c r="F2666" s="543"/>
      <c r="G2666" s="124" t="s">
        <v>50</v>
      </c>
      <c r="H2666" s="125">
        <f>SUM(H2653:H2665)</f>
        <v>0</v>
      </c>
      <c r="I2666" s="125">
        <f>SUM(I2653:I2665)</f>
        <v>642.67999999999995</v>
      </c>
      <c r="J2666" s="126">
        <f>SUM(J2653:J2665)</f>
        <v>0</v>
      </c>
    </row>
    <row r="2667" spans="1:17" ht="15" x14ac:dyDescent="0.25">
      <c r="A2667" s="127" t="s">
        <v>4400</v>
      </c>
      <c r="B2667" s="128"/>
      <c r="C2667" s="128"/>
      <c r="D2667" s="127" t="s">
        <v>51</v>
      </c>
      <c r="E2667" s="128"/>
      <c r="F2667" s="129"/>
      <c r="G2667" s="130" t="s">
        <v>55</v>
      </c>
      <c r="H2667" s="131" t="s">
        <v>52</v>
      </c>
      <c r="I2667" s="132"/>
      <c r="J2667" s="125">
        <f>SUM(H2666:J2666)</f>
        <v>642.67999999999995</v>
      </c>
    </row>
    <row r="2668" spans="1:17" ht="15" x14ac:dyDescent="0.25">
      <c r="A2668" s="313" t="str">
        <f>$I$3</f>
        <v>Carlos Wieck</v>
      </c>
      <c r="B2668" s="133"/>
      <c r="C2668" s="133"/>
      <c r="D2668" s="134"/>
      <c r="E2668" s="133"/>
      <c r="F2668" s="135"/>
      <c r="G2668" s="522">
        <f>$J$5</f>
        <v>43040</v>
      </c>
      <c r="H2668" s="136" t="s">
        <v>53</v>
      </c>
      <c r="I2668" s="137"/>
      <c r="J2668" s="125">
        <f>TRUNC(I2668*J2667,2)</f>
        <v>0</v>
      </c>
    </row>
    <row r="2669" spans="1:17" ht="15" x14ac:dyDescent="0.25">
      <c r="A2669" s="314"/>
      <c r="B2669" s="139"/>
      <c r="C2669" s="139"/>
      <c r="D2669" s="138"/>
      <c r="E2669" s="139"/>
      <c r="F2669" s="140"/>
      <c r="G2669" s="523"/>
      <c r="H2669" s="141" t="s">
        <v>54</v>
      </c>
      <c r="I2669" s="142"/>
      <c r="J2669" s="143">
        <f>J2668+J2667</f>
        <v>642.67999999999995</v>
      </c>
      <c r="L2669" s="102" t="str">
        <f>A2650</f>
        <v>COMPOSIÇÃO</v>
      </c>
      <c r="M2669" s="144" t="str">
        <f>B2650</f>
        <v>FF-114</v>
      </c>
      <c r="N2669" s="102" t="str">
        <f>L2669&amp;M2669</f>
        <v>COMPOSIÇÃOFF-114</v>
      </c>
      <c r="O2669" s="103" t="str">
        <f>D2649</f>
        <v>GC-03 - Guarda-corpo de madeira com fechamento de tela galvanizada (edifício padrão)</v>
      </c>
      <c r="P2669" s="145" t="str">
        <f>J2650</f>
        <v>m</v>
      </c>
      <c r="Q2669" s="145">
        <f>J2669</f>
        <v>642.67999999999995</v>
      </c>
    </row>
    <row r="2670" spans="1:17" ht="15" customHeight="1" x14ac:dyDescent="0.25">
      <c r="A2670" s="524" t="s">
        <v>40</v>
      </c>
      <c r="B2670" s="525"/>
      <c r="C2670" s="104" t="s">
        <v>41</v>
      </c>
      <c r="D2670" s="526" t="str">
        <f>IF(B2671="","",VLOOKUP(B2671,SERVIÇOS!B:E,3,0))</f>
        <v>Piso tátil de alerta com elementos soltos de poliéster instalação parafusada - cor preta - largura 25cm</v>
      </c>
      <c r="E2670" s="526"/>
      <c r="F2670" s="526"/>
      <c r="G2670" s="526"/>
      <c r="H2670" s="526"/>
      <c r="I2670" s="527"/>
      <c r="J2670" s="105" t="s">
        <v>42</v>
      </c>
    </row>
    <row r="2671" spans="1:17" ht="15" x14ac:dyDescent="0.25">
      <c r="A2671" s="230" t="s">
        <v>4715</v>
      </c>
      <c r="B2671" s="230" t="s">
        <v>5294</v>
      </c>
      <c r="C2671" s="106"/>
      <c r="D2671" s="528"/>
      <c r="E2671" s="528"/>
      <c r="F2671" s="528"/>
      <c r="G2671" s="528"/>
      <c r="H2671" s="528"/>
      <c r="I2671" s="529"/>
      <c r="J2671" s="107" t="str">
        <f>IF(B2671="","",VLOOKUP(B2671,SERVIÇOS!B:E,4,0))</f>
        <v>m²</v>
      </c>
    </row>
    <row r="2672" spans="1:17" ht="15" x14ac:dyDescent="0.25">
      <c r="A2672" s="530" t="s">
        <v>4397</v>
      </c>
      <c r="B2672" s="531" t="s">
        <v>11</v>
      </c>
      <c r="C2672" s="533" t="s">
        <v>43</v>
      </c>
      <c r="D2672" s="534"/>
      <c r="E2672" s="530" t="s">
        <v>13</v>
      </c>
      <c r="F2672" s="530" t="s">
        <v>44</v>
      </c>
      <c r="G2672" s="538" t="s">
        <v>45</v>
      </c>
      <c r="H2672" s="108" t="s">
        <v>46</v>
      </c>
      <c r="I2672" s="108"/>
      <c r="J2672" s="108"/>
    </row>
    <row r="2673" spans="1:11" ht="15" x14ac:dyDescent="0.25">
      <c r="A2673" s="530"/>
      <c r="B2673" s="532"/>
      <c r="C2673" s="535"/>
      <c r="D2673" s="536"/>
      <c r="E2673" s="537"/>
      <c r="F2673" s="537"/>
      <c r="G2673" s="539"/>
      <c r="H2673" s="108" t="s">
        <v>47</v>
      </c>
      <c r="I2673" s="108" t="s">
        <v>48</v>
      </c>
      <c r="J2673" s="108" t="s">
        <v>49</v>
      </c>
    </row>
    <row r="2674" spans="1:11" ht="30" customHeight="1" x14ac:dyDescent="0.25">
      <c r="A2674" s="109" t="s">
        <v>4717</v>
      </c>
      <c r="B2674" s="110" t="s">
        <v>4978</v>
      </c>
      <c r="C2674" s="540" t="str">
        <f>IF(A2674&amp;B2674="","",VLOOKUP(A2674&amp;B2674,INSUMOS!C:G,2,0))</f>
        <v>Piso tátil de alerta com elementos soltos de poliéster instalação parafusada - cor preta - largura 25cm</v>
      </c>
      <c r="D2674" s="541"/>
      <c r="E2674" s="111" t="str">
        <f>IF(A2674&amp;B2674="","",VLOOKUP(A2674&amp;B2674,INSUMOS!C:G,3,0))</f>
        <v>m²</v>
      </c>
      <c r="F2674" s="112">
        <v>1.05</v>
      </c>
      <c r="G2674" s="113">
        <f>IF(A2674&amp;B2674="","",VLOOKUP(A2674&amp;B2674,INSUMOS!C:G,4,0))</f>
        <v>146.6318475268817</v>
      </c>
      <c r="H2674" s="114" t="str">
        <f>IF(K2674="MO",TRUNC(F2674*G2674,2),"")</f>
        <v/>
      </c>
      <c r="I2674" s="114">
        <f>IF(K2674="MT",TRUNC(F2674*G2674,2),"")</f>
        <v>153.96</v>
      </c>
      <c r="J2674" s="115" t="str">
        <f>IF(K2674="EQ",TRUNC(F2674*G2674,2),"")</f>
        <v/>
      </c>
      <c r="K2674" s="102" t="str">
        <f>IF(A2674&amp;B2674="","",VLOOKUP(A2674&amp;B2674,INSUMOS!C:G,5,0))</f>
        <v>MT</v>
      </c>
    </row>
    <row r="2675" spans="1:11" ht="15" x14ac:dyDescent="0.25">
      <c r="A2675" s="109" t="s">
        <v>4398</v>
      </c>
      <c r="B2675" s="116">
        <v>10146</v>
      </c>
      <c r="C2675" s="518" t="str">
        <f>IF(A2675&amp;B2675="","",VLOOKUP(A2675&amp;B2675,INSUMOS!C:G,2,0))</f>
        <v>Servente</v>
      </c>
      <c r="D2675" s="519"/>
      <c r="E2675" s="117" t="str">
        <f>IF(A2675&amp;B2675="","",VLOOKUP(A2675&amp;B2675,INSUMOS!C:G,3,0))</f>
        <v>h</v>
      </c>
      <c r="F2675" s="118">
        <v>1</v>
      </c>
      <c r="G2675" s="113">
        <f>IF(A2675&amp;B2675="","",VLOOKUP(A2675&amp;B2675,INSUMOS!C:G,4,0))</f>
        <v>11.335614</v>
      </c>
      <c r="H2675" s="119">
        <f t="shared" ref="H2675:H2686" si="447">IF(K2675="MO",TRUNC(F2675*G2675,2),"")</f>
        <v>11.33</v>
      </c>
      <c r="I2675" s="119" t="str">
        <f t="shared" ref="I2675:I2686" si="448">IF(K2675="MT",TRUNC(F2675*G2675,2),"")</f>
        <v/>
      </c>
      <c r="J2675" s="115" t="str">
        <f t="shared" ref="J2675:J2686" si="449">IF(K2675="EQ",TRUNC(F2675*G2675,2),"")</f>
        <v/>
      </c>
      <c r="K2675" s="102" t="str">
        <f>IF(A2675&amp;B2675="","",VLOOKUP(A2675&amp;B2675,INSUMOS!C:G,5,0))</f>
        <v>MO</v>
      </c>
    </row>
    <row r="2676" spans="1:11" ht="30" customHeight="1" x14ac:dyDescent="0.25">
      <c r="A2676" s="109"/>
      <c r="B2676" s="116"/>
      <c r="C2676" s="518" t="str">
        <f>IF(A2676&amp;B2676="","",VLOOKUP(A2676&amp;B2676,INSUMOS!C:G,2,0))</f>
        <v/>
      </c>
      <c r="D2676" s="519"/>
      <c r="E2676" s="117" t="str">
        <f>IF(A2676&amp;B2676="","",VLOOKUP(A2676&amp;B2676,INSUMOS!C:G,3,0))</f>
        <v/>
      </c>
      <c r="F2676" s="118"/>
      <c r="G2676" s="113" t="str">
        <f>IF(A2676&amp;B2676="","",VLOOKUP(A2676&amp;B2676,INSUMOS!C:G,4,0))</f>
        <v/>
      </c>
      <c r="H2676" s="119" t="str">
        <f t="shared" si="447"/>
        <v/>
      </c>
      <c r="I2676" s="119" t="str">
        <f t="shared" si="448"/>
        <v/>
      </c>
      <c r="J2676" s="115" t="str">
        <f t="shared" si="449"/>
        <v/>
      </c>
      <c r="K2676" s="102" t="str">
        <f>IF(A2676&amp;B2676="","",VLOOKUP(A2676&amp;B2676,INSUMOS!C:G,5,0))</f>
        <v/>
      </c>
    </row>
    <row r="2677" spans="1:11" ht="15" x14ac:dyDescent="0.25">
      <c r="A2677" s="109"/>
      <c r="B2677" s="116"/>
      <c r="C2677" s="518" t="str">
        <f>IF(A2677&amp;B2677="","",VLOOKUP(A2677&amp;B2677,INSUMOS!C:G,2,0))</f>
        <v/>
      </c>
      <c r="D2677" s="519"/>
      <c r="E2677" s="117" t="str">
        <f>IF(A2677&amp;B2677="","",VLOOKUP(A2677&amp;B2677,INSUMOS!C:G,3,0))</f>
        <v/>
      </c>
      <c r="F2677" s="118"/>
      <c r="G2677" s="113" t="str">
        <f>IF(A2677&amp;B2677="","",VLOOKUP(A2677&amp;B2677,INSUMOS!C:G,4,0))</f>
        <v/>
      </c>
      <c r="H2677" s="119" t="str">
        <f t="shared" si="447"/>
        <v/>
      </c>
      <c r="I2677" s="119" t="str">
        <f t="shared" si="448"/>
        <v/>
      </c>
      <c r="J2677" s="115" t="str">
        <f t="shared" si="449"/>
        <v/>
      </c>
      <c r="K2677" s="102" t="str">
        <f>IF(A2677&amp;B2677="","",VLOOKUP(A2677&amp;B2677,INSUMOS!C:G,5,0))</f>
        <v/>
      </c>
    </row>
    <row r="2678" spans="1:11" ht="15" x14ac:dyDescent="0.25">
      <c r="A2678" s="109"/>
      <c r="B2678" s="116"/>
      <c r="C2678" s="518" t="str">
        <f>IF(A2678&amp;B2678="","",VLOOKUP(A2678&amp;B2678,INSUMOS!C:G,2,0))</f>
        <v/>
      </c>
      <c r="D2678" s="519"/>
      <c r="E2678" s="117" t="str">
        <f>IF(A2678&amp;B2678="","",VLOOKUP(A2678&amp;B2678,INSUMOS!C:G,3,0))</f>
        <v/>
      </c>
      <c r="F2678" s="118"/>
      <c r="G2678" s="113" t="str">
        <f>IF(A2678&amp;B2678="","",VLOOKUP(A2678&amp;B2678,INSUMOS!C:G,4,0))</f>
        <v/>
      </c>
      <c r="H2678" s="119" t="str">
        <f t="shared" si="447"/>
        <v/>
      </c>
      <c r="I2678" s="119" t="str">
        <f t="shared" si="448"/>
        <v/>
      </c>
      <c r="J2678" s="115" t="str">
        <f t="shared" si="449"/>
        <v/>
      </c>
      <c r="K2678" s="102" t="str">
        <f>IF(A2678&amp;B2678="","",VLOOKUP(A2678&amp;B2678,INSUMOS!C:G,5,0))</f>
        <v/>
      </c>
    </row>
    <row r="2679" spans="1:11" ht="15" x14ac:dyDescent="0.25">
      <c r="A2679" s="109"/>
      <c r="B2679" s="116"/>
      <c r="C2679" s="518" t="str">
        <f>IF(A2679&amp;B2679="","",VLOOKUP(A2679&amp;B2679,INSUMOS!C:G,2,0))</f>
        <v/>
      </c>
      <c r="D2679" s="519"/>
      <c r="E2679" s="117" t="str">
        <f>IF(A2679&amp;B2679="","",VLOOKUP(A2679&amp;B2679,INSUMOS!C:G,3,0))</f>
        <v/>
      </c>
      <c r="F2679" s="118"/>
      <c r="G2679" s="113" t="str">
        <f>IF(A2679&amp;B2679="","",VLOOKUP(A2679&amp;B2679,INSUMOS!C:G,4,0))</f>
        <v/>
      </c>
      <c r="H2679" s="119" t="str">
        <f t="shared" si="447"/>
        <v/>
      </c>
      <c r="I2679" s="119" t="str">
        <f t="shared" si="448"/>
        <v/>
      </c>
      <c r="J2679" s="115" t="str">
        <f t="shared" si="449"/>
        <v/>
      </c>
      <c r="K2679" s="102" t="str">
        <f>IF(A2679&amp;B2679="","",VLOOKUP(A2679&amp;B2679,INSUMOS!C:G,5,0))</f>
        <v/>
      </c>
    </row>
    <row r="2680" spans="1:11" ht="15" x14ac:dyDescent="0.25">
      <c r="A2680" s="109"/>
      <c r="B2680" s="116"/>
      <c r="C2680" s="518" t="str">
        <f>IF(A2680&amp;B2680="","",VLOOKUP(A2680&amp;B2680,INSUMOS!C:G,2,0))</f>
        <v/>
      </c>
      <c r="D2680" s="519"/>
      <c r="E2680" s="117" t="str">
        <f>IF(A2680&amp;B2680="","",VLOOKUP(A2680&amp;B2680,INSUMOS!C:G,3,0))</f>
        <v/>
      </c>
      <c r="F2680" s="118"/>
      <c r="G2680" s="113" t="str">
        <f>IF(A2680&amp;B2680="","",VLOOKUP(A2680&amp;B2680,INSUMOS!C:G,4,0))</f>
        <v/>
      </c>
      <c r="H2680" s="119" t="str">
        <f t="shared" si="447"/>
        <v/>
      </c>
      <c r="I2680" s="119" t="str">
        <f t="shared" si="448"/>
        <v/>
      </c>
      <c r="J2680" s="115" t="str">
        <f t="shared" si="449"/>
        <v/>
      </c>
      <c r="K2680" s="102" t="str">
        <f>IF(A2680&amp;B2680="","",VLOOKUP(A2680&amp;B2680,INSUMOS!C:G,5,0))</f>
        <v/>
      </c>
    </row>
    <row r="2681" spans="1:11" ht="15" x14ac:dyDescent="0.25">
      <c r="A2681" s="109"/>
      <c r="B2681" s="116"/>
      <c r="C2681" s="518" t="str">
        <f>IF(A2681&amp;B2681="","",VLOOKUP(A2681&amp;B2681,INSUMOS!C:G,2,0))</f>
        <v/>
      </c>
      <c r="D2681" s="519"/>
      <c r="E2681" s="117" t="str">
        <f>IF(A2681&amp;B2681="","",VLOOKUP(A2681&amp;B2681,INSUMOS!C:G,3,0))</f>
        <v/>
      </c>
      <c r="F2681" s="118"/>
      <c r="G2681" s="113" t="str">
        <f>IF(A2681&amp;B2681="","",VLOOKUP(A2681&amp;B2681,INSUMOS!C:G,4,0))</f>
        <v/>
      </c>
      <c r="H2681" s="119" t="str">
        <f t="shared" si="447"/>
        <v/>
      </c>
      <c r="I2681" s="119" t="str">
        <f t="shared" si="448"/>
        <v/>
      </c>
      <c r="J2681" s="115" t="str">
        <f t="shared" si="449"/>
        <v/>
      </c>
      <c r="K2681" s="102" t="str">
        <f>IF(A2681&amp;B2681="","",VLOOKUP(A2681&amp;B2681,INSUMOS!C:G,5,0))</f>
        <v/>
      </c>
    </row>
    <row r="2682" spans="1:11" ht="15" x14ac:dyDescent="0.25">
      <c r="A2682" s="109"/>
      <c r="B2682" s="116"/>
      <c r="C2682" s="518" t="str">
        <f>IF(A2682&amp;B2682="","",VLOOKUP(A2682&amp;B2682,INSUMOS!C:G,2,0))</f>
        <v/>
      </c>
      <c r="D2682" s="519"/>
      <c r="E2682" s="117" t="str">
        <f>IF(A2682&amp;B2682="","",VLOOKUP(A2682&amp;B2682,INSUMOS!C:G,3,0))</f>
        <v/>
      </c>
      <c r="F2682" s="118"/>
      <c r="G2682" s="113" t="str">
        <f>IF(A2682&amp;B2682="","",VLOOKUP(A2682&amp;B2682,INSUMOS!C:G,4,0))</f>
        <v/>
      </c>
      <c r="H2682" s="119" t="str">
        <f t="shared" si="447"/>
        <v/>
      </c>
      <c r="I2682" s="119" t="str">
        <f t="shared" si="448"/>
        <v/>
      </c>
      <c r="J2682" s="115" t="str">
        <f t="shared" si="449"/>
        <v/>
      </c>
      <c r="K2682" s="102" t="str">
        <f>IF(A2682&amp;B2682="","",VLOOKUP(A2682&amp;B2682,INSUMOS!C:G,5,0))</f>
        <v/>
      </c>
    </row>
    <row r="2683" spans="1:11" ht="15" x14ac:dyDescent="0.25">
      <c r="A2683" s="109"/>
      <c r="B2683" s="116"/>
      <c r="C2683" s="518" t="str">
        <f>IF(A2683&amp;B2683="","",VLOOKUP(A2683&amp;B2683,INSUMOS!C:G,2,0))</f>
        <v/>
      </c>
      <c r="D2683" s="519"/>
      <c r="E2683" s="117" t="str">
        <f>IF(A2683&amp;B2683="","",VLOOKUP(A2683&amp;B2683,INSUMOS!C:G,3,0))</f>
        <v/>
      </c>
      <c r="F2683" s="118"/>
      <c r="G2683" s="113" t="str">
        <f>IF(A2683&amp;B2683="","",VLOOKUP(A2683&amp;B2683,INSUMOS!C:G,4,0))</f>
        <v/>
      </c>
      <c r="H2683" s="119" t="str">
        <f t="shared" si="447"/>
        <v/>
      </c>
      <c r="I2683" s="119" t="str">
        <f t="shared" si="448"/>
        <v/>
      </c>
      <c r="J2683" s="115" t="str">
        <f t="shared" si="449"/>
        <v/>
      </c>
      <c r="K2683" s="102" t="str">
        <f>IF(A2683&amp;B2683="","",VLOOKUP(A2683&amp;B2683,INSUMOS!C:G,5,0))</f>
        <v/>
      </c>
    </row>
    <row r="2684" spans="1:11" ht="15" x14ac:dyDescent="0.25">
      <c r="A2684" s="120"/>
      <c r="B2684" s="121"/>
      <c r="C2684" s="518" t="str">
        <f>IF(A2684&amp;B2684="","",VLOOKUP(A2684&amp;B2684,INSUMOS!C:G,2,0))</f>
        <v/>
      </c>
      <c r="D2684" s="519"/>
      <c r="E2684" s="117" t="str">
        <f>IF(A2684&amp;B2684="","",VLOOKUP(A2684&amp;B2684,INSUMOS!C:G,3,0))</f>
        <v/>
      </c>
      <c r="F2684" s="118"/>
      <c r="G2684" s="122" t="str">
        <f>IF(A2684&amp;B2684="","",VLOOKUP(A2684&amp;B2684,INSUMOS!C:G,4,0))</f>
        <v/>
      </c>
      <c r="H2684" s="119" t="str">
        <f t="shared" si="447"/>
        <v/>
      </c>
      <c r="I2684" s="119" t="str">
        <f t="shared" si="448"/>
        <v/>
      </c>
      <c r="J2684" s="115" t="str">
        <f t="shared" si="449"/>
        <v/>
      </c>
      <c r="K2684" s="102" t="str">
        <f>IF(A2684&amp;B2684="","",VLOOKUP(A2684&amp;B2684,INSUMOS!C:G,5,0))</f>
        <v/>
      </c>
    </row>
    <row r="2685" spans="1:11" ht="15" x14ac:dyDescent="0.25">
      <c r="A2685" s="120"/>
      <c r="B2685" s="121"/>
      <c r="C2685" s="518" t="str">
        <f>IF(A2685&amp;B2685="","",VLOOKUP(A2685&amp;B2685,INSUMOS!C:G,2,0))</f>
        <v/>
      </c>
      <c r="D2685" s="519"/>
      <c r="E2685" s="117" t="str">
        <f>IF(A2685&amp;B2685="","",VLOOKUP(A2685&amp;B2685,INSUMOS!C:G,3,0))</f>
        <v/>
      </c>
      <c r="F2685" s="118"/>
      <c r="G2685" s="122" t="str">
        <f>IF(A2685&amp;B2685="","",VLOOKUP(A2685&amp;B2685,INSUMOS!C:G,4,0))</f>
        <v/>
      </c>
      <c r="H2685" s="119" t="str">
        <f t="shared" si="447"/>
        <v/>
      </c>
      <c r="I2685" s="119" t="str">
        <f t="shared" si="448"/>
        <v/>
      </c>
      <c r="J2685" s="115" t="str">
        <f t="shared" si="449"/>
        <v/>
      </c>
      <c r="K2685" s="102" t="str">
        <f>IF(A2685&amp;B2685="","",VLOOKUP(A2685&amp;B2685,INSUMOS!C:G,5,0))</f>
        <v/>
      </c>
    </row>
    <row r="2686" spans="1:11" ht="15" x14ac:dyDescent="0.25">
      <c r="A2686" s="120"/>
      <c r="B2686" s="121"/>
      <c r="C2686" s="518" t="str">
        <f>IF(A2686&amp;B2686="","",VLOOKUP(A2686&amp;B2686,INSUMOS!C:G,2,0))</f>
        <v/>
      </c>
      <c r="D2686" s="519"/>
      <c r="E2686" s="117" t="str">
        <f>IF(A2686&amp;B2686="","",VLOOKUP(A2686&amp;B2686,INSUMOS!C:G,3,0))</f>
        <v/>
      </c>
      <c r="F2686" s="118"/>
      <c r="G2686" s="122" t="str">
        <f>IF(A2686&amp;B2686="","",VLOOKUP(A2686&amp;B2686,INSUMOS!C:G,4,0))</f>
        <v/>
      </c>
      <c r="H2686" s="119" t="str">
        <f t="shared" si="447"/>
        <v/>
      </c>
      <c r="I2686" s="119" t="str">
        <f t="shared" si="448"/>
        <v/>
      </c>
      <c r="J2686" s="115" t="str">
        <f t="shared" si="449"/>
        <v/>
      </c>
      <c r="K2686" s="102" t="str">
        <f>IF(A2686&amp;B2686="","",VLOOKUP(A2686&amp;B2686,INSUMOS!C:G,5,0))</f>
        <v/>
      </c>
    </row>
    <row r="2687" spans="1:11" ht="15" x14ac:dyDescent="0.25">
      <c r="A2687" s="123" t="s">
        <v>4399</v>
      </c>
      <c r="B2687" s="542"/>
      <c r="C2687" s="542"/>
      <c r="D2687" s="542"/>
      <c r="E2687" s="542"/>
      <c r="F2687" s="543"/>
      <c r="G2687" s="124" t="s">
        <v>50</v>
      </c>
      <c r="H2687" s="125">
        <f>SUM(H2674:H2686)</f>
        <v>11.33</v>
      </c>
      <c r="I2687" s="125">
        <f>SUM(I2674:I2686)</f>
        <v>153.96</v>
      </c>
      <c r="J2687" s="126">
        <f>SUM(J2674:J2686)</f>
        <v>0</v>
      </c>
    </row>
    <row r="2688" spans="1:11" ht="15" x14ac:dyDescent="0.25">
      <c r="A2688" s="127" t="s">
        <v>4400</v>
      </c>
      <c r="B2688" s="128"/>
      <c r="C2688" s="128"/>
      <c r="D2688" s="127" t="s">
        <v>51</v>
      </c>
      <c r="E2688" s="128"/>
      <c r="F2688" s="129"/>
      <c r="G2688" s="130" t="s">
        <v>55</v>
      </c>
      <c r="H2688" s="131" t="s">
        <v>52</v>
      </c>
      <c r="I2688" s="132"/>
      <c r="J2688" s="125">
        <f>SUM(H2687:J2687)</f>
        <v>165.29000000000002</v>
      </c>
    </row>
    <row r="2689" spans="1:17" ht="15" x14ac:dyDescent="0.25">
      <c r="A2689" s="313" t="str">
        <f>$I$3</f>
        <v>Carlos Wieck</v>
      </c>
      <c r="B2689" s="133"/>
      <c r="C2689" s="133"/>
      <c r="D2689" s="134"/>
      <c r="E2689" s="133"/>
      <c r="F2689" s="135"/>
      <c r="G2689" s="522">
        <f>$J$5</f>
        <v>43040</v>
      </c>
      <c r="H2689" s="136" t="s">
        <v>53</v>
      </c>
      <c r="I2689" s="137"/>
      <c r="J2689" s="125">
        <f>TRUNC(I2689*J2688,2)</f>
        <v>0</v>
      </c>
    </row>
    <row r="2690" spans="1:17" ht="15" x14ac:dyDescent="0.25">
      <c r="A2690" s="314"/>
      <c r="B2690" s="139"/>
      <c r="C2690" s="139"/>
      <c r="D2690" s="138"/>
      <c r="E2690" s="139"/>
      <c r="F2690" s="140"/>
      <c r="G2690" s="523"/>
      <c r="H2690" s="141" t="s">
        <v>54</v>
      </c>
      <c r="I2690" s="142"/>
      <c r="J2690" s="143">
        <f>J2689+J2688</f>
        <v>165.29000000000002</v>
      </c>
      <c r="L2690" s="102" t="str">
        <f>A2671</f>
        <v>COMPOSIÇÃO</v>
      </c>
      <c r="M2690" s="144" t="str">
        <f>B2671</f>
        <v>FF-115</v>
      </c>
      <c r="N2690" s="102" t="str">
        <f>L2690&amp;M2690</f>
        <v>COMPOSIÇÃOFF-115</v>
      </c>
      <c r="O2690" s="103" t="str">
        <f>D2670</f>
        <v>Piso tátil de alerta com elementos soltos de poliéster instalação parafusada - cor preta - largura 25cm</v>
      </c>
      <c r="P2690" s="145" t="str">
        <f>J2671</f>
        <v>m²</v>
      </c>
      <c r="Q2690" s="145">
        <f>J2690</f>
        <v>165.29000000000002</v>
      </c>
    </row>
    <row r="2691" spans="1:17" ht="15" customHeight="1" x14ac:dyDescent="0.25">
      <c r="A2691" s="524" t="s">
        <v>40</v>
      </c>
      <c r="B2691" s="525"/>
      <c r="C2691" s="104" t="s">
        <v>41</v>
      </c>
      <c r="D2691" s="526" t="str">
        <f>IF(B2692="","",VLOOKUP(B2692,SERVIÇOS!B:E,3,0))</f>
        <v>Cobertura em policarbonato 20mm, sistema TOPGAL da Arkos, ou equivalente técnico. Fornecimento e Instalação</v>
      </c>
      <c r="E2691" s="526"/>
      <c r="F2691" s="526"/>
      <c r="G2691" s="526"/>
      <c r="H2691" s="526"/>
      <c r="I2691" s="527"/>
      <c r="J2691" s="105" t="s">
        <v>42</v>
      </c>
    </row>
    <row r="2692" spans="1:17" ht="15" x14ac:dyDescent="0.25">
      <c r="A2692" s="230" t="s">
        <v>4715</v>
      </c>
      <c r="B2692" s="230" t="s">
        <v>5295</v>
      </c>
      <c r="C2692" s="106"/>
      <c r="D2692" s="528"/>
      <c r="E2692" s="528"/>
      <c r="F2692" s="528"/>
      <c r="G2692" s="528"/>
      <c r="H2692" s="528"/>
      <c r="I2692" s="529"/>
      <c r="J2692" s="107" t="str">
        <f>IF(B2692="","",VLOOKUP(B2692,SERVIÇOS!B:E,4,0))</f>
        <v>m²</v>
      </c>
    </row>
    <row r="2693" spans="1:17" ht="15" x14ac:dyDescent="0.25">
      <c r="A2693" s="530" t="s">
        <v>4397</v>
      </c>
      <c r="B2693" s="531" t="s">
        <v>11</v>
      </c>
      <c r="C2693" s="533" t="s">
        <v>43</v>
      </c>
      <c r="D2693" s="534"/>
      <c r="E2693" s="530" t="s">
        <v>13</v>
      </c>
      <c r="F2693" s="530" t="s">
        <v>44</v>
      </c>
      <c r="G2693" s="538" t="s">
        <v>45</v>
      </c>
      <c r="H2693" s="108" t="s">
        <v>46</v>
      </c>
      <c r="I2693" s="108"/>
      <c r="J2693" s="108"/>
    </row>
    <row r="2694" spans="1:17" ht="15" x14ac:dyDescent="0.25">
      <c r="A2694" s="530"/>
      <c r="B2694" s="532"/>
      <c r="C2694" s="535"/>
      <c r="D2694" s="536"/>
      <c r="E2694" s="537"/>
      <c r="F2694" s="537"/>
      <c r="G2694" s="539"/>
      <c r="H2694" s="108" t="s">
        <v>47</v>
      </c>
      <c r="I2694" s="108" t="s">
        <v>48</v>
      </c>
      <c r="J2694" s="108" t="s">
        <v>49</v>
      </c>
    </row>
    <row r="2695" spans="1:17" ht="15" x14ac:dyDescent="0.25">
      <c r="A2695" s="109" t="s">
        <v>4717</v>
      </c>
      <c r="B2695" s="116" t="s">
        <v>4980</v>
      </c>
      <c r="C2695" s="540" t="str">
        <f>IF(A2695&amp;B2695="","",VLOOKUP(A2695&amp;B2695,INSUMOS!C:G,2,0))</f>
        <v xml:space="preserve">Cobertura em policarbonato 20mm, sistema TOPGAL da Arkos, ou equivalente técnico. </v>
      </c>
      <c r="D2695" s="541"/>
      <c r="E2695" s="111" t="str">
        <f>IF(A2695&amp;B2695="","",VLOOKUP(A2695&amp;B2695,INSUMOS!C:G,3,0))</f>
        <v>m²</v>
      </c>
      <c r="F2695" s="112">
        <v>1.05</v>
      </c>
      <c r="G2695" s="113">
        <f>IF(A2695&amp;B2695="","",VLOOKUP(A2695&amp;B2695,INSUMOS!C:G,4,0))</f>
        <v>196.15690000000001</v>
      </c>
      <c r="H2695" s="114" t="str">
        <f>IF(K2695="MO",TRUNC(F2695*G2695,2),"")</f>
        <v/>
      </c>
      <c r="I2695" s="114">
        <f>IF(K2695="MT",TRUNC(F2695*G2695,2),"")</f>
        <v>205.96</v>
      </c>
      <c r="J2695" s="115" t="str">
        <f>IF(K2695="EQ",TRUNC(F2695*G2695,2),"")</f>
        <v/>
      </c>
      <c r="K2695" s="102" t="str">
        <f>IF(A2695&amp;B2695="","",VLOOKUP(A2695&amp;B2695,INSUMOS!C:G,5,0))</f>
        <v>MT</v>
      </c>
    </row>
    <row r="2696" spans="1:17" ht="15" x14ac:dyDescent="0.25">
      <c r="A2696" s="109" t="s">
        <v>4717</v>
      </c>
      <c r="B2696" s="116" t="s">
        <v>4979</v>
      </c>
      <c r="C2696" s="518" t="str">
        <f>IF(A2696&amp;B2696="","",VLOOKUP(A2696&amp;B2696,INSUMOS!C:G,2,0))</f>
        <v>Acessórios e instalações do sistema de policarbonato</v>
      </c>
      <c r="D2696" s="519"/>
      <c r="E2696" s="117" t="str">
        <f>IF(A2696&amp;B2696="","",VLOOKUP(A2696&amp;B2696,INSUMOS!C:G,3,0))</f>
        <v>m²</v>
      </c>
      <c r="F2696" s="118">
        <v>1.05</v>
      </c>
      <c r="G2696" s="113">
        <f>IF(A2696&amp;B2696="","",VLOOKUP(A2696&amp;B2696,INSUMOS!C:G,4,0))</f>
        <v>313.75124</v>
      </c>
      <c r="H2696" s="119" t="str">
        <f t="shared" ref="H2696:H2707" si="450">IF(K2696="MO",TRUNC(F2696*G2696,2),"")</f>
        <v/>
      </c>
      <c r="I2696" s="119">
        <f t="shared" ref="I2696:I2707" si="451">IF(K2696="MT",TRUNC(F2696*G2696,2),"")</f>
        <v>329.43</v>
      </c>
      <c r="J2696" s="115" t="str">
        <f t="shared" ref="J2696:J2707" si="452">IF(K2696="EQ",TRUNC(F2696*G2696,2),"")</f>
        <v/>
      </c>
      <c r="K2696" s="102" t="str">
        <f>IF(A2696&amp;B2696="","",VLOOKUP(A2696&amp;B2696,INSUMOS!C:G,5,0))</f>
        <v>MT</v>
      </c>
    </row>
    <row r="2697" spans="1:17" ht="15" x14ac:dyDescent="0.25">
      <c r="A2697" s="109"/>
      <c r="B2697" s="116"/>
      <c r="C2697" s="518" t="str">
        <f>IF(A2697&amp;B2697="","",VLOOKUP(A2697&amp;B2697,INSUMOS!C:G,2,0))</f>
        <v/>
      </c>
      <c r="D2697" s="519"/>
      <c r="E2697" s="117" t="str">
        <f>IF(A2697&amp;B2697="","",VLOOKUP(A2697&amp;B2697,INSUMOS!C:G,3,0))</f>
        <v/>
      </c>
      <c r="F2697" s="118"/>
      <c r="G2697" s="113" t="str">
        <f>IF(A2697&amp;B2697="","",VLOOKUP(A2697&amp;B2697,INSUMOS!C:G,4,0))</f>
        <v/>
      </c>
      <c r="H2697" s="119" t="str">
        <f t="shared" si="450"/>
        <v/>
      </c>
      <c r="I2697" s="119" t="str">
        <f t="shared" si="451"/>
        <v/>
      </c>
      <c r="J2697" s="115" t="str">
        <f t="shared" si="452"/>
        <v/>
      </c>
      <c r="K2697" s="102" t="str">
        <f>IF(A2697&amp;B2697="","",VLOOKUP(A2697&amp;B2697,INSUMOS!C:G,5,0))</f>
        <v/>
      </c>
    </row>
    <row r="2698" spans="1:17" ht="15" x14ac:dyDescent="0.25">
      <c r="A2698" s="109"/>
      <c r="B2698" s="116"/>
      <c r="C2698" s="518" t="str">
        <f>IF(A2698&amp;B2698="","",VLOOKUP(A2698&amp;B2698,INSUMOS!C:G,2,0))</f>
        <v/>
      </c>
      <c r="D2698" s="519"/>
      <c r="E2698" s="117" t="str">
        <f>IF(A2698&amp;B2698="","",VLOOKUP(A2698&amp;B2698,INSUMOS!C:G,3,0))</f>
        <v/>
      </c>
      <c r="F2698" s="118"/>
      <c r="G2698" s="113" t="str">
        <f>IF(A2698&amp;B2698="","",VLOOKUP(A2698&amp;B2698,INSUMOS!C:G,4,0))</f>
        <v/>
      </c>
      <c r="H2698" s="119" t="str">
        <f t="shared" si="450"/>
        <v/>
      </c>
      <c r="I2698" s="119" t="str">
        <f t="shared" si="451"/>
        <v/>
      </c>
      <c r="J2698" s="115" t="str">
        <f t="shared" si="452"/>
        <v/>
      </c>
      <c r="K2698" s="102" t="str">
        <f>IF(A2698&amp;B2698="","",VLOOKUP(A2698&amp;B2698,INSUMOS!C:G,5,0))</f>
        <v/>
      </c>
    </row>
    <row r="2699" spans="1:17" ht="15" x14ac:dyDescent="0.25">
      <c r="A2699" s="109"/>
      <c r="B2699" s="116"/>
      <c r="C2699" s="518" t="str">
        <f>IF(A2699&amp;B2699="","",VLOOKUP(A2699&amp;B2699,INSUMOS!C:G,2,0))</f>
        <v/>
      </c>
      <c r="D2699" s="519"/>
      <c r="E2699" s="117" t="str">
        <f>IF(A2699&amp;B2699="","",VLOOKUP(A2699&amp;B2699,INSUMOS!C:G,3,0))</f>
        <v/>
      </c>
      <c r="F2699" s="118"/>
      <c r="G2699" s="113" t="str">
        <f>IF(A2699&amp;B2699="","",VLOOKUP(A2699&amp;B2699,INSUMOS!C:G,4,0))</f>
        <v/>
      </c>
      <c r="H2699" s="119" t="str">
        <f t="shared" si="450"/>
        <v/>
      </c>
      <c r="I2699" s="119" t="str">
        <f t="shared" si="451"/>
        <v/>
      </c>
      <c r="J2699" s="115" t="str">
        <f t="shared" si="452"/>
        <v/>
      </c>
      <c r="K2699" s="102" t="str">
        <f>IF(A2699&amp;B2699="","",VLOOKUP(A2699&amp;B2699,INSUMOS!C:G,5,0))</f>
        <v/>
      </c>
    </row>
    <row r="2700" spans="1:17" ht="15" x14ac:dyDescent="0.25">
      <c r="A2700" s="109"/>
      <c r="B2700" s="116"/>
      <c r="C2700" s="518" t="str">
        <f>IF(A2700&amp;B2700="","",VLOOKUP(A2700&amp;B2700,INSUMOS!C:G,2,0))</f>
        <v/>
      </c>
      <c r="D2700" s="519"/>
      <c r="E2700" s="117" t="str">
        <f>IF(A2700&amp;B2700="","",VLOOKUP(A2700&amp;B2700,INSUMOS!C:G,3,0))</f>
        <v/>
      </c>
      <c r="F2700" s="118"/>
      <c r="G2700" s="113" t="str">
        <f>IF(A2700&amp;B2700="","",VLOOKUP(A2700&amp;B2700,INSUMOS!C:G,4,0))</f>
        <v/>
      </c>
      <c r="H2700" s="119" t="str">
        <f t="shared" si="450"/>
        <v/>
      </c>
      <c r="I2700" s="119" t="str">
        <f t="shared" si="451"/>
        <v/>
      </c>
      <c r="J2700" s="115" t="str">
        <f t="shared" si="452"/>
        <v/>
      </c>
      <c r="K2700" s="102" t="str">
        <f>IF(A2700&amp;B2700="","",VLOOKUP(A2700&amp;B2700,INSUMOS!C:G,5,0))</f>
        <v/>
      </c>
    </row>
    <row r="2701" spans="1:17" ht="15" x14ac:dyDescent="0.25">
      <c r="A2701" s="109"/>
      <c r="B2701" s="116"/>
      <c r="C2701" s="518" t="str">
        <f>IF(A2701&amp;B2701="","",VLOOKUP(A2701&amp;B2701,INSUMOS!C:G,2,0))</f>
        <v/>
      </c>
      <c r="D2701" s="519"/>
      <c r="E2701" s="117" t="str">
        <f>IF(A2701&amp;B2701="","",VLOOKUP(A2701&amp;B2701,INSUMOS!C:G,3,0))</f>
        <v/>
      </c>
      <c r="F2701" s="118"/>
      <c r="G2701" s="113" t="str">
        <f>IF(A2701&amp;B2701="","",VLOOKUP(A2701&amp;B2701,INSUMOS!C:G,4,0))</f>
        <v/>
      </c>
      <c r="H2701" s="119" t="str">
        <f t="shared" si="450"/>
        <v/>
      </c>
      <c r="I2701" s="119" t="str">
        <f t="shared" si="451"/>
        <v/>
      </c>
      <c r="J2701" s="115" t="str">
        <f t="shared" si="452"/>
        <v/>
      </c>
      <c r="K2701" s="102" t="str">
        <f>IF(A2701&amp;B2701="","",VLOOKUP(A2701&amp;B2701,INSUMOS!C:G,5,0))</f>
        <v/>
      </c>
    </row>
    <row r="2702" spans="1:17" ht="15" x14ac:dyDescent="0.25">
      <c r="A2702" s="109"/>
      <c r="B2702" s="116"/>
      <c r="C2702" s="518" t="str">
        <f>IF(A2702&amp;B2702="","",VLOOKUP(A2702&amp;B2702,INSUMOS!C:G,2,0))</f>
        <v/>
      </c>
      <c r="D2702" s="519"/>
      <c r="E2702" s="117" t="str">
        <f>IF(A2702&amp;B2702="","",VLOOKUP(A2702&amp;B2702,INSUMOS!C:G,3,0))</f>
        <v/>
      </c>
      <c r="F2702" s="118"/>
      <c r="G2702" s="113" t="str">
        <f>IF(A2702&amp;B2702="","",VLOOKUP(A2702&amp;B2702,INSUMOS!C:G,4,0))</f>
        <v/>
      </c>
      <c r="H2702" s="119" t="str">
        <f t="shared" si="450"/>
        <v/>
      </c>
      <c r="I2702" s="119" t="str">
        <f t="shared" si="451"/>
        <v/>
      </c>
      <c r="J2702" s="115" t="str">
        <f t="shared" si="452"/>
        <v/>
      </c>
      <c r="K2702" s="102" t="str">
        <f>IF(A2702&amp;B2702="","",VLOOKUP(A2702&amp;B2702,INSUMOS!C:G,5,0))</f>
        <v/>
      </c>
    </row>
    <row r="2703" spans="1:17" ht="15" x14ac:dyDescent="0.25">
      <c r="A2703" s="109"/>
      <c r="B2703" s="116"/>
      <c r="C2703" s="518" t="str">
        <f>IF(A2703&amp;B2703="","",VLOOKUP(A2703&amp;B2703,INSUMOS!C:G,2,0))</f>
        <v/>
      </c>
      <c r="D2703" s="519"/>
      <c r="E2703" s="117" t="str">
        <f>IF(A2703&amp;B2703="","",VLOOKUP(A2703&amp;B2703,INSUMOS!C:G,3,0))</f>
        <v/>
      </c>
      <c r="F2703" s="118"/>
      <c r="G2703" s="113" t="str">
        <f>IF(A2703&amp;B2703="","",VLOOKUP(A2703&amp;B2703,INSUMOS!C:G,4,0))</f>
        <v/>
      </c>
      <c r="H2703" s="119" t="str">
        <f t="shared" si="450"/>
        <v/>
      </c>
      <c r="I2703" s="119" t="str">
        <f t="shared" si="451"/>
        <v/>
      </c>
      <c r="J2703" s="115" t="str">
        <f t="shared" si="452"/>
        <v/>
      </c>
      <c r="K2703" s="102" t="str">
        <f>IF(A2703&amp;B2703="","",VLOOKUP(A2703&amp;B2703,INSUMOS!C:G,5,0))</f>
        <v/>
      </c>
    </row>
    <row r="2704" spans="1:17" ht="15" x14ac:dyDescent="0.25">
      <c r="A2704" s="109"/>
      <c r="B2704" s="116"/>
      <c r="C2704" s="518" t="str">
        <f>IF(A2704&amp;B2704="","",VLOOKUP(A2704&amp;B2704,INSUMOS!C:G,2,0))</f>
        <v/>
      </c>
      <c r="D2704" s="519"/>
      <c r="E2704" s="117" t="str">
        <f>IF(A2704&amp;B2704="","",VLOOKUP(A2704&amp;B2704,INSUMOS!C:G,3,0))</f>
        <v/>
      </c>
      <c r="F2704" s="118"/>
      <c r="G2704" s="113" t="str">
        <f>IF(A2704&amp;B2704="","",VLOOKUP(A2704&amp;B2704,INSUMOS!C:G,4,0))</f>
        <v/>
      </c>
      <c r="H2704" s="119" t="str">
        <f t="shared" si="450"/>
        <v/>
      </c>
      <c r="I2704" s="119" t="str">
        <f t="shared" si="451"/>
        <v/>
      </c>
      <c r="J2704" s="115" t="str">
        <f t="shared" si="452"/>
        <v/>
      </c>
      <c r="K2704" s="102" t="str">
        <f>IF(A2704&amp;B2704="","",VLOOKUP(A2704&amp;B2704,INSUMOS!C:G,5,0))</f>
        <v/>
      </c>
    </row>
    <row r="2705" spans="1:17" ht="15" x14ac:dyDescent="0.25">
      <c r="A2705" s="120"/>
      <c r="B2705" s="121"/>
      <c r="C2705" s="518" t="str">
        <f>IF(A2705&amp;B2705="","",VLOOKUP(A2705&amp;B2705,INSUMOS!C:G,2,0))</f>
        <v/>
      </c>
      <c r="D2705" s="519"/>
      <c r="E2705" s="117" t="str">
        <f>IF(A2705&amp;B2705="","",VLOOKUP(A2705&amp;B2705,INSUMOS!C:G,3,0))</f>
        <v/>
      </c>
      <c r="F2705" s="118"/>
      <c r="G2705" s="122" t="str">
        <f>IF(A2705&amp;B2705="","",VLOOKUP(A2705&amp;B2705,INSUMOS!C:G,4,0))</f>
        <v/>
      </c>
      <c r="H2705" s="119" t="str">
        <f t="shared" si="450"/>
        <v/>
      </c>
      <c r="I2705" s="119" t="str">
        <f t="shared" si="451"/>
        <v/>
      </c>
      <c r="J2705" s="115" t="str">
        <f t="shared" si="452"/>
        <v/>
      </c>
      <c r="K2705" s="102" t="str">
        <f>IF(A2705&amp;B2705="","",VLOOKUP(A2705&amp;B2705,INSUMOS!C:G,5,0))</f>
        <v/>
      </c>
    </row>
    <row r="2706" spans="1:17" ht="15" x14ac:dyDescent="0.25">
      <c r="A2706" s="120"/>
      <c r="B2706" s="121"/>
      <c r="C2706" s="518" t="str">
        <f>IF(A2706&amp;B2706="","",VLOOKUP(A2706&amp;B2706,INSUMOS!C:G,2,0))</f>
        <v/>
      </c>
      <c r="D2706" s="519"/>
      <c r="E2706" s="117" t="str">
        <f>IF(A2706&amp;B2706="","",VLOOKUP(A2706&amp;B2706,INSUMOS!C:G,3,0))</f>
        <v/>
      </c>
      <c r="F2706" s="118"/>
      <c r="G2706" s="122" t="str">
        <f>IF(A2706&amp;B2706="","",VLOOKUP(A2706&amp;B2706,INSUMOS!C:G,4,0))</f>
        <v/>
      </c>
      <c r="H2706" s="119" t="str">
        <f t="shared" si="450"/>
        <v/>
      </c>
      <c r="I2706" s="119" t="str">
        <f t="shared" si="451"/>
        <v/>
      </c>
      <c r="J2706" s="115" t="str">
        <f t="shared" si="452"/>
        <v/>
      </c>
      <c r="K2706" s="102" t="str">
        <f>IF(A2706&amp;B2706="","",VLOOKUP(A2706&amp;B2706,INSUMOS!C:G,5,0))</f>
        <v/>
      </c>
    </row>
    <row r="2707" spans="1:17" ht="15" x14ac:dyDescent="0.25">
      <c r="A2707" s="120"/>
      <c r="B2707" s="121"/>
      <c r="C2707" s="518" t="str">
        <f>IF(A2707&amp;B2707="","",VLOOKUP(A2707&amp;B2707,INSUMOS!C:G,2,0))</f>
        <v/>
      </c>
      <c r="D2707" s="519"/>
      <c r="E2707" s="117" t="str">
        <f>IF(A2707&amp;B2707="","",VLOOKUP(A2707&amp;B2707,INSUMOS!C:G,3,0))</f>
        <v/>
      </c>
      <c r="F2707" s="118"/>
      <c r="G2707" s="122" t="str">
        <f>IF(A2707&amp;B2707="","",VLOOKUP(A2707&amp;B2707,INSUMOS!C:G,4,0))</f>
        <v/>
      </c>
      <c r="H2707" s="119" t="str">
        <f t="shared" si="450"/>
        <v/>
      </c>
      <c r="I2707" s="119" t="str">
        <f t="shared" si="451"/>
        <v/>
      </c>
      <c r="J2707" s="115" t="str">
        <f t="shared" si="452"/>
        <v/>
      </c>
      <c r="K2707" s="102" t="str">
        <f>IF(A2707&amp;B2707="","",VLOOKUP(A2707&amp;B2707,INSUMOS!C:G,5,0))</f>
        <v/>
      </c>
    </row>
    <row r="2708" spans="1:17" ht="15" x14ac:dyDescent="0.25">
      <c r="A2708" s="123" t="s">
        <v>4399</v>
      </c>
      <c r="B2708" s="542"/>
      <c r="C2708" s="542"/>
      <c r="D2708" s="542"/>
      <c r="E2708" s="542"/>
      <c r="F2708" s="543"/>
      <c r="G2708" s="124" t="s">
        <v>50</v>
      </c>
      <c r="H2708" s="125">
        <f>SUM(H2695:H2707)</f>
        <v>0</v>
      </c>
      <c r="I2708" s="125">
        <f>SUM(I2695:I2707)</f>
        <v>535.39</v>
      </c>
      <c r="J2708" s="126">
        <f>SUM(J2695:J2707)</f>
        <v>0</v>
      </c>
    </row>
    <row r="2709" spans="1:17" ht="15" x14ac:dyDescent="0.25">
      <c r="A2709" s="127" t="s">
        <v>4400</v>
      </c>
      <c r="B2709" s="128"/>
      <c r="C2709" s="128"/>
      <c r="D2709" s="127" t="s">
        <v>51</v>
      </c>
      <c r="E2709" s="128"/>
      <c r="F2709" s="129"/>
      <c r="G2709" s="130" t="s">
        <v>55</v>
      </c>
      <c r="H2709" s="131" t="s">
        <v>52</v>
      </c>
      <c r="I2709" s="132"/>
      <c r="J2709" s="125">
        <f>SUM(H2708:J2708)</f>
        <v>535.39</v>
      </c>
    </row>
    <row r="2710" spans="1:17" ht="15" x14ac:dyDescent="0.25">
      <c r="A2710" s="313" t="str">
        <f>$I$3</f>
        <v>Carlos Wieck</v>
      </c>
      <c r="B2710" s="133"/>
      <c r="C2710" s="133"/>
      <c r="D2710" s="134"/>
      <c r="E2710" s="133"/>
      <c r="F2710" s="135"/>
      <c r="G2710" s="522">
        <f>$J$5</f>
        <v>43040</v>
      </c>
      <c r="H2710" s="136" t="s">
        <v>53</v>
      </c>
      <c r="I2710" s="137"/>
      <c r="J2710" s="125">
        <f>TRUNC(I2710*J2709,2)</f>
        <v>0</v>
      </c>
    </row>
    <row r="2711" spans="1:17" ht="15" x14ac:dyDescent="0.25">
      <c r="A2711" s="314"/>
      <c r="B2711" s="139"/>
      <c r="C2711" s="139"/>
      <c r="D2711" s="138"/>
      <c r="E2711" s="139"/>
      <c r="F2711" s="140"/>
      <c r="G2711" s="523"/>
      <c r="H2711" s="141" t="s">
        <v>54</v>
      </c>
      <c r="I2711" s="142"/>
      <c r="J2711" s="143">
        <f>J2710+J2709</f>
        <v>535.39</v>
      </c>
      <c r="L2711" s="102" t="str">
        <f>A2692</f>
        <v>COMPOSIÇÃO</v>
      </c>
      <c r="M2711" s="144" t="str">
        <f>B2692</f>
        <v>FF-116</v>
      </c>
      <c r="N2711" s="102" t="str">
        <f>L2711&amp;M2711</f>
        <v>COMPOSIÇÃOFF-116</v>
      </c>
      <c r="O2711" s="103" t="str">
        <f>D2691</f>
        <v>Cobertura em policarbonato 20mm, sistema TOPGAL da Arkos, ou equivalente técnico. Fornecimento e Instalação</v>
      </c>
      <c r="P2711" s="145" t="str">
        <f>J2692</f>
        <v>m²</v>
      </c>
      <c r="Q2711" s="145">
        <f>J2711</f>
        <v>535.39</v>
      </c>
    </row>
    <row r="2712" spans="1:17" ht="15" customHeight="1" x14ac:dyDescent="0.25">
      <c r="A2712" s="524" t="s">
        <v>40</v>
      </c>
      <c r="B2712" s="525"/>
      <c r="C2712" s="104" t="s">
        <v>41</v>
      </c>
      <c r="D2712" s="526" t="str">
        <f>IF(B2713="","",VLOOKUP(B2713,SERVIÇOS!B:E,3,0))</f>
        <v>Luminária tipo Spot com  foco orientável, corpo em alumínio pintado, refletor em alumínio anodizado, para uma lâmpada LED COB 15 W, abertura 50º, temperatura de cor 3000K.</v>
      </c>
      <c r="E2712" s="526"/>
      <c r="F2712" s="526"/>
      <c r="G2712" s="526"/>
      <c r="H2712" s="526"/>
      <c r="I2712" s="527"/>
      <c r="J2712" s="105" t="s">
        <v>42</v>
      </c>
    </row>
    <row r="2713" spans="1:17" ht="15" x14ac:dyDescent="0.25">
      <c r="A2713" s="230" t="s">
        <v>4715</v>
      </c>
      <c r="B2713" s="230" t="s">
        <v>5356</v>
      </c>
      <c r="C2713" s="106"/>
      <c r="D2713" s="528"/>
      <c r="E2713" s="528"/>
      <c r="F2713" s="528"/>
      <c r="G2713" s="528"/>
      <c r="H2713" s="528"/>
      <c r="I2713" s="529"/>
      <c r="J2713" s="107" t="str">
        <f>IF(B2713="","",VLOOKUP(B2713,SERVIÇOS!B:E,4,0))</f>
        <v>un</v>
      </c>
    </row>
    <row r="2714" spans="1:17" ht="15" x14ac:dyDescent="0.25">
      <c r="A2714" s="530" t="s">
        <v>4397</v>
      </c>
      <c r="B2714" s="531" t="s">
        <v>11</v>
      </c>
      <c r="C2714" s="533" t="s">
        <v>43</v>
      </c>
      <c r="D2714" s="534"/>
      <c r="E2714" s="530" t="s">
        <v>13</v>
      </c>
      <c r="F2714" s="530" t="s">
        <v>44</v>
      </c>
      <c r="G2714" s="538" t="s">
        <v>45</v>
      </c>
      <c r="H2714" s="108" t="s">
        <v>46</v>
      </c>
      <c r="I2714" s="108"/>
      <c r="J2714" s="108"/>
    </row>
    <row r="2715" spans="1:17" ht="15" x14ac:dyDescent="0.25">
      <c r="A2715" s="530"/>
      <c r="B2715" s="532"/>
      <c r="C2715" s="535"/>
      <c r="D2715" s="536"/>
      <c r="E2715" s="537"/>
      <c r="F2715" s="537"/>
      <c r="G2715" s="539"/>
      <c r="H2715" s="108" t="s">
        <v>47</v>
      </c>
      <c r="I2715" s="108" t="s">
        <v>48</v>
      </c>
      <c r="J2715" s="108" t="s">
        <v>49</v>
      </c>
    </row>
    <row r="2716" spans="1:17" ht="15" x14ac:dyDescent="0.25">
      <c r="A2716" s="109" t="s">
        <v>4398</v>
      </c>
      <c r="B2716" s="116">
        <v>10115</v>
      </c>
      <c r="C2716" s="540" t="str">
        <f>IF(A2716&amp;B2716="","",VLOOKUP(A2716&amp;B2716,INSUMOS!C:G,2,0))</f>
        <v>Eletricista</v>
      </c>
      <c r="D2716" s="541"/>
      <c r="E2716" s="111" t="str">
        <f>IF(A2716&amp;B2716="","",VLOOKUP(A2716&amp;B2716,INSUMOS!C:G,3,0))</f>
        <v>h</v>
      </c>
      <c r="F2716" s="112">
        <v>1.1000000000000001</v>
      </c>
      <c r="G2716" s="113">
        <f>IF(A2716&amp;B2716="","",VLOOKUP(A2716&amp;B2716,INSUMOS!C:G,4,0))</f>
        <v>15.5816</v>
      </c>
      <c r="H2716" s="114">
        <f>IF(K2716="MO",TRUNC(F2716*G2716,2),"")</f>
        <v>17.13</v>
      </c>
      <c r="I2716" s="114" t="str">
        <f>IF(K2716="MT",TRUNC(F2716*G2716,2),"")</f>
        <v/>
      </c>
      <c r="J2716" s="115" t="str">
        <f>IF(K2716="EQ",TRUNC(F2716*G2716,2),"")</f>
        <v/>
      </c>
      <c r="K2716" s="102" t="str">
        <f>IF(A2716&amp;B2716="","",VLOOKUP(A2716&amp;B2716,INSUMOS!C:G,5,0))</f>
        <v>MO</v>
      </c>
    </row>
    <row r="2717" spans="1:17" ht="15" x14ac:dyDescent="0.25">
      <c r="A2717" s="109" t="s">
        <v>4398</v>
      </c>
      <c r="B2717" s="116">
        <v>10116</v>
      </c>
      <c r="C2717" s="518" t="str">
        <f>IF(A2717&amp;B2717="","",VLOOKUP(A2717&amp;B2717,INSUMOS!C:G,2,0))</f>
        <v>Ajudante eletricista</v>
      </c>
      <c r="D2717" s="519"/>
      <c r="E2717" s="117" t="str">
        <f>IF(A2717&amp;B2717="","",VLOOKUP(A2717&amp;B2717,INSUMOS!C:G,3,0))</f>
        <v>h</v>
      </c>
      <c r="F2717" s="118">
        <v>1.1000000000000001</v>
      </c>
      <c r="G2717" s="113">
        <f>IF(A2717&amp;B2717="","",VLOOKUP(A2717&amp;B2717,INSUMOS!C:G,4,0))</f>
        <v>10.985028</v>
      </c>
      <c r="H2717" s="119">
        <f t="shared" ref="H2717:H2728" si="453">IF(K2717="MO",TRUNC(F2717*G2717,2),"")</f>
        <v>12.08</v>
      </c>
      <c r="I2717" s="119" t="str">
        <f t="shared" ref="I2717:I2728" si="454">IF(K2717="MT",TRUNC(F2717*G2717,2),"")</f>
        <v/>
      </c>
      <c r="J2717" s="115" t="str">
        <f t="shared" ref="J2717:J2728" si="455">IF(K2717="EQ",TRUNC(F2717*G2717,2),"")</f>
        <v/>
      </c>
      <c r="K2717" s="102" t="str">
        <f>IF(A2717&amp;B2717="","",VLOOKUP(A2717&amp;B2717,INSUMOS!C:G,5,0))</f>
        <v>MO</v>
      </c>
    </row>
    <row r="2718" spans="1:17" ht="30" customHeight="1" x14ac:dyDescent="0.25">
      <c r="A2718" s="109" t="s">
        <v>4717</v>
      </c>
      <c r="B2718" s="116" t="s">
        <v>4981</v>
      </c>
      <c r="C2718" s="518" t="str">
        <f>IF(A2718&amp;B2718="","",VLOOKUP(A2718&amp;B2718,INSUMOS!C:G,2,0))</f>
        <v>Luminária tipo Spot com  foco orientável, corpo em alumínio pintado, refletor em alumínio anodizado, para uma lâmpada LED COB 15 W, abertura 50º, temperatura de cor 3000K.</v>
      </c>
      <c r="D2718" s="519"/>
      <c r="E2718" s="117" t="str">
        <f>IF(A2718&amp;B2718="","",VLOOKUP(A2718&amp;B2718,INSUMOS!C:G,3,0))</f>
        <v>un</v>
      </c>
      <c r="F2718" s="118">
        <v>1</v>
      </c>
      <c r="G2718" s="113">
        <f>IF(A2718&amp;B2718="","",VLOOKUP(A2718&amp;B2718,INSUMOS!C:G,4,0))</f>
        <v>653.69000000000005</v>
      </c>
      <c r="H2718" s="119" t="str">
        <f t="shared" si="453"/>
        <v/>
      </c>
      <c r="I2718" s="119">
        <f t="shared" si="454"/>
        <v>653.69000000000005</v>
      </c>
      <c r="J2718" s="115" t="str">
        <f t="shared" si="455"/>
        <v/>
      </c>
      <c r="K2718" s="102" t="str">
        <f>IF(A2718&amp;B2718="","",VLOOKUP(A2718&amp;B2718,INSUMOS!C:G,5,0))</f>
        <v>MT</v>
      </c>
    </row>
    <row r="2719" spans="1:17" ht="15" x14ac:dyDescent="0.25">
      <c r="A2719" s="109"/>
      <c r="B2719" s="116"/>
      <c r="C2719" s="518" t="str">
        <f>IF(A2719&amp;B2719="","",VLOOKUP(A2719&amp;B2719,INSUMOS!C:G,2,0))</f>
        <v/>
      </c>
      <c r="D2719" s="519"/>
      <c r="E2719" s="117" t="str">
        <f>IF(A2719&amp;B2719="","",VLOOKUP(A2719&amp;B2719,INSUMOS!C:G,3,0))</f>
        <v/>
      </c>
      <c r="F2719" s="118"/>
      <c r="G2719" s="113" t="str">
        <f>IF(A2719&amp;B2719="","",VLOOKUP(A2719&amp;B2719,INSUMOS!C:G,4,0))</f>
        <v/>
      </c>
      <c r="H2719" s="119" t="str">
        <f t="shared" si="453"/>
        <v/>
      </c>
      <c r="I2719" s="119" t="str">
        <f t="shared" si="454"/>
        <v/>
      </c>
      <c r="J2719" s="115" t="str">
        <f t="shared" si="455"/>
        <v/>
      </c>
      <c r="K2719" s="102" t="str">
        <f>IF(A2719&amp;B2719="","",VLOOKUP(A2719&amp;B2719,INSUMOS!C:G,5,0))</f>
        <v/>
      </c>
    </row>
    <row r="2720" spans="1:17" ht="15" x14ac:dyDescent="0.25">
      <c r="A2720" s="109"/>
      <c r="B2720" s="116"/>
      <c r="C2720" s="518" t="str">
        <f>IF(A2720&amp;B2720="","",VLOOKUP(A2720&amp;B2720,INSUMOS!C:G,2,0))</f>
        <v/>
      </c>
      <c r="D2720" s="519"/>
      <c r="E2720" s="117" t="str">
        <f>IF(A2720&amp;B2720="","",VLOOKUP(A2720&amp;B2720,INSUMOS!C:G,3,0))</f>
        <v/>
      </c>
      <c r="F2720" s="118"/>
      <c r="G2720" s="113" t="str">
        <f>IF(A2720&amp;B2720="","",VLOOKUP(A2720&amp;B2720,INSUMOS!C:G,4,0))</f>
        <v/>
      </c>
      <c r="H2720" s="119" t="str">
        <f t="shared" si="453"/>
        <v/>
      </c>
      <c r="I2720" s="119" t="str">
        <f t="shared" si="454"/>
        <v/>
      </c>
      <c r="J2720" s="115" t="str">
        <f t="shared" si="455"/>
        <v/>
      </c>
      <c r="K2720" s="102" t="str">
        <f>IF(A2720&amp;B2720="","",VLOOKUP(A2720&amp;B2720,INSUMOS!C:G,5,0))</f>
        <v/>
      </c>
    </row>
    <row r="2721" spans="1:17" ht="15" x14ac:dyDescent="0.25">
      <c r="A2721" s="109"/>
      <c r="B2721" s="116"/>
      <c r="C2721" s="518" t="str">
        <f>IF(A2721&amp;B2721="","",VLOOKUP(A2721&amp;B2721,INSUMOS!C:G,2,0))</f>
        <v/>
      </c>
      <c r="D2721" s="519"/>
      <c r="E2721" s="117" t="str">
        <f>IF(A2721&amp;B2721="","",VLOOKUP(A2721&amp;B2721,INSUMOS!C:G,3,0))</f>
        <v/>
      </c>
      <c r="F2721" s="118"/>
      <c r="G2721" s="113" t="str">
        <f>IF(A2721&amp;B2721="","",VLOOKUP(A2721&amp;B2721,INSUMOS!C:G,4,0))</f>
        <v/>
      </c>
      <c r="H2721" s="119" t="str">
        <f t="shared" si="453"/>
        <v/>
      </c>
      <c r="I2721" s="119" t="str">
        <f t="shared" si="454"/>
        <v/>
      </c>
      <c r="J2721" s="115" t="str">
        <f t="shared" si="455"/>
        <v/>
      </c>
      <c r="K2721" s="102" t="str">
        <f>IF(A2721&amp;B2721="","",VLOOKUP(A2721&amp;B2721,INSUMOS!C:G,5,0))</f>
        <v/>
      </c>
    </row>
    <row r="2722" spans="1:17" ht="15" x14ac:dyDescent="0.25">
      <c r="A2722" s="109"/>
      <c r="B2722" s="116"/>
      <c r="C2722" s="518" t="str">
        <f>IF(A2722&amp;B2722="","",VLOOKUP(A2722&amp;B2722,INSUMOS!C:G,2,0))</f>
        <v/>
      </c>
      <c r="D2722" s="519"/>
      <c r="E2722" s="117" t="str">
        <f>IF(A2722&amp;B2722="","",VLOOKUP(A2722&amp;B2722,INSUMOS!C:G,3,0))</f>
        <v/>
      </c>
      <c r="F2722" s="118"/>
      <c r="G2722" s="113" t="str">
        <f>IF(A2722&amp;B2722="","",VLOOKUP(A2722&amp;B2722,INSUMOS!C:G,4,0))</f>
        <v/>
      </c>
      <c r="H2722" s="119" t="str">
        <f t="shared" si="453"/>
        <v/>
      </c>
      <c r="I2722" s="119" t="str">
        <f t="shared" si="454"/>
        <v/>
      </c>
      <c r="J2722" s="115" t="str">
        <f t="shared" si="455"/>
        <v/>
      </c>
      <c r="K2722" s="102" t="str">
        <f>IF(A2722&amp;B2722="","",VLOOKUP(A2722&amp;B2722,INSUMOS!C:G,5,0))</f>
        <v/>
      </c>
    </row>
    <row r="2723" spans="1:17" ht="15" x14ac:dyDescent="0.25">
      <c r="A2723" s="109"/>
      <c r="B2723" s="116"/>
      <c r="C2723" s="518" t="str">
        <f>IF(A2723&amp;B2723="","",VLOOKUP(A2723&amp;B2723,INSUMOS!C:G,2,0))</f>
        <v/>
      </c>
      <c r="D2723" s="519"/>
      <c r="E2723" s="117" t="str">
        <f>IF(A2723&amp;B2723="","",VLOOKUP(A2723&amp;B2723,INSUMOS!C:G,3,0))</f>
        <v/>
      </c>
      <c r="F2723" s="118"/>
      <c r="G2723" s="113" t="str">
        <f>IF(A2723&amp;B2723="","",VLOOKUP(A2723&amp;B2723,INSUMOS!C:G,4,0))</f>
        <v/>
      </c>
      <c r="H2723" s="119" t="str">
        <f t="shared" si="453"/>
        <v/>
      </c>
      <c r="I2723" s="119" t="str">
        <f t="shared" si="454"/>
        <v/>
      </c>
      <c r="J2723" s="115" t="str">
        <f t="shared" si="455"/>
        <v/>
      </c>
      <c r="K2723" s="102" t="str">
        <f>IF(A2723&amp;B2723="","",VLOOKUP(A2723&amp;B2723,INSUMOS!C:G,5,0))</f>
        <v/>
      </c>
    </row>
    <row r="2724" spans="1:17" ht="15" x14ac:dyDescent="0.25">
      <c r="A2724" s="109"/>
      <c r="B2724" s="116"/>
      <c r="C2724" s="518" t="str">
        <f>IF(A2724&amp;B2724="","",VLOOKUP(A2724&amp;B2724,INSUMOS!C:G,2,0))</f>
        <v/>
      </c>
      <c r="D2724" s="519"/>
      <c r="E2724" s="117" t="str">
        <f>IF(A2724&amp;B2724="","",VLOOKUP(A2724&amp;B2724,INSUMOS!C:G,3,0))</f>
        <v/>
      </c>
      <c r="F2724" s="118"/>
      <c r="G2724" s="113" t="str">
        <f>IF(A2724&amp;B2724="","",VLOOKUP(A2724&amp;B2724,INSUMOS!C:G,4,0))</f>
        <v/>
      </c>
      <c r="H2724" s="119" t="str">
        <f t="shared" si="453"/>
        <v/>
      </c>
      <c r="I2724" s="119" t="str">
        <f t="shared" si="454"/>
        <v/>
      </c>
      <c r="J2724" s="115" t="str">
        <f t="shared" si="455"/>
        <v/>
      </c>
      <c r="K2724" s="102" t="str">
        <f>IF(A2724&amp;B2724="","",VLOOKUP(A2724&amp;B2724,INSUMOS!C:G,5,0))</f>
        <v/>
      </c>
    </row>
    <row r="2725" spans="1:17" ht="15" x14ac:dyDescent="0.25">
      <c r="A2725" s="109"/>
      <c r="B2725" s="116"/>
      <c r="C2725" s="518" t="str">
        <f>IF(A2725&amp;B2725="","",VLOOKUP(A2725&amp;B2725,INSUMOS!C:G,2,0))</f>
        <v/>
      </c>
      <c r="D2725" s="519"/>
      <c r="E2725" s="117" t="str">
        <f>IF(A2725&amp;B2725="","",VLOOKUP(A2725&amp;B2725,INSUMOS!C:G,3,0))</f>
        <v/>
      </c>
      <c r="F2725" s="118"/>
      <c r="G2725" s="113" t="str">
        <f>IF(A2725&amp;B2725="","",VLOOKUP(A2725&amp;B2725,INSUMOS!C:G,4,0))</f>
        <v/>
      </c>
      <c r="H2725" s="119" t="str">
        <f t="shared" si="453"/>
        <v/>
      </c>
      <c r="I2725" s="119" t="str">
        <f t="shared" si="454"/>
        <v/>
      </c>
      <c r="J2725" s="115" t="str">
        <f t="shared" si="455"/>
        <v/>
      </c>
      <c r="K2725" s="102" t="str">
        <f>IF(A2725&amp;B2725="","",VLOOKUP(A2725&amp;B2725,INSUMOS!C:G,5,0))</f>
        <v/>
      </c>
    </row>
    <row r="2726" spans="1:17" ht="15" x14ac:dyDescent="0.25">
      <c r="A2726" s="120"/>
      <c r="B2726" s="121"/>
      <c r="C2726" s="518" t="str">
        <f>IF(A2726&amp;B2726="","",VLOOKUP(A2726&amp;B2726,INSUMOS!C:G,2,0))</f>
        <v/>
      </c>
      <c r="D2726" s="519"/>
      <c r="E2726" s="117" t="str">
        <f>IF(A2726&amp;B2726="","",VLOOKUP(A2726&amp;B2726,INSUMOS!C:G,3,0))</f>
        <v/>
      </c>
      <c r="F2726" s="118"/>
      <c r="G2726" s="122" t="str">
        <f>IF(A2726&amp;B2726="","",VLOOKUP(A2726&amp;B2726,INSUMOS!C:G,4,0))</f>
        <v/>
      </c>
      <c r="H2726" s="119" t="str">
        <f t="shared" si="453"/>
        <v/>
      </c>
      <c r="I2726" s="119" t="str">
        <f t="shared" si="454"/>
        <v/>
      </c>
      <c r="J2726" s="115" t="str">
        <f t="shared" si="455"/>
        <v/>
      </c>
      <c r="K2726" s="102" t="str">
        <f>IF(A2726&amp;B2726="","",VLOOKUP(A2726&amp;B2726,INSUMOS!C:G,5,0))</f>
        <v/>
      </c>
    </row>
    <row r="2727" spans="1:17" ht="15" x14ac:dyDescent="0.25">
      <c r="A2727" s="120"/>
      <c r="B2727" s="121"/>
      <c r="C2727" s="518" t="str">
        <f>IF(A2727&amp;B2727="","",VLOOKUP(A2727&amp;B2727,INSUMOS!C:G,2,0))</f>
        <v/>
      </c>
      <c r="D2727" s="519"/>
      <c r="E2727" s="117" t="str">
        <f>IF(A2727&amp;B2727="","",VLOOKUP(A2727&amp;B2727,INSUMOS!C:G,3,0))</f>
        <v/>
      </c>
      <c r="F2727" s="118"/>
      <c r="G2727" s="122" t="str">
        <f>IF(A2727&amp;B2727="","",VLOOKUP(A2727&amp;B2727,INSUMOS!C:G,4,0))</f>
        <v/>
      </c>
      <c r="H2727" s="119" t="str">
        <f t="shared" si="453"/>
        <v/>
      </c>
      <c r="I2727" s="119" t="str">
        <f t="shared" si="454"/>
        <v/>
      </c>
      <c r="J2727" s="115" t="str">
        <f t="shared" si="455"/>
        <v/>
      </c>
      <c r="K2727" s="102" t="str">
        <f>IF(A2727&amp;B2727="","",VLOOKUP(A2727&amp;B2727,INSUMOS!C:G,5,0))</f>
        <v/>
      </c>
    </row>
    <row r="2728" spans="1:17" ht="15" x14ac:dyDescent="0.25">
      <c r="A2728" s="120"/>
      <c r="B2728" s="121"/>
      <c r="C2728" s="518" t="str">
        <f>IF(A2728&amp;B2728="","",VLOOKUP(A2728&amp;B2728,INSUMOS!C:G,2,0))</f>
        <v/>
      </c>
      <c r="D2728" s="519"/>
      <c r="E2728" s="117" t="str">
        <f>IF(A2728&amp;B2728="","",VLOOKUP(A2728&amp;B2728,INSUMOS!C:G,3,0))</f>
        <v/>
      </c>
      <c r="F2728" s="118"/>
      <c r="G2728" s="122" t="str">
        <f>IF(A2728&amp;B2728="","",VLOOKUP(A2728&amp;B2728,INSUMOS!C:G,4,0))</f>
        <v/>
      </c>
      <c r="H2728" s="119" t="str">
        <f t="shared" si="453"/>
        <v/>
      </c>
      <c r="I2728" s="119" t="str">
        <f t="shared" si="454"/>
        <v/>
      </c>
      <c r="J2728" s="115" t="str">
        <f t="shared" si="455"/>
        <v/>
      </c>
      <c r="K2728" s="102" t="str">
        <f>IF(A2728&amp;B2728="","",VLOOKUP(A2728&amp;B2728,INSUMOS!C:G,5,0))</f>
        <v/>
      </c>
    </row>
    <row r="2729" spans="1:17" ht="15" x14ac:dyDescent="0.25">
      <c r="A2729" s="123" t="s">
        <v>4399</v>
      </c>
      <c r="B2729" s="542"/>
      <c r="C2729" s="542"/>
      <c r="D2729" s="542"/>
      <c r="E2729" s="542"/>
      <c r="F2729" s="543"/>
      <c r="G2729" s="124" t="s">
        <v>50</v>
      </c>
      <c r="H2729" s="125">
        <f>SUM(H2716:H2728)</f>
        <v>29.21</v>
      </c>
      <c r="I2729" s="125">
        <f>SUM(I2716:I2728)</f>
        <v>653.69000000000005</v>
      </c>
      <c r="J2729" s="126">
        <f>SUM(J2716:J2728)</f>
        <v>0</v>
      </c>
    </row>
    <row r="2730" spans="1:17" ht="15" x14ac:dyDescent="0.25">
      <c r="A2730" s="127" t="s">
        <v>4400</v>
      </c>
      <c r="B2730" s="128"/>
      <c r="C2730" s="128"/>
      <c r="D2730" s="127" t="s">
        <v>51</v>
      </c>
      <c r="E2730" s="128"/>
      <c r="F2730" s="129"/>
      <c r="G2730" s="130" t="s">
        <v>55</v>
      </c>
      <c r="H2730" s="131" t="s">
        <v>52</v>
      </c>
      <c r="I2730" s="132"/>
      <c r="J2730" s="125">
        <f>SUM(H2729:J2729)</f>
        <v>682.90000000000009</v>
      </c>
    </row>
    <row r="2731" spans="1:17" ht="15" x14ac:dyDescent="0.25">
      <c r="A2731" s="313" t="str">
        <f>$I$3</f>
        <v>Carlos Wieck</v>
      </c>
      <c r="B2731" s="133"/>
      <c r="C2731" s="133"/>
      <c r="D2731" s="134"/>
      <c r="E2731" s="133"/>
      <c r="F2731" s="135"/>
      <c r="G2731" s="522">
        <f>$J$5</f>
        <v>43040</v>
      </c>
      <c r="H2731" s="136" t="s">
        <v>53</v>
      </c>
      <c r="I2731" s="137"/>
      <c r="J2731" s="125">
        <f>TRUNC(I2731*J2730,2)</f>
        <v>0</v>
      </c>
    </row>
    <row r="2732" spans="1:17" ht="15" x14ac:dyDescent="0.25">
      <c r="A2732" s="314"/>
      <c r="B2732" s="139"/>
      <c r="C2732" s="139"/>
      <c r="D2732" s="138"/>
      <c r="E2732" s="139"/>
      <c r="F2732" s="140"/>
      <c r="G2732" s="523"/>
      <c r="H2732" s="141" t="s">
        <v>54</v>
      </c>
      <c r="I2732" s="142"/>
      <c r="J2732" s="143">
        <f>J2731+J2730</f>
        <v>682.90000000000009</v>
      </c>
      <c r="L2732" s="102" t="str">
        <f>A2713</f>
        <v>COMPOSIÇÃO</v>
      </c>
      <c r="M2732" s="144" t="str">
        <f>B2713</f>
        <v>FF-117</v>
      </c>
      <c r="N2732" s="102" t="str">
        <f>L2732&amp;M2732</f>
        <v>COMPOSIÇÃOFF-117</v>
      </c>
      <c r="O2732" s="103" t="str">
        <f>D2712</f>
        <v>Luminária tipo Spot com  foco orientável, corpo em alumínio pintado, refletor em alumínio anodizado, para uma lâmpada LED COB 15 W, abertura 50º, temperatura de cor 3000K.</v>
      </c>
      <c r="P2732" s="145" t="str">
        <f>J2713</f>
        <v>un</v>
      </c>
      <c r="Q2732" s="145">
        <f>J2732</f>
        <v>682.90000000000009</v>
      </c>
    </row>
    <row r="2733" spans="1:17" ht="15" customHeight="1" x14ac:dyDescent="0.25">
      <c r="A2733" s="524" t="s">
        <v>40</v>
      </c>
      <c r="B2733" s="525"/>
      <c r="C2733" s="104" t="s">
        <v>41</v>
      </c>
      <c r="D2733" s="526" t="str">
        <f>IF(B2734="","",VLOOKUP(B2734,SERVIÇOS!B:E,3,0))</f>
        <v>Luminária circular de embutir com foco orbital. Corpo e Orbital em alumínio injetado. Lâmpada LED 15W ângulo de abertura 20 graus, temperatura de cor 3000K.</v>
      </c>
      <c r="E2733" s="526"/>
      <c r="F2733" s="526"/>
      <c r="G2733" s="526"/>
      <c r="H2733" s="526"/>
      <c r="I2733" s="527"/>
      <c r="J2733" s="105" t="s">
        <v>42</v>
      </c>
    </row>
    <row r="2734" spans="1:17" ht="15" x14ac:dyDescent="0.25">
      <c r="A2734" s="230" t="s">
        <v>4715</v>
      </c>
      <c r="B2734" s="230" t="s">
        <v>5357</v>
      </c>
      <c r="C2734" s="106"/>
      <c r="D2734" s="528"/>
      <c r="E2734" s="528"/>
      <c r="F2734" s="528"/>
      <c r="G2734" s="528"/>
      <c r="H2734" s="528"/>
      <c r="I2734" s="529"/>
      <c r="J2734" s="107" t="str">
        <f>IF(B2734="","",VLOOKUP(B2734,SERVIÇOS!B:E,4,0))</f>
        <v>un</v>
      </c>
    </row>
    <row r="2735" spans="1:17" ht="15" x14ac:dyDescent="0.25">
      <c r="A2735" s="530" t="s">
        <v>4397</v>
      </c>
      <c r="B2735" s="531" t="s">
        <v>11</v>
      </c>
      <c r="C2735" s="533" t="s">
        <v>43</v>
      </c>
      <c r="D2735" s="534"/>
      <c r="E2735" s="530" t="s">
        <v>13</v>
      </c>
      <c r="F2735" s="530" t="s">
        <v>44</v>
      </c>
      <c r="G2735" s="538" t="s">
        <v>45</v>
      </c>
      <c r="H2735" s="108" t="s">
        <v>46</v>
      </c>
      <c r="I2735" s="108"/>
      <c r="J2735" s="108"/>
    </row>
    <row r="2736" spans="1:17" ht="15" x14ac:dyDescent="0.25">
      <c r="A2736" s="530"/>
      <c r="B2736" s="532"/>
      <c r="C2736" s="535"/>
      <c r="D2736" s="536"/>
      <c r="E2736" s="537"/>
      <c r="F2736" s="537"/>
      <c r="G2736" s="539"/>
      <c r="H2736" s="108" t="s">
        <v>47</v>
      </c>
      <c r="I2736" s="108" t="s">
        <v>48</v>
      </c>
      <c r="J2736" s="108" t="s">
        <v>49</v>
      </c>
    </row>
    <row r="2737" spans="1:11" ht="15" x14ac:dyDescent="0.25">
      <c r="A2737" s="109" t="s">
        <v>4398</v>
      </c>
      <c r="B2737" s="116">
        <v>10115</v>
      </c>
      <c r="C2737" s="540" t="str">
        <f>IF(A2737&amp;B2737="","",VLOOKUP(A2737&amp;B2737,INSUMOS!C:G,2,0))</f>
        <v>Eletricista</v>
      </c>
      <c r="D2737" s="541"/>
      <c r="E2737" s="111" t="str">
        <f>IF(A2737&amp;B2737="","",VLOOKUP(A2737&amp;B2737,INSUMOS!C:G,3,0))</f>
        <v>h</v>
      </c>
      <c r="F2737" s="112">
        <v>1.1000000000000001</v>
      </c>
      <c r="G2737" s="113">
        <f>IF(A2737&amp;B2737="","",VLOOKUP(A2737&amp;B2737,INSUMOS!C:G,4,0))</f>
        <v>15.5816</v>
      </c>
      <c r="H2737" s="114">
        <f>IF(K2737="MO",TRUNC(F2737*G2737,2),"")</f>
        <v>17.13</v>
      </c>
      <c r="I2737" s="114" t="str">
        <f>IF(K2737="MT",TRUNC(F2737*G2737,2),"")</f>
        <v/>
      </c>
      <c r="J2737" s="115" t="str">
        <f>IF(K2737="EQ",TRUNC(F2737*G2737,2),"")</f>
        <v/>
      </c>
      <c r="K2737" s="102" t="str">
        <f>IF(A2737&amp;B2737="","",VLOOKUP(A2737&amp;B2737,INSUMOS!C:G,5,0))</f>
        <v>MO</v>
      </c>
    </row>
    <row r="2738" spans="1:11" ht="15" x14ac:dyDescent="0.25">
      <c r="A2738" s="109" t="s">
        <v>4398</v>
      </c>
      <c r="B2738" s="116">
        <v>10116</v>
      </c>
      <c r="C2738" s="518" t="str">
        <f>IF(A2738&amp;B2738="","",VLOOKUP(A2738&amp;B2738,INSUMOS!C:G,2,0))</f>
        <v>Ajudante eletricista</v>
      </c>
      <c r="D2738" s="519"/>
      <c r="E2738" s="117" t="str">
        <f>IF(A2738&amp;B2738="","",VLOOKUP(A2738&amp;B2738,INSUMOS!C:G,3,0))</f>
        <v>h</v>
      </c>
      <c r="F2738" s="118">
        <v>1.1000000000000001</v>
      </c>
      <c r="G2738" s="113">
        <f>IF(A2738&amp;B2738="","",VLOOKUP(A2738&amp;B2738,INSUMOS!C:G,4,0))</f>
        <v>10.985028</v>
      </c>
      <c r="H2738" s="119">
        <f t="shared" ref="H2738:H2749" si="456">IF(K2738="MO",TRUNC(F2738*G2738,2),"")</f>
        <v>12.08</v>
      </c>
      <c r="I2738" s="119" t="str">
        <f t="shared" ref="I2738:I2749" si="457">IF(K2738="MT",TRUNC(F2738*G2738,2),"")</f>
        <v/>
      </c>
      <c r="J2738" s="115" t="str">
        <f t="shared" ref="J2738:J2749" si="458">IF(K2738="EQ",TRUNC(F2738*G2738,2),"")</f>
        <v/>
      </c>
      <c r="K2738" s="102" t="str">
        <f>IF(A2738&amp;B2738="","",VLOOKUP(A2738&amp;B2738,INSUMOS!C:G,5,0))</f>
        <v>MO</v>
      </c>
    </row>
    <row r="2739" spans="1:11" ht="30" customHeight="1" x14ac:dyDescent="0.25">
      <c r="A2739" s="109" t="s">
        <v>4717</v>
      </c>
      <c r="B2739" s="116" t="s">
        <v>4982</v>
      </c>
      <c r="C2739" s="518" t="str">
        <f>IF(A2739&amp;B2739="","",VLOOKUP(A2739&amp;B2739,INSUMOS!C:G,2,0))</f>
        <v>Luminária circular de embutir com foco orbital. Corpo e Orbital em alumínio injetado. Lâmpada LED 15W ângulo de abertura 20 graus, temperatura de cor 3000K.</v>
      </c>
      <c r="D2739" s="519"/>
      <c r="E2739" s="117" t="str">
        <f>IF(A2739&amp;B2739="","",VLOOKUP(A2739&amp;B2739,INSUMOS!C:G,3,0))</f>
        <v>un</v>
      </c>
      <c r="F2739" s="118">
        <v>1</v>
      </c>
      <c r="G2739" s="113">
        <f>IF(A2739&amp;B2739="","",VLOOKUP(A2739&amp;B2739,INSUMOS!C:G,4,0))</f>
        <v>594.80799999999999</v>
      </c>
      <c r="H2739" s="119" t="str">
        <f t="shared" si="456"/>
        <v/>
      </c>
      <c r="I2739" s="119">
        <f t="shared" si="457"/>
        <v>594.79999999999995</v>
      </c>
      <c r="J2739" s="115" t="str">
        <f t="shared" si="458"/>
        <v/>
      </c>
      <c r="K2739" s="102" t="str">
        <f>IF(A2739&amp;B2739="","",VLOOKUP(A2739&amp;B2739,INSUMOS!C:G,5,0))</f>
        <v>MT</v>
      </c>
    </row>
    <row r="2740" spans="1:11" ht="15" x14ac:dyDescent="0.25">
      <c r="A2740" s="109"/>
      <c r="B2740" s="116"/>
      <c r="C2740" s="518" t="str">
        <f>IF(A2740&amp;B2740="","",VLOOKUP(A2740&amp;B2740,INSUMOS!C:G,2,0))</f>
        <v/>
      </c>
      <c r="D2740" s="519"/>
      <c r="E2740" s="117" t="str">
        <f>IF(A2740&amp;B2740="","",VLOOKUP(A2740&amp;B2740,INSUMOS!C:G,3,0))</f>
        <v/>
      </c>
      <c r="F2740" s="118"/>
      <c r="G2740" s="113" t="str">
        <f>IF(A2740&amp;B2740="","",VLOOKUP(A2740&amp;B2740,INSUMOS!C:G,4,0))</f>
        <v/>
      </c>
      <c r="H2740" s="119" t="str">
        <f t="shared" si="456"/>
        <v/>
      </c>
      <c r="I2740" s="119" t="str">
        <f t="shared" si="457"/>
        <v/>
      </c>
      <c r="J2740" s="115" t="str">
        <f t="shared" si="458"/>
        <v/>
      </c>
      <c r="K2740" s="102" t="str">
        <f>IF(A2740&amp;B2740="","",VLOOKUP(A2740&amp;B2740,INSUMOS!C:G,5,0))</f>
        <v/>
      </c>
    </row>
    <row r="2741" spans="1:11" ht="15" x14ac:dyDescent="0.25">
      <c r="A2741" s="109"/>
      <c r="B2741" s="116"/>
      <c r="C2741" s="518" t="str">
        <f>IF(A2741&amp;B2741="","",VLOOKUP(A2741&amp;B2741,INSUMOS!C:G,2,0))</f>
        <v/>
      </c>
      <c r="D2741" s="519"/>
      <c r="E2741" s="117" t="str">
        <f>IF(A2741&amp;B2741="","",VLOOKUP(A2741&amp;B2741,INSUMOS!C:G,3,0))</f>
        <v/>
      </c>
      <c r="F2741" s="118"/>
      <c r="G2741" s="113" t="str">
        <f>IF(A2741&amp;B2741="","",VLOOKUP(A2741&amp;B2741,INSUMOS!C:G,4,0))</f>
        <v/>
      </c>
      <c r="H2741" s="119" t="str">
        <f t="shared" si="456"/>
        <v/>
      </c>
      <c r="I2741" s="119" t="str">
        <f t="shared" si="457"/>
        <v/>
      </c>
      <c r="J2741" s="115" t="str">
        <f t="shared" si="458"/>
        <v/>
      </c>
      <c r="K2741" s="102" t="str">
        <f>IF(A2741&amp;B2741="","",VLOOKUP(A2741&amp;B2741,INSUMOS!C:G,5,0))</f>
        <v/>
      </c>
    </row>
    <row r="2742" spans="1:11" ht="15" x14ac:dyDescent="0.25">
      <c r="A2742" s="109"/>
      <c r="B2742" s="116"/>
      <c r="C2742" s="518" t="str">
        <f>IF(A2742&amp;B2742="","",VLOOKUP(A2742&amp;B2742,INSUMOS!C:G,2,0))</f>
        <v/>
      </c>
      <c r="D2742" s="519"/>
      <c r="E2742" s="117" t="str">
        <f>IF(A2742&amp;B2742="","",VLOOKUP(A2742&amp;B2742,INSUMOS!C:G,3,0))</f>
        <v/>
      </c>
      <c r="F2742" s="118"/>
      <c r="G2742" s="113" t="str">
        <f>IF(A2742&amp;B2742="","",VLOOKUP(A2742&amp;B2742,INSUMOS!C:G,4,0))</f>
        <v/>
      </c>
      <c r="H2742" s="119" t="str">
        <f t="shared" si="456"/>
        <v/>
      </c>
      <c r="I2742" s="119" t="str">
        <f t="shared" si="457"/>
        <v/>
      </c>
      <c r="J2742" s="115" t="str">
        <f t="shared" si="458"/>
        <v/>
      </c>
      <c r="K2742" s="102" t="str">
        <f>IF(A2742&amp;B2742="","",VLOOKUP(A2742&amp;B2742,INSUMOS!C:G,5,0))</f>
        <v/>
      </c>
    </row>
    <row r="2743" spans="1:11" ht="15" x14ac:dyDescent="0.25">
      <c r="A2743" s="109"/>
      <c r="B2743" s="116"/>
      <c r="C2743" s="518" t="str">
        <f>IF(A2743&amp;B2743="","",VLOOKUP(A2743&amp;B2743,INSUMOS!C:G,2,0))</f>
        <v/>
      </c>
      <c r="D2743" s="519"/>
      <c r="E2743" s="117" t="str">
        <f>IF(A2743&amp;B2743="","",VLOOKUP(A2743&amp;B2743,INSUMOS!C:G,3,0))</f>
        <v/>
      </c>
      <c r="F2743" s="118"/>
      <c r="G2743" s="113" t="str">
        <f>IF(A2743&amp;B2743="","",VLOOKUP(A2743&amp;B2743,INSUMOS!C:G,4,0))</f>
        <v/>
      </c>
      <c r="H2743" s="119" t="str">
        <f t="shared" si="456"/>
        <v/>
      </c>
      <c r="I2743" s="119" t="str">
        <f t="shared" si="457"/>
        <v/>
      </c>
      <c r="J2743" s="115" t="str">
        <f t="shared" si="458"/>
        <v/>
      </c>
      <c r="K2743" s="102" t="str">
        <f>IF(A2743&amp;B2743="","",VLOOKUP(A2743&amp;B2743,INSUMOS!C:G,5,0))</f>
        <v/>
      </c>
    </row>
    <row r="2744" spans="1:11" ht="15" x14ac:dyDescent="0.25">
      <c r="A2744" s="109"/>
      <c r="B2744" s="116"/>
      <c r="C2744" s="518" t="str">
        <f>IF(A2744&amp;B2744="","",VLOOKUP(A2744&amp;B2744,INSUMOS!C:G,2,0))</f>
        <v/>
      </c>
      <c r="D2744" s="519"/>
      <c r="E2744" s="117" t="str">
        <f>IF(A2744&amp;B2744="","",VLOOKUP(A2744&amp;B2744,INSUMOS!C:G,3,0))</f>
        <v/>
      </c>
      <c r="F2744" s="118"/>
      <c r="G2744" s="113" t="str">
        <f>IF(A2744&amp;B2744="","",VLOOKUP(A2744&amp;B2744,INSUMOS!C:G,4,0))</f>
        <v/>
      </c>
      <c r="H2744" s="119" t="str">
        <f t="shared" si="456"/>
        <v/>
      </c>
      <c r="I2744" s="119" t="str">
        <f t="shared" si="457"/>
        <v/>
      </c>
      <c r="J2744" s="115" t="str">
        <f t="shared" si="458"/>
        <v/>
      </c>
      <c r="K2744" s="102" t="str">
        <f>IF(A2744&amp;B2744="","",VLOOKUP(A2744&amp;B2744,INSUMOS!C:G,5,0))</f>
        <v/>
      </c>
    </row>
    <row r="2745" spans="1:11" ht="15" x14ac:dyDescent="0.25">
      <c r="A2745" s="109"/>
      <c r="B2745" s="116"/>
      <c r="C2745" s="518" t="str">
        <f>IF(A2745&amp;B2745="","",VLOOKUP(A2745&amp;B2745,INSUMOS!C:G,2,0))</f>
        <v/>
      </c>
      <c r="D2745" s="519"/>
      <c r="E2745" s="117" t="str">
        <f>IF(A2745&amp;B2745="","",VLOOKUP(A2745&amp;B2745,INSUMOS!C:G,3,0))</f>
        <v/>
      </c>
      <c r="F2745" s="118"/>
      <c r="G2745" s="113" t="str">
        <f>IF(A2745&amp;B2745="","",VLOOKUP(A2745&amp;B2745,INSUMOS!C:G,4,0))</f>
        <v/>
      </c>
      <c r="H2745" s="119" t="str">
        <f t="shared" si="456"/>
        <v/>
      </c>
      <c r="I2745" s="119" t="str">
        <f t="shared" si="457"/>
        <v/>
      </c>
      <c r="J2745" s="115" t="str">
        <f t="shared" si="458"/>
        <v/>
      </c>
      <c r="K2745" s="102" t="str">
        <f>IF(A2745&amp;B2745="","",VLOOKUP(A2745&amp;B2745,INSUMOS!C:G,5,0))</f>
        <v/>
      </c>
    </row>
    <row r="2746" spans="1:11" ht="15" x14ac:dyDescent="0.25">
      <c r="A2746" s="109"/>
      <c r="B2746" s="116"/>
      <c r="C2746" s="518" t="str">
        <f>IF(A2746&amp;B2746="","",VLOOKUP(A2746&amp;B2746,INSUMOS!C:G,2,0))</f>
        <v/>
      </c>
      <c r="D2746" s="519"/>
      <c r="E2746" s="117" t="str">
        <f>IF(A2746&amp;B2746="","",VLOOKUP(A2746&amp;B2746,INSUMOS!C:G,3,0))</f>
        <v/>
      </c>
      <c r="F2746" s="118"/>
      <c r="G2746" s="113" t="str">
        <f>IF(A2746&amp;B2746="","",VLOOKUP(A2746&amp;B2746,INSUMOS!C:G,4,0))</f>
        <v/>
      </c>
      <c r="H2746" s="119" t="str">
        <f t="shared" si="456"/>
        <v/>
      </c>
      <c r="I2746" s="119" t="str">
        <f t="shared" si="457"/>
        <v/>
      </c>
      <c r="J2746" s="115" t="str">
        <f t="shared" si="458"/>
        <v/>
      </c>
      <c r="K2746" s="102" t="str">
        <f>IF(A2746&amp;B2746="","",VLOOKUP(A2746&amp;B2746,INSUMOS!C:G,5,0))</f>
        <v/>
      </c>
    </row>
    <row r="2747" spans="1:11" ht="15" x14ac:dyDescent="0.25">
      <c r="A2747" s="120"/>
      <c r="B2747" s="121"/>
      <c r="C2747" s="518" t="str">
        <f>IF(A2747&amp;B2747="","",VLOOKUP(A2747&amp;B2747,INSUMOS!C:G,2,0))</f>
        <v/>
      </c>
      <c r="D2747" s="519"/>
      <c r="E2747" s="117" t="str">
        <f>IF(A2747&amp;B2747="","",VLOOKUP(A2747&amp;B2747,INSUMOS!C:G,3,0))</f>
        <v/>
      </c>
      <c r="F2747" s="118"/>
      <c r="G2747" s="122" t="str">
        <f>IF(A2747&amp;B2747="","",VLOOKUP(A2747&amp;B2747,INSUMOS!C:G,4,0))</f>
        <v/>
      </c>
      <c r="H2747" s="119" t="str">
        <f t="shared" si="456"/>
        <v/>
      </c>
      <c r="I2747" s="119" t="str">
        <f t="shared" si="457"/>
        <v/>
      </c>
      <c r="J2747" s="115" t="str">
        <f t="shared" si="458"/>
        <v/>
      </c>
      <c r="K2747" s="102" t="str">
        <f>IF(A2747&amp;B2747="","",VLOOKUP(A2747&amp;B2747,INSUMOS!C:G,5,0))</f>
        <v/>
      </c>
    </row>
    <row r="2748" spans="1:11" ht="15" x14ac:dyDescent="0.25">
      <c r="A2748" s="120"/>
      <c r="B2748" s="121"/>
      <c r="C2748" s="518" t="str">
        <f>IF(A2748&amp;B2748="","",VLOOKUP(A2748&amp;B2748,INSUMOS!C:G,2,0))</f>
        <v/>
      </c>
      <c r="D2748" s="519"/>
      <c r="E2748" s="117" t="str">
        <f>IF(A2748&amp;B2748="","",VLOOKUP(A2748&amp;B2748,INSUMOS!C:G,3,0))</f>
        <v/>
      </c>
      <c r="F2748" s="118"/>
      <c r="G2748" s="122" t="str">
        <f>IF(A2748&amp;B2748="","",VLOOKUP(A2748&amp;B2748,INSUMOS!C:G,4,0))</f>
        <v/>
      </c>
      <c r="H2748" s="119" t="str">
        <f t="shared" si="456"/>
        <v/>
      </c>
      <c r="I2748" s="119" t="str">
        <f t="shared" si="457"/>
        <v/>
      </c>
      <c r="J2748" s="115" t="str">
        <f t="shared" si="458"/>
        <v/>
      </c>
      <c r="K2748" s="102" t="str">
        <f>IF(A2748&amp;B2748="","",VLOOKUP(A2748&amp;B2748,INSUMOS!C:G,5,0))</f>
        <v/>
      </c>
    </row>
    <row r="2749" spans="1:11" ht="15" x14ac:dyDescent="0.25">
      <c r="A2749" s="120"/>
      <c r="B2749" s="121"/>
      <c r="C2749" s="518" t="str">
        <f>IF(A2749&amp;B2749="","",VLOOKUP(A2749&amp;B2749,INSUMOS!C:G,2,0))</f>
        <v/>
      </c>
      <c r="D2749" s="519"/>
      <c r="E2749" s="117" t="str">
        <f>IF(A2749&amp;B2749="","",VLOOKUP(A2749&amp;B2749,INSUMOS!C:G,3,0))</f>
        <v/>
      </c>
      <c r="F2749" s="118"/>
      <c r="G2749" s="122" t="str">
        <f>IF(A2749&amp;B2749="","",VLOOKUP(A2749&amp;B2749,INSUMOS!C:G,4,0))</f>
        <v/>
      </c>
      <c r="H2749" s="119" t="str">
        <f t="shared" si="456"/>
        <v/>
      </c>
      <c r="I2749" s="119" t="str">
        <f t="shared" si="457"/>
        <v/>
      </c>
      <c r="J2749" s="115" t="str">
        <f t="shared" si="458"/>
        <v/>
      </c>
      <c r="K2749" s="102" t="str">
        <f>IF(A2749&amp;B2749="","",VLOOKUP(A2749&amp;B2749,INSUMOS!C:G,5,0))</f>
        <v/>
      </c>
    </row>
    <row r="2750" spans="1:11" ht="15" x14ac:dyDescent="0.25">
      <c r="A2750" s="123" t="s">
        <v>4399</v>
      </c>
      <c r="B2750" s="542"/>
      <c r="C2750" s="542"/>
      <c r="D2750" s="542"/>
      <c r="E2750" s="542"/>
      <c r="F2750" s="543"/>
      <c r="G2750" s="124" t="s">
        <v>50</v>
      </c>
      <c r="H2750" s="125">
        <f>SUM(H2737:H2749)</f>
        <v>29.21</v>
      </c>
      <c r="I2750" s="125">
        <f>SUM(I2737:I2749)</f>
        <v>594.79999999999995</v>
      </c>
      <c r="J2750" s="126">
        <f>SUM(J2737:J2749)</f>
        <v>0</v>
      </c>
    </row>
    <row r="2751" spans="1:11" ht="15" x14ac:dyDescent="0.25">
      <c r="A2751" s="127" t="s">
        <v>4400</v>
      </c>
      <c r="B2751" s="128"/>
      <c r="C2751" s="128"/>
      <c r="D2751" s="127" t="s">
        <v>51</v>
      </c>
      <c r="E2751" s="128"/>
      <c r="F2751" s="129"/>
      <c r="G2751" s="130" t="s">
        <v>55</v>
      </c>
      <c r="H2751" s="131" t="s">
        <v>52</v>
      </c>
      <c r="I2751" s="132"/>
      <c r="J2751" s="125">
        <f>SUM(H2750:J2750)</f>
        <v>624.01</v>
      </c>
    </row>
    <row r="2752" spans="1:11" ht="15" x14ac:dyDescent="0.25">
      <c r="A2752" s="313" t="str">
        <f>$I$3</f>
        <v>Carlos Wieck</v>
      </c>
      <c r="B2752" s="133"/>
      <c r="C2752" s="133"/>
      <c r="D2752" s="134"/>
      <c r="E2752" s="133"/>
      <c r="F2752" s="135"/>
      <c r="G2752" s="522">
        <f>$J$5</f>
        <v>43040</v>
      </c>
      <c r="H2752" s="136" t="s">
        <v>53</v>
      </c>
      <c r="I2752" s="137"/>
      <c r="J2752" s="125">
        <f>TRUNC(I2752*J2751,2)</f>
        <v>0</v>
      </c>
    </row>
    <row r="2753" spans="1:17" ht="15" x14ac:dyDescent="0.25">
      <c r="A2753" s="314"/>
      <c r="B2753" s="139"/>
      <c r="C2753" s="139"/>
      <c r="D2753" s="138"/>
      <c r="E2753" s="139"/>
      <c r="F2753" s="140"/>
      <c r="G2753" s="523"/>
      <c r="H2753" s="141" t="s">
        <v>54</v>
      </c>
      <c r="I2753" s="142"/>
      <c r="J2753" s="143">
        <f>J2752+J2751</f>
        <v>624.01</v>
      </c>
      <c r="L2753" s="102" t="str">
        <f>A2734</f>
        <v>COMPOSIÇÃO</v>
      </c>
      <c r="M2753" s="144" t="str">
        <f>B2734</f>
        <v>FF-118</v>
      </c>
      <c r="N2753" s="102" t="str">
        <f>L2753&amp;M2753</f>
        <v>COMPOSIÇÃOFF-118</v>
      </c>
      <c r="O2753" s="103" t="str">
        <f>D2733</f>
        <v>Luminária circular de embutir com foco orbital. Corpo e Orbital em alumínio injetado. Lâmpada LED 15W ângulo de abertura 20 graus, temperatura de cor 3000K.</v>
      </c>
      <c r="P2753" s="145" t="str">
        <f>J2734</f>
        <v>un</v>
      </c>
      <c r="Q2753" s="145">
        <f>J2753</f>
        <v>624.01</v>
      </c>
    </row>
    <row r="2754" spans="1:17" ht="15" customHeight="1" x14ac:dyDescent="0.25">
      <c r="A2754" s="524" t="s">
        <v>40</v>
      </c>
      <c r="B2754" s="525"/>
      <c r="C2754" s="104" t="s">
        <v>41</v>
      </c>
      <c r="D2754" s="526" t="str">
        <f>IF(B2755="","",VLOOKUP(B2755,SERVIÇOS!B:E,3,0))</f>
        <v>Luminária de embutir com corpo em alumínio injetado com acabamento em pintura na cor branca. Difusor recuado translúcido. Dissipador de calor em alumínio injetado na cor titânio. Temperatura de cor 3000K.</v>
      </c>
      <c r="E2754" s="526"/>
      <c r="F2754" s="526"/>
      <c r="G2754" s="526"/>
      <c r="H2754" s="526"/>
      <c r="I2754" s="527"/>
      <c r="J2754" s="105" t="s">
        <v>42</v>
      </c>
    </row>
    <row r="2755" spans="1:17" ht="15" x14ac:dyDescent="0.25">
      <c r="A2755" s="230" t="s">
        <v>4715</v>
      </c>
      <c r="B2755" s="230" t="s">
        <v>5358</v>
      </c>
      <c r="C2755" s="106"/>
      <c r="D2755" s="528"/>
      <c r="E2755" s="528"/>
      <c r="F2755" s="528"/>
      <c r="G2755" s="528"/>
      <c r="H2755" s="528"/>
      <c r="I2755" s="529"/>
      <c r="J2755" s="107" t="str">
        <f>IF(B2755="","",VLOOKUP(B2755,SERVIÇOS!B:E,4,0))</f>
        <v>un</v>
      </c>
    </row>
    <row r="2756" spans="1:17" ht="15" x14ac:dyDescent="0.25">
      <c r="A2756" s="530" t="s">
        <v>4397</v>
      </c>
      <c r="B2756" s="531" t="s">
        <v>11</v>
      </c>
      <c r="C2756" s="533" t="s">
        <v>43</v>
      </c>
      <c r="D2756" s="534"/>
      <c r="E2756" s="530" t="s">
        <v>13</v>
      </c>
      <c r="F2756" s="530" t="s">
        <v>44</v>
      </c>
      <c r="G2756" s="538" t="s">
        <v>45</v>
      </c>
      <c r="H2756" s="108" t="s">
        <v>46</v>
      </c>
      <c r="I2756" s="108"/>
      <c r="J2756" s="108"/>
    </row>
    <row r="2757" spans="1:17" ht="15" x14ac:dyDescent="0.25">
      <c r="A2757" s="530"/>
      <c r="B2757" s="532"/>
      <c r="C2757" s="535"/>
      <c r="D2757" s="536"/>
      <c r="E2757" s="537"/>
      <c r="F2757" s="537"/>
      <c r="G2757" s="539"/>
      <c r="H2757" s="108" t="s">
        <v>47</v>
      </c>
      <c r="I2757" s="108" t="s">
        <v>48</v>
      </c>
      <c r="J2757" s="108" t="s">
        <v>49</v>
      </c>
    </row>
    <row r="2758" spans="1:17" ht="15" x14ac:dyDescent="0.25">
      <c r="A2758" s="109" t="s">
        <v>4398</v>
      </c>
      <c r="B2758" s="116">
        <v>10115</v>
      </c>
      <c r="C2758" s="540" t="str">
        <f>IF(A2758&amp;B2758="","",VLOOKUP(A2758&amp;B2758,INSUMOS!C:G,2,0))</f>
        <v>Eletricista</v>
      </c>
      <c r="D2758" s="541"/>
      <c r="E2758" s="111" t="str">
        <f>IF(A2758&amp;B2758="","",VLOOKUP(A2758&amp;B2758,INSUMOS!C:G,3,0))</f>
        <v>h</v>
      </c>
      <c r="F2758" s="112">
        <v>1.1000000000000001</v>
      </c>
      <c r="G2758" s="113">
        <f>IF(A2758&amp;B2758="","",VLOOKUP(A2758&amp;B2758,INSUMOS!C:G,4,0))</f>
        <v>15.5816</v>
      </c>
      <c r="H2758" s="114">
        <f>IF(K2758="MO",TRUNC(F2758*G2758,2),"")</f>
        <v>17.13</v>
      </c>
      <c r="I2758" s="114" t="str">
        <f>IF(K2758="MT",TRUNC(F2758*G2758,2),"")</f>
        <v/>
      </c>
      <c r="J2758" s="115" t="str">
        <f>IF(K2758="EQ",TRUNC(F2758*G2758,2),"")</f>
        <v/>
      </c>
      <c r="K2758" s="102" t="str">
        <f>IF(A2758&amp;B2758="","",VLOOKUP(A2758&amp;B2758,INSUMOS!C:G,5,0))</f>
        <v>MO</v>
      </c>
    </row>
    <row r="2759" spans="1:17" ht="15" x14ac:dyDescent="0.25">
      <c r="A2759" s="109" t="s">
        <v>4398</v>
      </c>
      <c r="B2759" s="116">
        <v>10116</v>
      </c>
      <c r="C2759" s="518" t="str">
        <f>IF(A2759&amp;B2759="","",VLOOKUP(A2759&amp;B2759,INSUMOS!C:G,2,0))</f>
        <v>Ajudante eletricista</v>
      </c>
      <c r="D2759" s="519"/>
      <c r="E2759" s="117" t="str">
        <f>IF(A2759&amp;B2759="","",VLOOKUP(A2759&amp;B2759,INSUMOS!C:G,3,0))</f>
        <v>h</v>
      </c>
      <c r="F2759" s="118">
        <v>1.1000000000000001</v>
      </c>
      <c r="G2759" s="113">
        <f>IF(A2759&amp;B2759="","",VLOOKUP(A2759&amp;B2759,INSUMOS!C:G,4,0))</f>
        <v>10.985028</v>
      </c>
      <c r="H2759" s="119">
        <f t="shared" ref="H2759:H2770" si="459">IF(K2759="MO",TRUNC(F2759*G2759,2),"")</f>
        <v>12.08</v>
      </c>
      <c r="I2759" s="119" t="str">
        <f t="shared" ref="I2759:I2770" si="460">IF(K2759="MT",TRUNC(F2759*G2759,2),"")</f>
        <v/>
      </c>
      <c r="J2759" s="115" t="str">
        <f t="shared" ref="J2759:J2770" si="461">IF(K2759="EQ",TRUNC(F2759*G2759,2),"")</f>
        <v/>
      </c>
      <c r="K2759" s="102" t="str">
        <f>IF(A2759&amp;B2759="","",VLOOKUP(A2759&amp;B2759,INSUMOS!C:G,5,0))</f>
        <v>MO</v>
      </c>
    </row>
    <row r="2760" spans="1:17" ht="36.75" customHeight="1" x14ac:dyDescent="0.25">
      <c r="A2760" s="109" t="s">
        <v>4717</v>
      </c>
      <c r="B2760" s="116" t="s">
        <v>4983</v>
      </c>
      <c r="C2760" s="518" t="str">
        <f>IF(A2760&amp;B2760="","",VLOOKUP(A2760&amp;B2760,INSUMOS!C:G,2,0))</f>
        <v>Luminária de embutir com corpo em alumínio injetado com acabamento em pintura na cor branca. Difusor recuado translúcido. Dissipador de calor em alumínio injetado na cor titânio. Temperatura de cor 3000K.</v>
      </c>
      <c r="D2760" s="519"/>
      <c r="E2760" s="117" t="str">
        <f>IF(A2760&amp;B2760="","",VLOOKUP(A2760&amp;B2760,INSUMOS!C:G,3,0))</f>
        <v>un</v>
      </c>
      <c r="F2760" s="118">
        <v>1</v>
      </c>
      <c r="G2760" s="113">
        <f>IF(A2760&amp;B2760="","",VLOOKUP(A2760&amp;B2760,INSUMOS!C:G,4,0))</f>
        <v>338.92080000000004</v>
      </c>
      <c r="H2760" s="119" t="str">
        <f t="shared" si="459"/>
        <v/>
      </c>
      <c r="I2760" s="119">
        <f t="shared" si="460"/>
        <v>338.92</v>
      </c>
      <c r="J2760" s="115" t="str">
        <f t="shared" si="461"/>
        <v/>
      </c>
      <c r="K2760" s="102" t="str">
        <f>IF(A2760&amp;B2760="","",VLOOKUP(A2760&amp;B2760,INSUMOS!C:G,5,0))</f>
        <v>MT</v>
      </c>
    </row>
    <row r="2761" spans="1:17" ht="15" x14ac:dyDescent="0.25">
      <c r="A2761" s="109"/>
      <c r="B2761" s="116"/>
      <c r="C2761" s="518" t="str">
        <f>IF(A2761&amp;B2761="","",VLOOKUP(A2761&amp;B2761,INSUMOS!C:G,2,0))</f>
        <v/>
      </c>
      <c r="D2761" s="519"/>
      <c r="E2761" s="117" t="str">
        <f>IF(A2761&amp;B2761="","",VLOOKUP(A2761&amp;B2761,INSUMOS!C:G,3,0))</f>
        <v/>
      </c>
      <c r="F2761" s="118"/>
      <c r="G2761" s="113" t="str">
        <f>IF(A2761&amp;B2761="","",VLOOKUP(A2761&amp;B2761,INSUMOS!C:G,4,0))</f>
        <v/>
      </c>
      <c r="H2761" s="119" t="str">
        <f t="shared" si="459"/>
        <v/>
      </c>
      <c r="I2761" s="119" t="str">
        <f t="shared" si="460"/>
        <v/>
      </c>
      <c r="J2761" s="115" t="str">
        <f t="shared" si="461"/>
        <v/>
      </c>
      <c r="K2761" s="102" t="str">
        <f>IF(A2761&amp;B2761="","",VLOOKUP(A2761&amp;B2761,INSUMOS!C:G,5,0))</f>
        <v/>
      </c>
    </row>
    <row r="2762" spans="1:17" ht="15" x14ac:dyDescent="0.25">
      <c r="A2762" s="109"/>
      <c r="B2762" s="116"/>
      <c r="C2762" s="518" t="str">
        <f>IF(A2762&amp;B2762="","",VLOOKUP(A2762&amp;B2762,INSUMOS!C:G,2,0))</f>
        <v/>
      </c>
      <c r="D2762" s="519"/>
      <c r="E2762" s="117" t="str">
        <f>IF(A2762&amp;B2762="","",VLOOKUP(A2762&amp;B2762,INSUMOS!C:G,3,0))</f>
        <v/>
      </c>
      <c r="F2762" s="118"/>
      <c r="G2762" s="113" t="str">
        <f>IF(A2762&amp;B2762="","",VLOOKUP(A2762&amp;B2762,INSUMOS!C:G,4,0))</f>
        <v/>
      </c>
      <c r="H2762" s="119" t="str">
        <f t="shared" si="459"/>
        <v/>
      </c>
      <c r="I2762" s="119" t="str">
        <f t="shared" si="460"/>
        <v/>
      </c>
      <c r="J2762" s="115" t="str">
        <f t="shared" si="461"/>
        <v/>
      </c>
      <c r="K2762" s="102" t="str">
        <f>IF(A2762&amp;B2762="","",VLOOKUP(A2762&amp;B2762,INSUMOS!C:G,5,0))</f>
        <v/>
      </c>
    </row>
    <row r="2763" spans="1:17" ht="15" x14ac:dyDescent="0.25">
      <c r="A2763" s="109"/>
      <c r="B2763" s="116"/>
      <c r="C2763" s="518" t="str">
        <f>IF(A2763&amp;B2763="","",VLOOKUP(A2763&amp;B2763,INSUMOS!C:G,2,0))</f>
        <v/>
      </c>
      <c r="D2763" s="519"/>
      <c r="E2763" s="117" t="str">
        <f>IF(A2763&amp;B2763="","",VLOOKUP(A2763&amp;B2763,INSUMOS!C:G,3,0))</f>
        <v/>
      </c>
      <c r="F2763" s="118"/>
      <c r="G2763" s="113" t="str">
        <f>IF(A2763&amp;B2763="","",VLOOKUP(A2763&amp;B2763,INSUMOS!C:G,4,0))</f>
        <v/>
      </c>
      <c r="H2763" s="119" t="str">
        <f t="shared" si="459"/>
        <v/>
      </c>
      <c r="I2763" s="119" t="str">
        <f t="shared" si="460"/>
        <v/>
      </c>
      <c r="J2763" s="115" t="str">
        <f t="shared" si="461"/>
        <v/>
      </c>
      <c r="K2763" s="102" t="str">
        <f>IF(A2763&amp;B2763="","",VLOOKUP(A2763&amp;B2763,INSUMOS!C:G,5,0))</f>
        <v/>
      </c>
    </row>
    <row r="2764" spans="1:17" ht="15" x14ac:dyDescent="0.25">
      <c r="A2764" s="109"/>
      <c r="B2764" s="116"/>
      <c r="C2764" s="518" t="str">
        <f>IF(A2764&amp;B2764="","",VLOOKUP(A2764&amp;B2764,INSUMOS!C:G,2,0))</f>
        <v/>
      </c>
      <c r="D2764" s="519"/>
      <c r="E2764" s="117" t="str">
        <f>IF(A2764&amp;B2764="","",VLOOKUP(A2764&amp;B2764,INSUMOS!C:G,3,0))</f>
        <v/>
      </c>
      <c r="F2764" s="118"/>
      <c r="G2764" s="113" t="str">
        <f>IF(A2764&amp;B2764="","",VLOOKUP(A2764&amp;B2764,INSUMOS!C:G,4,0))</f>
        <v/>
      </c>
      <c r="H2764" s="119" t="str">
        <f t="shared" si="459"/>
        <v/>
      </c>
      <c r="I2764" s="119" t="str">
        <f t="shared" si="460"/>
        <v/>
      </c>
      <c r="J2764" s="115" t="str">
        <f t="shared" si="461"/>
        <v/>
      </c>
      <c r="K2764" s="102" t="str">
        <f>IF(A2764&amp;B2764="","",VLOOKUP(A2764&amp;B2764,INSUMOS!C:G,5,0))</f>
        <v/>
      </c>
    </row>
    <row r="2765" spans="1:17" ht="15" x14ac:dyDescent="0.25">
      <c r="A2765" s="109"/>
      <c r="B2765" s="116"/>
      <c r="C2765" s="518" t="str">
        <f>IF(A2765&amp;B2765="","",VLOOKUP(A2765&amp;B2765,INSUMOS!C:G,2,0))</f>
        <v/>
      </c>
      <c r="D2765" s="519"/>
      <c r="E2765" s="117" t="str">
        <f>IF(A2765&amp;B2765="","",VLOOKUP(A2765&amp;B2765,INSUMOS!C:G,3,0))</f>
        <v/>
      </c>
      <c r="F2765" s="118"/>
      <c r="G2765" s="113" t="str">
        <f>IF(A2765&amp;B2765="","",VLOOKUP(A2765&amp;B2765,INSUMOS!C:G,4,0))</f>
        <v/>
      </c>
      <c r="H2765" s="119" t="str">
        <f t="shared" si="459"/>
        <v/>
      </c>
      <c r="I2765" s="119" t="str">
        <f t="shared" si="460"/>
        <v/>
      </c>
      <c r="J2765" s="115" t="str">
        <f t="shared" si="461"/>
        <v/>
      </c>
      <c r="K2765" s="102" t="str">
        <f>IF(A2765&amp;B2765="","",VLOOKUP(A2765&amp;B2765,INSUMOS!C:G,5,0))</f>
        <v/>
      </c>
    </row>
    <row r="2766" spans="1:17" ht="15" x14ac:dyDescent="0.25">
      <c r="A2766" s="109"/>
      <c r="B2766" s="116"/>
      <c r="C2766" s="518" t="str">
        <f>IF(A2766&amp;B2766="","",VLOOKUP(A2766&amp;B2766,INSUMOS!C:G,2,0))</f>
        <v/>
      </c>
      <c r="D2766" s="519"/>
      <c r="E2766" s="117" t="str">
        <f>IF(A2766&amp;B2766="","",VLOOKUP(A2766&amp;B2766,INSUMOS!C:G,3,0))</f>
        <v/>
      </c>
      <c r="F2766" s="118"/>
      <c r="G2766" s="113" t="str">
        <f>IF(A2766&amp;B2766="","",VLOOKUP(A2766&amp;B2766,INSUMOS!C:G,4,0))</f>
        <v/>
      </c>
      <c r="H2766" s="119" t="str">
        <f t="shared" si="459"/>
        <v/>
      </c>
      <c r="I2766" s="119" t="str">
        <f t="shared" si="460"/>
        <v/>
      </c>
      <c r="J2766" s="115" t="str">
        <f t="shared" si="461"/>
        <v/>
      </c>
      <c r="K2766" s="102" t="str">
        <f>IF(A2766&amp;B2766="","",VLOOKUP(A2766&amp;B2766,INSUMOS!C:G,5,0))</f>
        <v/>
      </c>
    </row>
    <row r="2767" spans="1:17" ht="15" x14ac:dyDescent="0.25">
      <c r="A2767" s="109"/>
      <c r="B2767" s="116"/>
      <c r="C2767" s="518" t="str">
        <f>IF(A2767&amp;B2767="","",VLOOKUP(A2767&amp;B2767,INSUMOS!C:G,2,0))</f>
        <v/>
      </c>
      <c r="D2767" s="519"/>
      <c r="E2767" s="117" t="str">
        <f>IF(A2767&amp;B2767="","",VLOOKUP(A2767&amp;B2767,INSUMOS!C:G,3,0))</f>
        <v/>
      </c>
      <c r="F2767" s="118"/>
      <c r="G2767" s="113" t="str">
        <f>IF(A2767&amp;B2767="","",VLOOKUP(A2767&amp;B2767,INSUMOS!C:G,4,0))</f>
        <v/>
      </c>
      <c r="H2767" s="119" t="str">
        <f t="shared" si="459"/>
        <v/>
      </c>
      <c r="I2767" s="119" t="str">
        <f t="shared" si="460"/>
        <v/>
      </c>
      <c r="J2767" s="115" t="str">
        <f t="shared" si="461"/>
        <v/>
      </c>
      <c r="K2767" s="102" t="str">
        <f>IF(A2767&amp;B2767="","",VLOOKUP(A2767&amp;B2767,INSUMOS!C:G,5,0))</f>
        <v/>
      </c>
    </row>
    <row r="2768" spans="1:17" ht="15" x14ac:dyDescent="0.25">
      <c r="A2768" s="120"/>
      <c r="B2768" s="121"/>
      <c r="C2768" s="518" t="str">
        <f>IF(A2768&amp;B2768="","",VLOOKUP(A2768&amp;B2768,INSUMOS!C:G,2,0))</f>
        <v/>
      </c>
      <c r="D2768" s="519"/>
      <c r="E2768" s="117" t="str">
        <f>IF(A2768&amp;B2768="","",VLOOKUP(A2768&amp;B2768,INSUMOS!C:G,3,0))</f>
        <v/>
      </c>
      <c r="F2768" s="118"/>
      <c r="G2768" s="122" t="str">
        <f>IF(A2768&amp;B2768="","",VLOOKUP(A2768&amp;B2768,INSUMOS!C:G,4,0))</f>
        <v/>
      </c>
      <c r="H2768" s="119" t="str">
        <f t="shared" si="459"/>
        <v/>
      </c>
      <c r="I2768" s="119" t="str">
        <f t="shared" si="460"/>
        <v/>
      </c>
      <c r="J2768" s="115" t="str">
        <f t="shared" si="461"/>
        <v/>
      </c>
      <c r="K2768" s="102" t="str">
        <f>IF(A2768&amp;B2768="","",VLOOKUP(A2768&amp;B2768,INSUMOS!C:G,5,0))</f>
        <v/>
      </c>
    </row>
    <row r="2769" spans="1:17" ht="15" x14ac:dyDescent="0.25">
      <c r="A2769" s="120"/>
      <c r="B2769" s="121"/>
      <c r="C2769" s="518" t="str">
        <f>IF(A2769&amp;B2769="","",VLOOKUP(A2769&amp;B2769,INSUMOS!C:G,2,0))</f>
        <v/>
      </c>
      <c r="D2769" s="519"/>
      <c r="E2769" s="117" t="str">
        <f>IF(A2769&amp;B2769="","",VLOOKUP(A2769&amp;B2769,INSUMOS!C:G,3,0))</f>
        <v/>
      </c>
      <c r="F2769" s="118"/>
      <c r="G2769" s="122" t="str">
        <f>IF(A2769&amp;B2769="","",VLOOKUP(A2769&amp;B2769,INSUMOS!C:G,4,0))</f>
        <v/>
      </c>
      <c r="H2769" s="119" t="str">
        <f t="shared" si="459"/>
        <v/>
      </c>
      <c r="I2769" s="119" t="str">
        <f t="shared" si="460"/>
        <v/>
      </c>
      <c r="J2769" s="115" t="str">
        <f t="shared" si="461"/>
        <v/>
      </c>
      <c r="K2769" s="102" t="str">
        <f>IF(A2769&amp;B2769="","",VLOOKUP(A2769&amp;B2769,INSUMOS!C:G,5,0))</f>
        <v/>
      </c>
    </row>
    <row r="2770" spans="1:17" ht="15" x14ac:dyDescent="0.25">
      <c r="A2770" s="120"/>
      <c r="B2770" s="121"/>
      <c r="C2770" s="518" t="str">
        <f>IF(A2770&amp;B2770="","",VLOOKUP(A2770&amp;B2770,INSUMOS!C:G,2,0))</f>
        <v/>
      </c>
      <c r="D2770" s="519"/>
      <c r="E2770" s="117" t="str">
        <f>IF(A2770&amp;B2770="","",VLOOKUP(A2770&amp;B2770,INSUMOS!C:G,3,0))</f>
        <v/>
      </c>
      <c r="F2770" s="118"/>
      <c r="G2770" s="122" t="str">
        <f>IF(A2770&amp;B2770="","",VLOOKUP(A2770&amp;B2770,INSUMOS!C:G,4,0))</f>
        <v/>
      </c>
      <c r="H2770" s="119" t="str">
        <f t="shared" si="459"/>
        <v/>
      </c>
      <c r="I2770" s="119" t="str">
        <f t="shared" si="460"/>
        <v/>
      </c>
      <c r="J2770" s="115" t="str">
        <f t="shared" si="461"/>
        <v/>
      </c>
      <c r="K2770" s="102" t="str">
        <f>IF(A2770&amp;B2770="","",VLOOKUP(A2770&amp;B2770,INSUMOS!C:G,5,0))</f>
        <v/>
      </c>
    </row>
    <row r="2771" spans="1:17" ht="15" x14ac:dyDescent="0.25">
      <c r="A2771" s="123" t="s">
        <v>4399</v>
      </c>
      <c r="B2771" s="542"/>
      <c r="C2771" s="542"/>
      <c r="D2771" s="542"/>
      <c r="E2771" s="542"/>
      <c r="F2771" s="543"/>
      <c r="G2771" s="124" t="s">
        <v>50</v>
      </c>
      <c r="H2771" s="125">
        <f>SUM(H2758:H2770)</f>
        <v>29.21</v>
      </c>
      <c r="I2771" s="125">
        <f>SUM(I2758:I2770)</f>
        <v>338.92</v>
      </c>
      <c r="J2771" s="126">
        <f>SUM(J2758:J2770)</f>
        <v>0</v>
      </c>
    </row>
    <row r="2772" spans="1:17" ht="15" x14ac:dyDescent="0.25">
      <c r="A2772" s="127" t="s">
        <v>4400</v>
      </c>
      <c r="B2772" s="128"/>
      <c r="C2772" s="128"/>
      <c r="D2772" s="127" t="s">
        <v>51</v>
      </c>
      <c r="E2772" s="128"/>
      <c r="F2772" s="129"/>
      <c r="G2772" s="130" t="s">
        <v>55</v>
      </c>
      <c r="H2772" s="131" t="s">
        <v>52</v>
      </c>
      <c r="I2772" s="132"/>
      <c r="J2772" s="125">
        <f>SUM(H2771:J2771)</f>
        <v>368.13</v>
      </c>
    </row>
    <row r="2773" spans="1:17" ht="15" x14ac:dyDescent="0.25">
      <c r="A2773" s="313" t="str">
        <f>$I$3</f>
        <v>Carlos Wieck</v>
      </c>
      <c r="B2773" s="133"/>
      <c r="C2773" s="133"/>
      <c r="D2773" s="134"/>
      <c r="E2773" s="133"/>
      <c r="F2773" s="135"/>
      <c r="G2773" s="522">
        <f>$J$5</f>
        <v>43040</v>
      </c>
      <c r="H2773" s="136" t="s">
        <v>53</v>
      </c>
      <c r="I2773" s="137"/>
      <c r="J2773" s="125">
        <f>TRUNC(I2773*J2772,2)</f>
        <v>0</v>
      </c>
    </row>
    <row r="2774" spans="1:17" ht="15" x14ac:dyDescent="0.25">
      <c r="A2774" s="314"/>
      <c r="B2774" s="139"/>
      <c r="C2774" s="139"/>
      <c r="D2774" s="138"/>
      <c r="E2774" s="139"/>
      <c r="F2774" s="140"/>
      <c r="G2774" s="523"/>
      <c r="H2774" s="141" t="s">
        <v>54</v>
      </c>
      <c r="I2774" s="142"/>
      <c r="J2774" s="143">
        <f>J2773+J2772</f>
        <v>368.13</v>
      </c>
      <c r="L2774" s="102" t="str">
        <f>A2755</f>
        <v>COMPOSIÇÃO</v>
      </c>
      <c r="M2774" s="144" t="str">
        <f>B2755</f>
        <v>FF-119</v>
      </c>
      <c r="N2774" s="102" t="str">
        <f>L2774&amp;M2774</f>
        <v>COMPOSIÇÃOFF-119</v>
      </c>
      <c r="O2774" s="103" t="str">
        <f>D2754</f>
        <v>Luminária de embutir com corpo em alumínio injetado com acabamento em pintura na cor branca. Difusor recuado translúcido. Dissipador de calor em alumínio injetado na cor titânio. Temperatura de cor 3000K.</v>
      </c>
      <c r="P2774" s="145" t="str">
        <f>J2755</f>
        <v>un</v>
      </c>
      <c r="Q2774" s="145">
        <f>J2774</f>
        <v>368.13</v>
      </c>
    </row>
    <row r="2775" spans="1:17" ht="15" customHeight="1" x14ac:dyDescent="0.25">
      <c r="A2775" s="524" t="s">
        <v>40</v>
      </c>
      <c r="B2775" s="525"/>
      <c r="C2775" s="104" t="s">
        <v>41</v>
      </c>
      <c r="D2775" s="526" t="str">
        <f>IF(B2776="","",VLOOKUP(B2776,SERVIÇOS!B:E,3,0))</f>
        <v>Luminária de sobrepor com corpo de alumínio injetado com acabamento em pintura na cor branca. Difusor recuado em acrílico translúcido e IP20. Temperatura de cor 3000K.</v>
      </c>
      <c r="E2775" s="526"/>
      <c r="F2775" s="526"/>
      <c r="G2775" s="526"/>
      <c r="H2775" s="526"/>
      <c r="I2775" s="527"/>
      <c r="J2775" s="105" t="s">
        <v>42</v>
      </c>
    </row>
    <row r="2776" spans="1:17" ht="15" x14ac:dyDescent="0.25">
      <c r="A2776" s="230" t="s">
        <v>4715</v>
      </c>
      <c r="B2776" s="230" t="s">
        <v>5359</v>
      </c>
      <c r="C2776" s="106"/>
      <c r="D2776" s="528"/>
      <c r="E2776" s="528"/>
      <c r="F2776" s="528"/>
      <c r="G2776" s="528"/>
      <c r="H2776" s="528"/>
      <c r="I2776" s="529"/>
      <c r="J2776" s="107" t="str">
        <f>IF(B2776="","",VLOOKUP(B2776,SERVIÇOS!B:E,4,0))</f>
        <v>un</v>
      </c>
    </row>
    <row r="2777" spans="1:17" ht="15" x14ac:dyDescent="0.25">
      <c r="A2777" s="530" t="s">
        <v>4397</v>
      </c>
      <c r="B2777" s="531" t="s">
        <v>11</v>
      </c>
      <c r="C2777" s="533" t="s">
        <v>43</v>
      </c>
      <c r="D2777" s="534"/>
      <c r="E2777" s="530" t="s">
        <v>13</v>
      </c>
      <c r="F2777" s="530" t="s">
        <v>44</v>
      </c>
      <c r="G2777" s="538" t="s">
        <v>45</v>
      </c>
      <c r="H2777" s="108" t="s">
        <v>46</v>
      </c>
      <c r="I2777" s="108"/>
      <c r="J2777" s="108"/>
    </row>
    <row r="2778" spans="1:17" ht="15" x14ac:dyDescent="0.25">
      <c r="A2778" s="530"/>
      <c r="B2778" s="532"/>
      <c r="C2778" s="535"/>
      <c r="D2778" s="536"/>
      <c r="E2778" s="537"/>
      <c r="F2778" s="537"/>
      <c r="G2778" s="539"/>
      <c r="H2778" s="108" t="s">
        <v>47</v>
      </c>
      <c r="I2778" s="108" t="s">
        <v>48</v>
      </c>
      <c r="J2778" s="108" t="s">
        <v>49</v>
      </c>
    </row>
    <row r="2779" spans="1:17" ht="15" x14ac:dyDescent="0.25">
      <c r="A2779" s="109" t="s">
        <v>4398</v>
      </c>
      <c r="B2779" s="116">
        <v>10115</v>
      </c>
      <c r="C2779" s="540" t="str">
        <f>IF(A2779&amp;B2779="","",VLOOKUP(A2779&amp;B2779,INSUMOS!C:G,2,0))</f>
        <v>Eletricista</v>
      </c>
      <c r="D2779" s="541"/>
      <c r="E2779" s="111" t="str">
        <f>IF(A2779&amp;B2779="","",VLOOKUP(A2779&amp;B2779,INSUMOS!C:G,3,0))</f>
        <v>h</v>
      </c>
      <c r="F2779" s="112">
        <v>1.1000000000000001</v>
      </c>
      <c r="G2779" s="113">
        <f>IF(A2779&amp;B2779="","",VLOOKUP(A2779&amp;B2779,INSUMOS!C:G,4,0))</f>
        <v>15.5816</v>
      </c>
      <c r="H2779" s="114">
        <f>IF(K2779="MO",TRUNC(F2779*G2779,2),"")</f>
        <v>17.13</v>
      </c>
      <c r="I2779" s="114" t="str">
        <f>IF(K2779="MT",TRUNC(F2779*G2779,2),"")</f>
        <v/>
      </c>
      <c r="J2779" s="115" t="str">
        <f>IF(K2779="EQ",TRUNC(F2779*G2779,2),"")</f>
        <v/>
      </c>
      <c r="K2779" s="102" t="str">
        <f>IF(A2779&amp;B2779="","",VLOOKUP(A2779&amp;B2779,INSUMOS!C:G,5,0))</f>
        <v>MO</v>
      </c>
    </row>
    <row r="2780" spans="1:17" ht="15" x14ac:dyDescent="0.25">
      <c r="A2780" s="109" t="s">
        <v>4398</v>
      </c>
      <c r="B2780" s="116">
        <v>10116</v>
      </c>
      <c r="C2780" s="518" t="str">
        <f>IF(A2780&amp;B2780="","",VLOOKUP(A2780&amp;B2780,INSUMOS!C:G,2,0))</f>
        <v>Ajudante eletricista</v>
      </c>
      <c r="D2780" s="519"/>
      <c r="E2780" s="117" t="str">
        <f>IF(A2780&amp;B2780="","",VLOOKUP(A2780&amp;B2780,INSUMOS!C:G,3,0))</f>
        <v>h</v>
      </c>
      <c r="F2780" s="118">
        <v>1.1000000000000001</v>
      </c>
      <c r="G2780" s="113">
        <f>IF(A2780&amp;B2780="","",VLOOKUP(A2780&amp;B2780,INSUMOS!C:G,4,0))</f>
        <v>10.985028</v>
      </c>
      <c r="H2780" s="119">
        <f t="shared" ref="H2780:H2791" si="462">IF(K2780="MO",TRUNC(F2780*G2780,2),"")</f>
        <v>12.08</v>
      </c>
      <c r="I2780" s="119" t="str">
        <f t="shared" ref="I2780:I2791" si="463">IF(K2780="MT",TRUNC(F2780*G2780,2),"")</f>
        <v/>
      </c>
      <c r="J2780" s="115" t="str">
        <f t="shared" ref="J2780:J2791" si="464">IF(K2780="EQ",TRUNC(F2780*G2780,2),"")</f>
        <v/>
      </c>
      <c r="K2780" s="102" t="str">
        <f>IF(A2780&amp;B2780="","",VLOOKUP(A2780&amp;B2780,INSUMOS!C:G,5,0))</f>
        <v>MO</v>
      </c>
    </row>
    <row r="2781" spans="1:17" ht="30" customHeight="1" x14ac:dyDescent="0.25">
      <c r="A2781" s="109" t="s">
        <v>4717</v>
      </c>
      <c r="B2781" s="116" t="s">
        <v>4984</v>
      </c>
      <c r="C2781" s="518" t="str">
        <f>IF(A2781&amp;B2781="","",VLOOKUP(A2781&amp;B2781,INSUMOS!C:G,2,0))</f>
        <v>Luminária de sobrepor com corpo de alumínio injetado com acabamento em pintura na cor branca. Difusor recuado em acrílico translúcido e IP20. Temperatura de cor 3000K.</v>
      </c>
      <c r="D2781" s="519"/>
      <c r="E2781" s="117" t="str">
        <f>IF(A2781&amp;B2781="","",VLOOKUP(A2781&amp;B2781,INSUMOS!C:G,3,0))</f>
        <v>un</v>
      </c>
      <c r="F2781" s="118">
        <v>1</v>
      </c>
      <c r="G2781" s="113">
        <f>IF(A2781&amp;B2781="","",VLOOKUP(A2781&amp;B2781,INSUMOS!C:G,4,0))</f>
        <v>316.31734750000004</v>
      </c>
      <c r="H2781" s="119" t="str">
        <f t="shared" si="462"/>
        <v/>
      </c>
      <c r="I2781" s="119">
        <f t="shared" si="463"/>
        <v>316.31</v>
      </c>
      <c r="J2781" s="115" t="str">
        <f t="shared" si="464"/>
        <v/>
      </c>
      <c r="K2781" s="102" t="str">
        <f>IF(A2781&amp;B2781="","",VLOOKUP(A2781&amp;B2781,INSUMOS!C:G,5,0))</f>
        <v>MT</v>
      </c>
    </row>
    <row r="2782" spans="1:17" ht="15" x14ac:dyDescent="0.25">
      <c r="A2782" s="109"/>
      <c r="B2782" s="116"/>
      <c r="C2782" s="518" t="str">
        <f>IF(A2782&amp;B2782="","",VLOOKUP(A2782&amp;B2782,INSUMOS!C:G,2,0))</f>
        <v/>
      </c>
      <c r="D2782" s="519"/>
      <c r="E2782" s="117" t="str">
        <f>IF(A2782&amp;B2782="","",VLOOKUP(A2782&amp;B2782,INSUMOS!C:G,3,0))</f>
        <v/>
      </c>
      <c r="F2782" s="118"/>
      <c r="G2782" s="113" t="str">
        <f>IF(A2782&amp;B2782="","",VLOOKUP(A2782&amp;B2782,INSUMOS!C:G,4,0))</f>
        <v/>
      </c>
      <c r="H2782" s="119" t="str">
        <f t="shared" si="462"/>
        <v/>
      </c>
      <c r="I2782" s="119" t="str">
        <f t="shared" si="463"/>
        <v/>
      </c>
      <c r="J2782" s="115" t="str">
        <f t="shared" si="464"/>
        <v/>
      </c>
      <c r="K2782" s="102" t="str">
        <f>IF(A2782&amp;B2782="","",VLOOKUP(A2782&amp;B2782,INSUMOS!C:G,5,0))</f>
        <v/>
      </c>
    </row>
    <row r="2783" spans="1:17" ht="15" x14ac:dyDescent="0.25">
      <c r="A2783" s="109"/>
      <c r="B2783" s="116"/>
      <c r="C2783" s="518" t="str">
        <f>IF(A2783&amp;B2783="","",VLOOKUP(A2783&amp;B2783,INSUMOS!C:G,2,0))</f>
        <v/>
      </c>
      <c r="D2783" s="519"/>
      <c r="E2783" s="117" t="str">
        <f>IF(A2783&amp;B2783="","",VLOOKUP(A2783&amp;B2783,INSUMOS!C:G,3,0))</f>
        <v/>
      </c>
      <c r="F2783" s="118"/>
      <c r="G2783" s="113" t="str">
        <f>IF(A2783&amp;B2783="","",VLOOKUP(A2783&amp;B2783,INSUMOS!C:G,4,0))</f>
        <v/>
      </c>
      <c r="H2783" s="119" t="str">
        <f t="shared" si="462"/>
        <v/>
      </c>
      <c r="I2783" s="119" t="str">
        <f t="shared" si="463"/>
        <v/>
      </c>
      <c r="J2783" s="115" t="str">
        <f t="shared" si="464"/>
        <v/>
      </c>
      <c r="K2783" s="102" t="str">
        <f>IF(A2783&amp;B2783="","",VLOOKUP(A2783&amp;B2783,INSUMOS!C:G,5,0))</f>
        <v/>
      </c>
    </row>
    <row r="2784" spans="1:17" ht="15" x14ac:dyDescent="0.25">
      <c r="A2784" s="109"/>
      <c r="B2784" s="116"/>
      <c r="C2784" s="518" t="str">
        <f>IF(A2784&amp;B2784="","",VLOOKUP(A2784&amp;B2784,INSUMOS!C:G,2,0))</f>
        <v/>
      </c>
      <c r="D2784" s="519"/>
      <c r="E2784" s="117" t="str">
        <f>IF(A2784&amp;B2784="","",VLOOKUP(A2784&amp;B2784,INSUMOS!C:G,3,0))</f>
        <v/>
      </c>
      <c r="F2784" s="118"/>
      <c r="G2784" s="113" t="str">
        <f>IF(A2784&amp;B2784="","",VLOOKUP(A2784&amp;B2784,INSUMOS!C:G,4,0))</f>
        <v/>
      </c>
      <c r="H2784" s="119" t="str">
        <f t="shared" si="462"/>
        <v/>
      </c>
      <c r="I2784" s="119" t="str">
        <f t="shared" si="463"/>
        <v/>
      </c>
      <c r="J2784" s="115" t="str">
        <f t="shared" si="464"/>
        <v/>
      </c>
      <c r="K2784" s="102" t="str">
        <f>IF(A2784&amp;B2784="","",VLOOKUP(A2784&amp;B2784,INSUMOS!C:G,5,0))</f>
        <v/>
      </c>
    </row>
    <row r="2785" spans="1:17" ht="15" x14ac:dyDescent="0.25">
      <c r="A2785" s="109"/>
      <c r="B2785" s="116"/>
      <c r="C2785" s="518" t="str">
        <f>IF(A2785&amp;B2785="","",VLOOKUP(A2785&amp;B2785,INSUMOS!C:G,2,0))</f>
        <v/>
      </c>
      <c r="D2785" s="519"/>
      <c r="E2785" s="117" t="str">
        <f>IF(A2785&amp;B2785="","",VLOOKUP(A2785&amp;B2785,INSUMOS!C:G,3,0))</f>
        <v/>
      </c>
      <c r="F2785" s="118"/>
      <c r="G2785" s="113" t="str">
        <f>IF(A2785&amp;B2785="","",VLOOKUP(A2785&amp;B2785,INSUMOS!C:G,4,0))</f>
        <v/>
      </c>
      <c r="H2785" s="119" t="str">
        <f t="shared" si="462"/>
        <v/>
      </c>
      <c r="I2785" s="119" t="str">
        <f t="shared" si="463"/>
        <v/>
      </c>
      <c r="J2785" s="115" t="str">
        <f t="shared" si="464"/>
        <v/>
      </c>
      <c r="K2785" s="102" t="str">
        <f>IF(A2785&amp;B2785="","",VLOOKUP(A2785&amp;B2785,INSUMOS!C:G,5,0))</f>
        <v/>
      </c>
    </row>
    <row r="2786" spans="1:17" ht="15" x14ac:dyDescent="0.25">
      <c r="A2786" s="109"/>
      <c r="B2786" s="116"/>
      <c r="C2786" s="518" t="str">
        <f>IF(A2786&amp;B2786="","",VLOOKUP(A2786&amp;B2786,INSUMOS!C:G,2,0))</f>
        <v/>
      </c>
      <c r="D2786" s="519"/>
      <c r="E2786" s="117" t="str">
        <f>IF(A2786&amp;B2786="","",VLOOKUP(A2786&amp;B2786,INSUMOS!C:G,3,0))</f>
        <v/>
      </c>
      <c r="F2786" s="118"/>
      <c r="G2786" s="113" t="str">
        <f>IF(A2786&amp;B2786="","",VLOOKUP(A2786&amp;B2786,INSUMOS!C:G,4,0))</f>
        <v/>
      </c>
      <c r="H2786" s="119" t="str">
        <f t="shared" si="462"/>
        <v/>
      </c>
      <c r="I2786" s="119" t="str">
        <f t="shared" si="463"/>
        <v/>
      </c>
      <c r="J2786" s="115" t="str">
        <f t="shared" si="464"/>
        <v/>
      </c>
      <c r="K2786" s="102" t="str">
        <f>IF(A2786&amp;B2786="","",VLOOKUP(A2786&amp;B2786,INSUMOS!C:G,5,0))</f>
        <v/>
      </c>
    </row>
    <row r="2787" spans="1:17" ht="15" x14ac:dyDescent="0.25">
      <c r="A2787" s="109"/>
      <c r="B2787" s="116"/>
      <c r="C2787" s="518" t="str">
        <f>IF(A2787&amp;B2787="","",VLOOKUP(A2787&amp;B2787,INSUMOS!C:G,2,0))</f>
        <v/>
      </c>
      <c r="D2787" s="519"/>
      <c r="E2787" s="117" t="str">
        <f>IF(A2787&amp;B2787="","",VLOOKUP(A2787&amp;B2787,INSUMOS!C:G,3,0))</f>
        <v/>
      </c>
      <c r="F2787" s="118"/>
      <c r="G2787" s="113" t="str">
        <f>IF(A2787&amp;B2787="","",VLOOKUP(A2787&amp;B2787,INSUMOS!C:G,4,0))</f>
        <v/>
      </c>
      <c r="H2787" s="119" t="str">
        <f t="shared" si="462"/>
        <v/>
      </c>
      <c r="I2787" s="119" t="str">
        <f t="shared" si="463"/>
        <v/>
      </c>
      <c r="J2787" s="115" t="str">
        <f t="shared" si="464"/>
        <v/>
      </c>
      <c r="K2787" s="102" t="str">
        <f>IF(A2787&amp;B2787="","",VLOOKUP(A2787&amp;B2787,INSUMOS!C:G,5,0))</f>
        <v/>
      </c>
    </row>
    <row r="2788" spans="1:17" ht="15" x14ac:dyDescent="0.25">
      <c r="A2788" s="109"/>
      <c r="B2788" s="116"/>
      <c r="C2788" s="518" t="str">
        <f>IF(A2788&amp;B2788="","",VLOOKUP(A2788&amp;B2788,INSUMOS!C:G,2,0))</f>
        <v/>
      </c>
      <c r="D2788" s="519"/>
      <c r="E2788" s="117" t="str">
        <f>IF(A2788&amp;B2788="","",VLOOKUP(A2788&amp;B2788,INSUMOS!C:G,3,0))</f>
        <v/>
      </c>
      <c r="F2788" s="118"/>
      <c r="G2788" s="113" t="str">
        <f>IF(A2788&amp;B2788="","",VLOOKUP(A2788&amp;B2788,INSUMOS!C:G,4,0))</f>
        <v/>
      </c>
      <c r="H2788" s="119" t="str">
        <f t="shared" si="462"/>
        <v/>
      </c>
      <c r="I2788" s="119" t="str">
        <f t="shared" si="463"/>
        <v/>
      </c>
      <c r="J2788" s="115" t="str">
        <f t="shared" si="464"/>
        <v/>
      </c>
      <c r="K2788" s="102" t="str">
        <f>IF(A2788&amp;B2788="","",VLOOKUP(A2788&amp;B2788,INSUMOS!C:G,5,0))</f>
        <v/>
      </c>
    </row>
    <row r="2789" spans="1:17" ht="15" x14ac:dyDescent="0.25">
      <c r="A2789" s="120"/>
      <c r="B2789" s="121"/>
      <c r="C2789" s="518" t="str">
        <f>IF(A2789&amp;B2789="","",VLOOKUP(A2789&amp;B2789,INSUMOS!C:G,2,0))</f>
        <v/>
      </c>
      <c r="D2789" s="519"/>
      <c r="E2789" s="117" t="str">
        <f>IF(A2789&amp;B2789="","",VLOOKUP(A2789&amp;B2789,INSUMOS!C:G,3,0))</f>
        <v/>
      </c>
      <c r="F2789" s="118"/>
      <c r="G2789" s="122" t="str">
        <f>IF(A2789&amp;B2789="","",VLOOKUP(A2789&amp;B2789,INSUMOS!C:G,4,0))</f>
        <v/>
      </c>
      <c r="H2789" s="119" t="str">
        <f t="shared" si="462"/>
        <v/>
      </c>
      <c r="I2789" s="119" t="str">
        <f t="shared" si="463"/>
        <v/>
      </c>
      <c r="J2789" s="115" t="str">
        <f t="shared" si="464"/>
        <v/>
      </c>
      <c r="K2789" s="102" t="str">
        <f>IF(A2789&amp;B2789="","",VLOOKUP(A2789&amp;B2789,INSUMOS!C:G,5,0))</f>
        <v/>
      </c>
    </row>
    <row r="2790" spans="1:17" ht="15" x14ac:dyDescent="0.25">
      <c r="A2790" s="120"/>
      <c r="B2790" s="121"/>
      <c r="C2790" s="518" t="str">
        <f>IF(A2790&amp;B2790="","",VLOOKUP(A2790&amp;B2790,INSUMOS!C:G,2,0))</f>
        <v/>
      </c>
      <c r="D2790" s="519"/>
      <c r="E2790" s="117" t="str">
        <f>IF(A2790&amp;B2790="","",VLOOKUP(A2790&amp;B2790,INSUMOS!C:G,3,0))</f>
        <v/>
      </c>
      <c r="F2790" s="118"/>
      <c r="G2790" s="122" t="str">
        <f>IF(A2790&amp;B2790="","",VLOOKUP(A2790&amp;B2790,INSUMOS!C:G,4,0))</f>
        <v/>
      </c>
      <c r="H2790" s="119" t="str">
        <f t="shared" si="462"/>
        <v/>
      </c>
      <c r="I2790" s="119" t="str">
        <f t="shared" si="463"/>
        <v/>
      </c>
      <c r="J2790" s="115" t="str">
        <f t="shared" si="464"/>
        <v/>
      </c>
      <c r="K2790" s="102" t="str">
        <f>IF(A2790&amp;B2790="","",VLOOKUP(A2790&amp;B2790,INSUMOS!C:G,5,0))</f>
        <v/>
      </c>
    </row>
    <row r="2791" spans="1:17" ht="15" x14ac:dyDescent="0.25">
      <c r="A2791" s="120"/>
      <c r="B2791" s="121"/>
      <c r="C2791" s="518" t="str">
        <f>IF(A2791&amp;B2791="","",VLOOKUP(A2791&amp;B2791,INSUMOS!C:G,2,0))</f>
        <v/>
      </c>
      <c r="D2791" s="519"/>
      <c r="E2791" s="117" t="str">
        <f>IF(A2791&amp;B2791="","",VLOOKUP(A2791&amp;B2791,INSUMOS!C:G,3,0))</f>
        <v/>
      </c>
      <c r="F2791" s="118"/>
      <c r="G2791" s="122" t="str">
        <f>IF(A2791&amp;B2791="","",VLOOKUP(A2791&amp;B2791,INSUMOS!C:G,4,0))</f>
        <v/>
      </c>
      <c r="H2791" s="119" t="str">
        <f t="shared" si="462"/>
        <v/>
      </c>
      <c r="I2791" s="119" t="str">
        <f t="shared" si="463"/>
        <v/>
      </c>
      <c r="J2791" s="115" t="str">
        <f t="shared" si="464"/>
        <v/>
      </c>
      <c r="K2791" s="102" t="str">
        <f>IF(A2791&amp;B2791="","",VLOOKUP(A2791&amp;B2791,INSUMOS!C:G,5,0))</f>
        <v/>
      </c>
    </row>
    <row r="2792" spans="1:17" ht="15" x14ac:dyDescent="0.25">
      <c r="A2792" s="123" t="s">
        <v>4399</v>
      </c>
      <c r="B2792" s="542"/>
      <c r="C2792" s="542"/>
      <c r="D2792" s="542"/>
      <c r="E2792" s="542"/>
      <c r="F2792" s="543"/>
      <c r="G2792" s="124" t="s">
        <v>50</v>
      </c>
      <c r="H2792" s="125">
        <f>SUM(H2779:H2791)</f>
        <v>29.21</v>
      </c>
      <c r="I2792" s="125">
        <f>SUM(I2779:I2791)</f>
        <v>316.31</v>
      </c>
      <c r="J2792" s="126">
        <f>SUM(J2779:J2791)</f>
        <v>0</v>
      </c>
    </row>
    <row r="2793" spans="1:17" ht="15" x14ac:dyDescent="0.25">
      <c r="A2793" s="127" t="s">
        <v>4400</v>
      </c>
      <c r="B2793" s="128"/>
      <c r="C2793" s="128"/>
      <c r="D2793" s="127" t="s">
        <v>51</v>
      </c>
      <c r="E2793" s="128"/>
      <c r="F2793" s="129"/>
      <c r="G2793" s="130" t="s">
        <v>55</v>
      </c>
      <c r="H2793" s="131" t="s">
        <v>52</v>
      </c>
      <c r="I2793" s="132"/>
      <c r="J2793" s="125">
        <f>SUM(H2792:J2792)</f>
        <v>345.52</v>
      </c>
    </row>
    <row r="2794" spans="1:17" ht="15" x14ac:dyDescent="0.25">
      <c r="A2794" s="313" t="str">
        <f>$I$3</f>
        <v>Carlos Wieck</v>
      </c>
      <c r="B2794" s="133"/>
      <c r="C2794" s="133"/>
      <c r="D2794" s="134"/>
      <c r="E2794" s="133"/>
      <c r="F2794" s="135"/>
      <c r="G2794" s="522">
        <f>$J$5</f>
        <v>43040</v>
      </c>
      <c r="H2794" s="136" t="s">
        <v>53</v>
      </c>
      <c r="I2794" s="137"/>
      <c r="J2794" s="125">
        <f>TRUNC(I2794*J2793,2)</f>
        <v>0</v>
      </c>
    </row>
    <row r="2795" spans="1:17" ht="15" x14ac:dyDescent="0.25">
      <c r="A2795" s="314"/>
      <c r="B2795" s="139"/>
      <c r="C2795" s="139"/>
      <c r="D2795" s="138"/>
      <c r="E2795" s="139"/>
      <c r="F2795" s="140"/>
      <c r="G2795" s="523"/>
      <c r="H2795" s="141" t="s">
        <v>54</v>
      </c>
      <c r="I2795" s="142"/>
      <c r="J2795" s="143">
        <f>J2794+J2793</f>
        <v>345.52</v>
      </c>
      <c r="L2795" s="102" t="str">
        <f>A2776</f>
        <v>COMPOSIÇÃO</v>
      </c>
      <c r="M2795" s="144" t="str">
        <f>B2776</f>
        <v>FF-120</v>
      </c>
      <c r="N2795" s="102" t="str">
        <f>L2795&amp;M2795</f>
        <v>COMPOSIÇÃOFF-120</v>
      </c>
      <c r="O2795" s="103" t="str">
        <f>D2775</f>
        <v>Luminária de sobrepor com corpo de alumínio injetado com acabamento em pintura na cor branca. Difusor recuado em acrílico translúcido e IP20. Temperatura de cor 3000K.</v>
      </c>
      <c r="P2795" s="145" t="str">
        <f>J2776</f>
        <v>un</v>
      </c>
      <c r="Q2795" s="145">
        <f>J2795</f>
        <v>345.52</v>
      </c>
    </row>
    <row r="2796" spans="1:17" ht="15" customHeight="1" x14ac:dyDescent="0.25">
      <c r="A2796" s="524" t="s">
        <v>40</v>
      </c>
      <c r="B2796" s="525"/>
      <c r="C2796" s="104" t="s">
        <v>41</v>
      </c>
      <c r="D2796" s="526" t="str">
        <f>IF(B2797="","",VLOOKUP(B2797,SERVIÇOS!B:E,3,0))</f>
        <v>Luminária circular de embutir no piso ou parede. Aro externo em alumínio, difusor em vidro plano temperado transparente. Corpo em alumínio injetado. Grau de proteção IP67. Temperatura de cor 3000K.</v>
      </c>
      <c r="E2796" s="526"/>
      <c r="F2796" s="526"/>
      <c r="G2796" s="526"/>
      <c r="H2796" s="526"/>
      <c r="I2796" s="527"/>
      <c r="J2796" s="105" t="s">
        <v>42</v>
      </c>
    </row>
    <row r="2797" spans="1:17" ht="15" x14ac:dyDescent="0.25">
      <c r="A2797" s="230" t="s">
        <v>4715</v>
      </c>
      <c r="B2797" s="230" t="s">
        <v>5360</v>
      </c>
      <c r="C2797" s="106"/>
      <c r="D2797" s="528"/>
      <c r="E2797" s="528"/>
      <c r="F2797" s="528"/>
      <c r="G2797" s="528"/>
      <c r="H2797" s="528"/>
      <c r="I2797" s="529"/>
      <c r="J2797" s="107" t="str">
        <f>IF(B2797="","",VLOOKUP(B2797,SERVIÇOS!B:E,4,0))</f>
        <v>un</v>
      </c>
    </row>
    <row r="2798" spans="1:17" ht="15" x14ac:dyDescent="0.25">
      <c r="A2798" s="530" t="s">
        <v>4397</v>
      </c>
      <c r="B2798" s="531" t="s">
        <v>11</v>
      </c>
      <c r="C2798" s="533" t="s">
        <v>43</v>
      </c>
      <c r="D2798" s="534"/>
      <c r="E2798" s="530" t="s">
        <v>13</v>
      </c>
      <c r="F2798" s="530" t="s">
        <v>44</v>
      </c>
      <c r="G2798" s="538" t="s">
        <v>45</v>
      </c>
      <c r="H2798" s="108" t="s">
        <v>46</v>
      </c>
      <c r="I2798" s="108"/>
      <c r="J2798" s="108"/>
    </row>
    <row r="2799" spans="1:17" ht="15" x14ac:dyDescent="0.25">
      <c r="A2799" s="530"/>
      <c r="B2799" s="532"/>
      <c r="C2799" s="535"/>
      <c r="D2799" s="536"/>
      <c r="E2799" s="537"/>
      <c r="F2799" s="537"/>
      <c r="G2799" s="539"/>
      <c r="H2799" s="108" t="s">
        <v>47</v>
      </c>
      <c r="I2799" s="108" t="s">
        <v>48</v>
      </c>
      <c r="J2799" s="108" t="s">
        <v>49</v>
      </c>
    </row>
    <row r="2800" spans="1:17" ht="15" x14ac:dyDescent="0.25">
      <c r="A2800" s="109" t="s">
        <v>4398</v>
      </c>
      <c r="B2800" s="116">
        <v>10115</v>
      </c>
      <c r="C2800" s="540" t="str">
        <f>IF(A2800&amp;B2800="","",VLOOKUP(A2800&amp;B2800,INSUMOS!C:G,2,0))</f>
        <v>Eletricista</v>
      </c>
      <c r="D2800" s="541"/>
      <c r="E2800" s="111" t="str">
        <f>IF(A2800&amp;B2800="","",VLOOKUP(A2800&amp;B2800,INSUMOS!C:G,3,0))</f>
        <v>h</v>
      </c>
      <c r="F2800" s="112">
        <v>1.1000000000000001</v>
      </c>
      <c r="G2800" s="113">
        <f>IF(A2800&amp;B2800="","",VLOOKUP(A2800&amp;B2800,INSUMOS!C:G,4,0))</f>
        <v>15.5816</v>
      </c>
      <c r="H2800" s="114">
        <f>IF(K2800="MO",TRUNC(F2800*G2800,2),"")</f>
        <v>17.13</v>
      </c>
      <c r="I2800" s="114" t="str">
        <f>IF(K2800="MT",TRUNC(F2800*G2800,2),"")</f>
        <v/>
      </c>
      <c r="J2800" s="115" t="str">
        <f>IF(K2800="EQ",TRUNC(F2800*G2800,2),"")</f>
        <v/>
      </c>
      <c r="K2800" s="102" t="str">
        <f>IF(A2800&amp;B2800="","",VLOOKUP(A2800&amp;B2800,INSUMOS!C:G,5,0))</f>
        <v>MO</v>
      </c>
    </row>
    <row r="2801" spans="1:17" ht="15" x14ac:dyDescent="0.25">
      <c r="A2801" s="109" t="s">
        <v>4398</v>
      </c>
      <c r="B2801" s="116">
        <v>10116</v>
      </c>
      <c r="C2801" s="518" t="str">
        <f>IF(A2801&amp;B2801="","",VLOOKUP(A2801&amp;B2801,INSUMOS!C:G,2,0))</f>
        <v>Ajudante eletricista</v>
      </c>
      <c r="D2801" s="519"/>
      <c r="E2801" s="117" t="str">
        <f>IF(A2801&amp;B2801="","",VLOOKUP(A2801&amp;B2801,INSUMOS!C:G,3,0))</f>
        <v>h</v>
      </c>
      <c r="F2801" s="118">
        <v>1.1000000000000001</v>
      </c>
      <c r="G2801" s="113">
        <f>IF(A2801&amp;B2801="","",VLOOKUP(A2801&amp;B2801,INSUMOS!C:G,4,0))</f>
        <v>10.985028</v>
      </c>
      <c r="H2801" s="119">
        <f t="shared" ref="H2801:H2812" si="465">IF(K2801="MO",TRUNC(F2801*G2801,2),"")</f>
        <v>12.08</v>
      </c>
      <c r="I2801" s="119" t="str">
        <f t="shared" ref="I2801:I2812" si="466">IF(K2801="MT",TRUNC(F2801*G2801,2),"")</f>
        <v/>
      </c>
      <c r="J2801" s="115" t="str">
        <f t="shared" ref="J2801:J2812" si="467">IF(K2801="EQ",TRUNC(F2801*G2801,2),"")</f>
        <v/>
      </c>
      <c r="K2801" s="102" t="str">
        <f>IF(A2801&amp;B2801="","",VLOOKUP(A2801&amp;B2801,INSUMOS!C:G,5,0))</f>
        <v>MO</v>
      </c>
    </row>
    <row r="2802" spans="1:17" ht="45" customHeight="1" x14ac:dyDescent="0.25">
      <c r="A2802" s="109" t="s">
        <v>4717</v>
      </c>
      <c r="B2802" s="116" t="s">
        <v>4985</v>
      </c>
      <c r="C2802" s="518" t="str">
        <f>IF(A2802&amp;B2802="","",VLOOKUP(A2802&amp;B2802,INSUMOS!C:G,2,0))</f>
        <v>Luminária circular de embutir no piso ou parede. Aro externo em alumínio, difusor em vidro plano temperado transparente. Corpo em alumínio injetado. Grau de proteção IP67. Temperatura de cor 3000K.</v>
      </c>
      <c r="D2802" s="519"/>
      <c r="E2802" s="117" t="str">
        <f>IF(A2802&amp;B2802="","",VLOOKUP(A2802&amp;B2802,INSUMOS!C:G,3,0))</f>
        <v>un</v>
      </c>
      <c r="F2802" s="118">
        <v>1</v>
      </c>
      <c r="G2802" s="113">
        <f>IF(A2802&amp;B2802="","",VLOOKUP(A2802&amp;B2802,INSUMOS!C:G,4,0))</f>
        <v>646.10519999999997</v>
      </c>
      <c r="H2802" s="119" t="str">
        <f t="shared" si="465"/>
        <v/>
      </c>
      <c r="I2802" s="119">
        <f t="shared" si="466"/>
        <v>646.1</v>
      </c>
      <c r="J2802" s="115" t="str">
        <f t="shared" si="467"/>
        <v/>
      </c>
      <c r="K2802" s="102" t="str">
        <f>IF(A2802&amp;B2802="","",VLOOKUP(A2802&amp;B2802,INSUMOS!C:G,5,0))</f>
        <v>MT</v>
      </c>
    </row>
    <row r="2803" spans="1:17" ht="15" x14ac:dyDescent="0.25">
      <c r="A2803" s="109"/>
      <c r="B2803" s="116"/>
      <c r="C2803" s="518" t="str">
        <f>IF(A2803&amp;B2803="","",VLOOKUP(A2803&amp;B2803,INSUMOS!C:G,2,0))</f>
        <v/>
      </c>
      <c r="D2803" s="519"/>
      <c r="E2803" s="117" t="str">
        <f>IF(A2803&amp;B2803="","",VLOOKUP(A2803&amp;B2803,INSUMOS!C:G,3,0))</f>
        <v/>
      </c>
      <c r="F2803" s="118"/>
      <c r="G2803" s="113" t="str">
        <f>IF(A2803&amp;B2803="","",VLOOKUP(A2803&amp;B2803,INSUMOS!C:G,4,0))</f>
        <v/>
      </c>
      <c r="H2803" s="119" t="str">
        <f t="shared" si="465"/>
        <v/>
      </c>
      <c r="I2803" s="119" t="str">
        <f t="shared" si="466"/>
        <v/>
      </c>
      <c r="J2803" s="115" t="str">
        <f t="shared" si="467"/>
        <v/>
      </c>
      <c r="K2803" s="102" t="str">
        <f>IF(A2803&amp;B2803="","",VLOOKUP(A2803&amp;B2803,INSUMOS!C:G,5,0))</f>
        <v/>
      </c>
    </row>
    <row r="2804" spans="1:17" ht="15" x14ac:dyDescent="0.25">
      <c r="A2804" s="109"/>
      <c r="B2804" s="116"/>
      <c r="C2804" s="518" t="str">
        <f>IF(A2804&amp;B2804="","",VLOOKUP(A2804&amp;B2804,INSUMOS!C:G,2,0))</f>
        <v/>
      </c>
      <c r="D2804" s="519"/>
      <c r="E2804" s="117" t="str">
        <f>IF(A2804&amp;B2804="","",VLOOKUP(A2804&amp;B2804,INSUMOS!C:G,3,0))</f>
        <v/>
      </c>
      <c r="F2804" s="118"/>
      <c r="G2804" s="113" t="str">
        <f>IF(A2804&amp;B2804="","",VLOOKUP(A2804&amp;B2804,INSUMOS!C:G,4,0))</f>
        <v/>
      </c>
      <c r="H2804" s="119" t="str">
        <f t="shared" si="465"/>
        <v/>
      </c>
      <c r="I2804" s="119" t="str">
        <f t="shared" si="466"/>
        <v/>
      </c>
      <c r="J2804" s="115" t="str">
        <f t="shared" si="467"/>
        <v/>
      </c>
      <c r="K2804" s="102" t="str">
        <f>IF(A2804&amp;B2804="","",VLOOKUP(A2804&amp;B2804,INSUMOS!C:G,5,0))</f>
        <v/>
      </c>
    </row>
    <row r="2805" spans="1:17" ht="15" x14ac:dyDescent="0.25">
      <c r="A2805" s="109"/>
      <c r="B2805" s="116"/>
      <c r="C2805" s="518" t="str">
        <f>IF(A2805&amp;B2805="","",VLOOKUP(A2805&amp;B2805,INSUMOS!C:G,2,0))</f>
        <v/>
      </c>
      <c r="D2805" s="519"/>
      <c r="E2805" s="117" t="str">
        <f>IF(A2805&amp;B2805="","",VLOOKUP(A2805&amp;B2805,INSUMOS!C:G,3,0))</f>
        <v/>
      </c>
      <c r="F2805" s="118"/>
      <c r="G2805" s="113" t="str">
        <f>IF(A2805&amp;B2805="","",VLOOKUP(A2805&amp;B2805,INSUMOS!C:G,4,0))</f>
        <v/>
      </c>
      <c r="H2805" s="119" t="str">
        <f t="shared" si="465"/>
        <v/>
      </c>
      <c r="I2805" s="119" t="str">
        <f t="shared" si="466"/>
        <v/>
      </c>
      <c r="J2805" s="115" t="str">
        <f t="shared" si="467"/>
        <v/>
      </c>
      <c r="K2805" s="102" t="str">
        <f>IF(A2805&amp;B2805="","",VLOOKUP(A2805&amp;B2805,INSUMOS!C:G,5,0))</f>
        <v/>
      </c>
    </row>
    <row r="2806" spans="1:17" ht="15" x14ac:dyDescent="0.25">
      <c r="A2806" s="109"/>
      <c r="B2806" s="116"/>
      <c r="C2806" s="518" t="str">
        <f>IF(A2806&amp;B2806="","",VLOOKUP(A2806&amp;B2806,INSUMOS!C:G,2,0))</f>
        <v/>
      </c>
      <c r="D2806" s="519"/>
      <c r="E2806" s="117" t="str">
        <f>IF(A2806&amp;B2806="","",VLOOKUP(A2806&amp;B2806,INSUMOS!C:G,3,0))</f>
        <v/>
      </c>
      <c r="F2806" s="118"/>
      <c r="G2806" s="113" t="str">
        <f>IF(A2806&amp;B2806="","",VLOOKUP(A2806&amp;B2806,INSUMOS!C:G,4,0))</f>
        <v/>
      </c>
      <c r="H2806" s="119" t="str">
        <f t="shared" si="465"/>
        <v/>
      </c>
      <c r="I2806" s="119" t="str">
        <f t="shared" si="466"/>
        <v/>
      </c>
      <c r="J2806" s="115" t="str">
        <f t="shared" si="467"/>
        <v/>
      </c>
      <c r="K2806" s="102" t="str">
        <f>IF(A2806&amp;B2806="","",VLOOKUP(A2806&amp;B2806,INSUMOS!C:G,5,0))</f>
        <v/>
      </c>
    </row>
    <row r="2807" spans="1:17" ht="15" x14ac:dyDescent="0.25">
      <c r="A2807" s="109"/>
      <c r="B2807" s="116"/>
      <c r="C2807" s="518" t="str">
        <f>IF(A2807&amp;B2807="","",VLOOKUP(A2807&amp;B2807,INSUMOS!C:G,2,0))</f>
        <v/>
      </c>
      <c r="D2807" s="519"/>
      <c r="E2807" s="117" t="str">
        <f>IF(A2807&amp;B2807="","",VLOOKUP(A2807&amp;B2807,INSUMOS!C:G,3,0))</f>
        <v/>
      </c>
      <c r="F2807" s="118"/>
      <c r="G2807" s="113" t="str">
        <f>IF(A2807&amp;B2807="","",VLOOKUP(A2807&amp;B2807,INSUMOS!C:G,4,0))</f>
        <v/>
      </c>
      <c r="H2807" s="119" t="str">
        <f t="shared" si="465"/>
        <v/>
      </c>
      <c r="I2807" s="119" t="str">
        <f t="shared" si="466"/>
        <v/>
      </c>
      <c r="J2807" s="115" t="str">
        <f t="shared" si="467"/>
        <v/>
      </c>
      <c r="K2807" s="102" t="str">
        <f>IF(A2807&amp;B2807="","",VLOOKUP(A2807&amp;B2807,INSUMOS!C:G,5,0))</f>
        <v/>
      </c>
    </row>
    <row r="2808" spans="1:17" ht="15" x14ac:dyDescent="0.25">
      <c r="A2808" s="109"/>
      <c r="B2808" s="116"/>
      <c r="C2808" s="518" t="str">
        <f>IF(A2808&amp;B2808="","",VLOOKUP(A2808&amp;B2808,INSUMOS!C:G,2,0))</f>
        <v/>
      </c>
      <c r="D2808" s="519"/>
      <c r="E2808" s="117" t="str">
        <f>IF(A2808&amp;B2808="","",VLOOKUP(A2808&amp;B2808,INSUMOS!C:G,3,0))</f>
        <v/>
      </c>
      <c r="F2808" s="118"/>
      <c r="G2808" s="113" t="str">
        <f>IF(A2808&amp;B2808="","",VLOOKUP(A2808&amp;B2808,INSUMOS!C:G,4,0))</f>
        <v/>
      </c>
      <c r="H2808" s="119" t="str">
        <f t="shared" si="465"/>
        <v/>
      </c>
      <c r="I2808" s="119" t="str">
        <f t="shared" si="466"/>
        <v/>
      </c>
      <c r="J2808" s="115" t="str">
        <f t="shared" si="467"/>
        <v/>
      </c>
      <c r="K2808" s="102" t="str">
        <f>IF(A2808&amp;B2808="","",VLOOKUP(A2808&amp;B2808,INSUMOS!C:G,5,0))</f>
        <v/>
      </c>
    </row>
    <row r="2809" spans="1:17" ht="15" x14ac:dyDescent="0.25">
      <c r="A2809" s="109"/>
      <c r="B2809" s="116"/>
      <c r="C2809" s="518" t="str">
        <f>IF(A2809&amp;B2809="","",VLOOKUP(A2809&amp;B2809,INSUMOS!C:G,2,0))</f>
        <v/>
      </c>
      <c r="D2809" s="519"/>
      <c r="E2809" s="117" t="str">
        <f>IF(A2809&amp;B2809="","",VLOOKUP(A2809&amp;B2809,INSUMOS!C:G,3,0))</f>
        <v/>
      </c>
      <c r="F2809" s="118"/>
      <c r="G2809" s="113" t="str">
        <f>IF(A2809&amp;B2809="","",VLOOKUP(A2809&amp;B2809,INSUMOS!C:G,4,0))</f>
        <v/>
      </c>
      <c r="H2809" s="119" t="str">
        <f t="shared" si="465"/>
        <v/>
      </c>
      <c r="I2809" s="119" t="str">
        <f t="shared" si="466"/>
        <v/>
      </c>
      <c r="J2809" s="115" t="str">
        <f t="shared" si="467"/>
        <v/>
      </c>
      <c r="K2809" s="102" t="str">
        <f>IF(A2809&amp;B2809="","",VLOOKUP(A2809&amp;B2809,INSUMOS!C:G,5,0))</f>
        <v/>
      </c>
    </row>
    <row r="2810" spans="1:17" ht="15" x14ac:dyDescent="0.25">
      <c r="A2810" s="120"/>
      <c r="B2810" s="121"/>
      <c r="C2810" s="518" t="str">
        <f>IF(A2810&amp;B2810="","",VLOOKUP(A2810&amp;B2810,INSUMOS!C:G,2,0))</f>
        <v/>
      </c>
      <c r="D2810" s="519"/>
      <c r="E2810" s="117" t="str">
        <f>IF(A2810&amp;B2810="","",VLOOKUP(A2810&amp;B2810,INSUMOS!C:G,3,0))</f>
        <v/>
      </c>
      <c r="F2810" s="118"/>
      <c r="G2810" s="122" t="str">
        <f>IF(A2810&amp;B2810="","",VLOOKUP(A2810&amp;B2810,INSUMOS!C:G,4,0))</f>
        <v/>
      </c>
      <c r="H2810" s="119" t="str">
        <f t="shared" si="465"/>
        <v/>
      </c>
      <c r="I2810" s="119" t="str">
        <f t="shared" si="466"/>
        <v/>
      </c>
      <c r="J2810" s="115" t="str">
        <f t="shared" si="467"/>
        <v/>
      </c>
      <c r="K2810" s="102" t="str">
        <f>IF(A2810&amp;B2810="","",VLOOKUP(A2810&amp;B2810,INSUMOS!C:G,5,0))</f>
        <v/>
      </c>
    </row>
    <row r="2811" spans="1:17" ht="15" x14ac:dyDescent="0.25">
      <c r="A2811" s="120"/>
      <c r="B2811" s="121"/>
      <c r="C2811" s="518" t="str">
        <f>IF(A2811&amp;B2811="","",VLOOKUP(A2811&amp;B2811,INSUMOS!C:G,2,0))</f>
        <v/>
      </c>
      <c r="D2811" s="519"/>
      <c r="E2811" s="117" t="str">
        <f>IF(A2811&amp;B2811="","",VLOOKUP(A2811&amp;B2811,INSUMOS!C:G,3,0))</f>
        <v/>
      </c>
      <c r="F2811" s="118"/>
      <c r="G2811" s="122" t="str">
        <f>IF(A2811&amp;B2811="","",VLOOKUP(A2811&amp;B2811,INSUMOS!C:G,4,0))</f>
        <v/>
      </c>
      <c r="H2811" s="119" t="str">
        <f t="shared" si="465"/>
        <v/>
      </c>
      <c r="I2811" s="119" t="str">
        <f t="shared" si="466"/>
        <v/>
      </c>
      <c r="J2811" s="115" t="str">
        <f t="shared" si="467"/>
        <v/>
      </c>
      <c r="K2811" s="102" t="str">
        <f>IF(A2811&amp;B2811="","",VLOOKUP(A2811&amp;B2811,INSUMOS!C:G,5,0))</f>
        <v/>
      </c>
    </row>
    <row r="2812" spans="1:17" ht="15" x14ac:dyDescent="0.25">
      <c r="A2812" s="120"/>
      <c r="B2812" s="121"/>
      <c r="C2812" s="518" t="str">
        <f>IF(A2812&amp;B2812="","",VLOOKUP(A2812&amp;B2812,INSUMOS!C:G,2,0))</f>
        <v/>
      </c>
      <c r="D2812" s="519"/>
      <c r="E2812" s="117" t="str">
        <f>IF(A2812&amp;B2812="","",VLOOKUP(A2812&amp;B2812,INSUMOS!C:G,3,0))</f>
        <v/>
      </c>
      <c r="F2812" s="118"/>
      <c r="G2812" s="122" t="str">
        <f>IF(A2812&amp;B2812="","",VLOOKUP(A2812&amp;B2812,INSUMOS!C:G,4,0))</f>
        <v/>
      </c>
      <c r="H2812" s="119" t="str">
        <f t="shared" si="465"/>
        <v/>
      </c>
      <c r="I2812" s="119" t="str">
        <f t="shared" si="466"/>
        <v/>
      </c>
      <c r="J2812" s="115" t="str">
        <f t="shared" si="467"/>
        <v/>
      </c>
      <c r="K2812" s="102" t="str">
        <f>IF(A2812&amp;B2812="","",VLOOKUP(A2812&amp;B2812,INSUMOS!C:G,5,0))</f>
        <v/>
      </c>
    </row>
    <row r="2813" spans="1:17" ht="15" x14ac:dyDescent="0.25">
      <c r="A2813" s="123" t="s">
        <v>4399</v>
      </c>
      <c r="B2813" s="542"/>
      <c r="C2813" s="542"/>
      <c r="D2813" s="542"/>
      <c r="E2813" s="542"/>
      <c r="F2813" s="543"/>
      <c r="G2813" s="124" t="s">
        <v>50</v>
      </c>
      <c r="H2813" s="125">
        <f>SUM(H2800:H2812)</f>
        <v>29.21</v>
      </c>
      <c r="I2813" s="125">
        <f>SUM(I2800:I2812)</f>
        <v>646.1</v>
      </c>
      <c r="J2813" s="126">
        <f>SUM(J2800:J2812)</f>
        <v>0</v>
      </c>
    </row>
    <row r="2814" spans="1:17" ht="15" x14ac:dyDescent="0.25">
      <c r="A2814" s="127" t="s">
        <v>4400</v>
      </c>
      <c r="B2814" s="128"/>
      <c r="C2814" s="128"/>
      <c r="D2814" s="127" t="s">
        <v>51</v>
      </c>
      <c r="E2814" s="128"/>
      <c r="F2814" s="129"/>
      <c r="G2814" s="130" t="s">
        <v>55</v>
      </c>
      <c r="H2814" s="131" t="s">
        <v>52</v>
      </c>
      <c r="I2814" s="132"/>
      <c r="J2814" s="125">
        <f>SUM(H2813:J2813)</f>
        <v>675.31000000000006</v>
      </c>
    </row>
    <row r="2815" spans="1:17" ht="15" x14ac:dyDescent="0.25">
      <c r="A2815" s="313" t="str">
        <f>$I$3</f>
        <v>Carlos Wieck</v>
      </c>
      <c r="B2815" s="133"/>
      <c r="C2815" s="133"/>
      <c r="D2815" s="134"/>
      <c r="E2815" s="133"/>
      <c r="F2815" s="135"/>
      <c r="G2815" s="522">
        <f>$J$5</f>
        <v>43040</v>
      </c>
      <c r="H2815" s="136" t="s">
        <v>53</v>
      </c>
      <c r="I2815" s="137"/>
      <c r="J2815" s="125">
        <f>TRUNC(I2815*J2814,2)</f>
        <v>0</v>
      </c>
    </row>
    <row r="2816" spans="1:17" ht="15" x14ac:dyDescent="0.25">
      <c r="A2816" s="314"/>
      <c r="B2816" s="139"/>
      <c r="C2816" s="139"/>
      <c r="D2816" s="138"/>
      <c r="E2816" s="139"/>
      <c r="F2816" s="140"/>
      <c r="G2816" s="523"/>
      <c r="H2816" s="141" t="s">
        <v>54</v>
      </c>
      <c r="I2816" s="142"/>
      <c r="J2816" s="143">
        <f>J2815+J2814</f>
        <v>675.31000000000006</v>
      </c>
      <c r="L2816" s="102" t="str">
        <f>A2797</f>
        <v>COMPOSIÇÃO</v>
      </c>
      <c r="M2816" s="144" t="str">
        <f>B2797</f>
        <v>FF-121</v>
      </c>
      <c r="N2816" s="102" t="str">
        <f>L2816&amp;M2816</f>
        <v>COMPOSIÇÃOFF-121</v>
      </c>
      <c r="O2816" s="103" t="str">
        <f>D2796</f>
        <v>Luminária circular de embutir no piso ou parede. Aro externo em alumínio, difusor em vidro plano temperado transparente. Corpo em alumínio injetado. Grau de proteção IP67. Temperatura de cor 3000K.</v>
      </c>
      <c r="P2816" s="145" t="str">
        <f>J2797</f>
        <v>un</v>
      </c>
      <c r="Q2816" s="145">
        <f>J2816</f>
        <v>675.31000000000006</v>
      </c>
    </row>
    <row r="2817" spans="1:11" ht="15" customHeight="1" x14ac:dyDescent="0.25">
      <c r="A2817" s="524" t="s">
        <v>40</v>
      </c>
      <c r="B2817" s="525"/>
      <c r="C2817" s="104" t="s">
        <v>41</v>
      </c>
      <c r="D2817" s="526" t="str">
        <f>IF(B2818="","",VLOOKUP(B2818,SERVIÇOS!B:E,3,0))</f>
        <v>Luminária de sobrepor com barra de LED. Corpo em chapa de aço tratada com acabamento em pintura eletrostática na cor branca. Difusor em acrílico translúcido. Temperatura de cor 3000K.</v>
      </c>
      <c r="E2817" s="526"/>
      <c r="F2817" s="526"/>
      <c r="G2817" s="526"/>
      <c r="H2817" s="526"/>
      <c r="I2817" s="527"/>
      <c r="J2817" s="105" t="s">
        <v>42</v>
      </c>
    </row>
    <row r="2818" spans="1:11" ht="15" x14ac:dyDescent="0.25">
      <c r="A2818" s="230" t="s">
        <v>4715</v>
      </c>
      <c r="B2818" s="230" t="s">
        <v>5361</v>
      </c>
      <c r="C2818" s="106"/>
      <c r="D2818" s="528"/>
      <c r="E2818" s="528"/>
      <c r="F2818" s="528"/>
      <c r="G2818" s="528"/>
      <c r="H2818" s="528"/>
      <c r="I2818" s="529"/>
      <c r="J2818" s="107" t="str">
        <f>IF(B2818="","",VLOOKUP(B2818,SERVIÇOS!B:E,4,0))</f>
        <v>un</v>
      </c>
    </row>
    <row r="2819" spans="1:11" ht="15" x14ac:dyDescent="0.25">
      <c r="A2819" s="530" t="s">
        <v>4397</v>
      </c>
      <c r="B2819" s="531" t="s">
        <v>11</v>
      </c>
      <c r="C2819" s="533" t="s">
        <v>43</v>
      </c>
      <c r="D2819" s="534"/>
      <c r="E2819" s="530" t="s">
        <v>13</v>
      </c>
      <c r="F2819" s="530" t="s">
        <v>44</v>
      </c>
      <c r="G2819" s="538" t="s">
        <v>45</v>
      </c>
      <c r="H2819" s="108" t="s">
        <v>46</v>
      </c>
      <c r="I2819" s="108"/>
      <c r="J2819" s="108"/>
    </row>
    <row r="2820" spans="1:11" ht="15" x14ac:dyDescent="0.25">
      <c r="A2820" s="530"/>
      <c r="B2820" s="532"/>
      <c r="C2820" s="535"/>
      <c r="D2820" s="536"/>
      <c r="E2820" s="537"/>
      <c r="F2820" s="537"/>
      <c r="G2820" s="539"/>
      <c r="H2820" s="108" t="s">
        <v>47</v>
      </c>
      <c r="I2820" s="108" t="s">
        <v>48</v>
      </c>
      <c r="J2820" s="108" t="s">
        <v>49</v>
      </c>
    </row>
    <row r="2821" spans="1:11" ht="15" x14ac:dyDescent="0.25">
      <c r="A2821" s="109" t="s">
        <v>4398</v>
      </c>
      <c r="B2821" s="116">
        <v>10115</v>
      </c>
      <c r="C2821" s="540" t="str">
        <f>IF(A2821&amp;B2821="","",VLOOKUP(A2821&amp;B2821,INSUMOS!C:G,2,0))</f>
        <v>Eletricista</v>
      </c>
      <c r="D2821" s="541"/>
      <c r="E2821" s="111" t="str">
        <f>IF(A2821&amp;B2821="","",VLOOKUP(A2821&amp;B2821,INSUMOS!C:G,3,0))</f>
        <v>h</v>
      </c>
      <c r="F2821" s="112">
        <v>1.1000000000000001</v>
      </c>
      <c r="G2821" s="113">
        <f>IF(A2821&amp;B2821="","",VLOOKUP(A2821&amp;B2821,INSUMOS!C:G,4,0))</f>
        <v>15.5816</v>
      </c>
      <c r="H2821" s="114">
        <f>IF(K2821="MO",TRUNC(F2821*G2821,2),"")</f>
        <v>17.13</v>
      </c>
      <c r="I2821" s="114" t="str">
        <f>IF(K2821="MT",TRUNC(F2821*G2821,2),"")</f>
        <v/>
      </c>
      <c r="J2821" s="115" t="str">
        <f>IF(K2821="EQ",TRUNC(F2821*G2821,2),"")</f>
        <v/>
      </c>
      <c r="K2821" s="102" t="str">
        <f>IF(A2821&amp;B2821="","",VLOOKUP(A2821&amp;B2821,INSUMOS!C:G,5,0))</f>
        <v>MO</v>
      </c>
    </row>
    <row r="2822" spans="1:11" ht="15" x14ac:dyDescent="0.25">
      <c r="A2822" s="109" t="s">
        <v>4398</v>
      </c>
      <c r="B2822" s="116">
        <v>10116</v>
      </c>
      <c r="C2822" s="518" t="str">
        <f>IF(A2822&amp;B2822="","",VLOOKUP(A2822&amp;B2822,INSUMOS!C:G,2,0))</f>
        <v>Ajudante eletricista</v>
      </c>
      <c r="D2822" s="519"/>
      <c r="E2822" s="117" t="str">
        <f>IF(A2822&amp;B2822="","",VLOOKUP(A2822&amp;B2822,INSUMOS!C:G,3,0))</f>
        <v>h</v>
      </c>
      <c r="F2822" s="118">
        <v>1.1000000000000001</v>
      </c>
      <c r="G2822" s="113">
        <f>IF(A2822&amp;B2822="","",VLOOKUP(A2822&amp;B2822,INSUMOS!C:G,4,0))</f>
        <v>10.985028</v>
      </c>
      <c r="H2822" s="119">
        <f t="shared" ref="H2822:H2833" si="468">IF(K2822="MO",TRUNC(F2822*G2822,2),"")</f>
        <v>12.08</v>
      </c>
      <c r="I2822" s="119" t="str">
        <f t="shared" ref="I2822:I2833" si="469">IF(K2822="MT",TRUNC(F2822*G2822,2),"")</f>
        <v/>
      </c>
      <c r="J2822" s="115" t="str">
        <f t="shared" ref="J2822:J2833" si="470">IF(K2822="EQ",TRUNC(F2822*G2822,2),"")</f>
        <v/>
      </c>
      <c r="K2822" s="102" t="str">
        <f>IF(A2822&amp;B2822="","",VLOOKUP(A2822&amp;B2822,INSUMOS!C:G,5,0))</f>
        <v>MO</v>
      </c>
    </row>
    <row r="2823" spans="1:11" ht="30" customHeight="1" x14ac:dyDescent="0.25">
      <c r="A2823" s="109" t="s">
        <v>4717</v>
      </c>
      <c r="B2823" s="116" t="s">
        <v>4986</v>
      </c>
      <c r="C2823" s="518" t="str">
        <f>IF(A2823&amp;B2823="","",VLOOKUP(A2823&amp;B2823,INSUMOS!C:G,2,0))</f>
        <v>Luminária de sobrepor com barra de LED. Corpo em chapa de aço tratada com acabamento em pintura eletrostática na cor branca. Difusor em acrílico translúcido. Temperatura de cor 3000K.</v>
      </c>
      <c r="D2823" s="519"/>
      <c r="E2823" s="117" t="str">
        <f>IF(A2823&amp;B2823="","",VLOOKUP(A2823&amp;B2823,INSUMOS!C:G,3,0))</f>
        <v>un</v>
      </c>
      <c r="F2823" s="118">
        <v>1</v>
      </c>
      <c r="G2823" s="113">
        <f>IF(A2823&amp;B2823="","",VLOOKUP(A2823&amp;B2823,INSUMOS!C:G,4,0))</f>
        <v>442.65291999999999</v>
      </c>
      <c r="H2823" s="119" t="str">
        <f t="shared" si="468"/>
        <v/>
      </c>
      <c r="I2823" s="119">
        <f t="shared" si="469"/>
        <v>442.65</v>
      </c>
      <c r="J2823" s="115" t="str">
        <f t="shared" si="470"/>
        <v/>
      </c>
      <c r="K2823" s="102" t="str">
        <f>IF(A2823&amp;B2823="","",VLOOKUP(A2823&amp;B2823,INSUMOS!C:G,5,0))</f>
        <v>MT</v>
      </c>
    </row>
    <row r="2824" spans="1:11" ht="15" x14ac:dyDescent="0.25">
      <c r="A2824" s="109"/>
      <c r="B2824" s="116"/>
      <c r="C2824" s="518" t="str">
        <f>IF(A2824&amp;B2824="","",VLOOKUP(A2824&amp;B2824,INSUMOS!C:G,2,0))</f>
        <v/>
      </c>
      <c r="D2824" s="519"/>
      <c r="E2824" s="117" t="str">
        <f>IF(A2824&amp;B2824="","",VLOOKUP(A2824&amp;B2824,INSUMOS!C:G,3,0))</f>
        <v/>
      </c>
      <c r="F2824" s="118"/>
      <c r="G2824" s="113" t="str">
        <f>IF(A2824&amp;B2824="","",VLOOKUP(A2824&amp;B2824,INSUMOS!C:G,4,0))</f>
        <v/>
      </c>
      <c r="H2824" s="119" t="str">
        <f t="shared" si="468"/>
        <v/>
      </c>
      <c r="I2824" s="119" t="str">
        <f t="shared" si="469"/>
        <v/>
      </c>
      <c r="J2824" s="115" t="str">
        <f t="shared" si="470"/>
        <v/>
      </c>
      <c r="K2824" s="102" t="str">
        <f>IF(A2824&amp;B2824="","",VLOOKUP(A2824&amp;B2824,INSUMOS!C:G,5,0))</f>
        <v/>
      </c>
    </row>
    <row r="2825" spans="1:11" ht="15" x14ac:dyDescent="0.25">
      <c r="A2825" s="109"/>
      <c r="B2825" s="116"/>
      <c r="C2825" s="518" t="str">
        <f>IF(A2825&amp;B2825="","",VLOOKUP(A2825&amp;B2825,INSUMOS!C:G,2,0))</f>
        <v/>
      </c>
      <c r="D2825" s="519"/>
      <c r="E2825" s="117" t="str">
        <f>IF(A2825&amp;B2825="","",VLOOKUP(A2825&amp;B2825,INSUMOS!C:G,3,0))</f>
        <v/>
      </c>
      <c r="F2825" s="118"/>
      <c r="G2825" s="113" t="str">
        <f>IF(A2825&amp;B2825="","",VLOOKUP(A2825&amp;B2825,INSUMOS!C:G,4,0))</f>
        <v/>
      </c>
      <c r="H2825" s="119" t="str">
        <f t="shared" si="468"/>
        <v/>
      </c>
      <c r="I2825" s="119" t="str">
        <f t="shared" si="469"/>
        <v/>
      </c>
      <c r="J2825" s="115" t="str">
        <f t="shared" si="470"/>
        <v/>
      </c>
      <c r="K2825" s="102" t="str">
        <f>IF(A2825&amp;B2825="","",VLOOKUP(A2825&amp;B2825,INSUMOS!C:G,5,0))</f>
        <v/>
      </c>
    </row>
    <row r="2826" spans="1:11" ht="15" x14ac:dyDescent="0.25">
      <c r="A2826" s="109"/>
      <c r="B2826" s="116"/>
      <c r="C2826" s="518" t="str">
        <f>IF(A2826&amp;B2826="","",VLOOKUP(A2826&amp;B2826,INSUMOS!C:G,2,0))</f>
        <v/>
      </c>
      <c r="D2826" s="519"/>
      <c r="E2826" s="117" t="str">
        <f>IF(A2826&amp;B2826="","",VLOOKUP(A2826&amp;B2826,INSUMOS!C:G,3,0))</f>
        <v/>
      </c>
      <c r="F2826" s="118"/>
      <c r="G2826" s="113" t="str">
        <f>IF(A2826&amp;B2826="","",VLOOKUP(A2826&amp;B2826,INSUMOS!C:G,4,0))</f>
        <v/>
      </c>
      <c r="H2826" s="119" t="str">
        <f t="shared" si="468"/>
        <v/>
      </c>
      <c r="I2826" s="119" t="str">
        <f t="shared" si="469"/>
        <v/>
      </c>
      <c r="J2826" s="115" t="str">
        <f t="shared" si="470"/>
        <v/>
      </c>
      <c r="K2826" s="102" t="str">
        <f>IF(A2826&amp;B2826="","",VLOOKUP(A2826&amp;B2826,INSUMOS!C:G,5,0))</f>
        <v/>
      </c>
    </row>
    <row r="2827" spans="1:11" ht="15" x14ac:dyDescent="0.25">
      <c r="A2827" s="109"/>
      <c r="B2827" s="116"/>
      <c r="C2827" s="518" t="str">
        <f>IF(A2827&amp;B2827="","",VLOOKUP(A2827&amp;B2827,INSUMOS!C:G,2,0))</f>
        <v/>
      </c>
      <c r="D2827" s="519"/>
      <c r="E2827" s="117" t="str">
        <f>IF(A2827&amp;B2827="","",VLOOKUP(A2827&amp;B2827,INSUMOS!C:G,3,0))</f>
        <v/>
      </c>
      <c r="F2827" s="118"/>
      <c r="G2827" s="113" t="str">
        <f>IF(A2827&amp;B2827="","",VLOOKUP(A2827&amp;B2827,INSUMOS!C:G,4,0))</f>
        <v/>
      </c>
      <c r="H2827" s="119" t="str">
        <f t="shared" si="468"/>
        <v/>
      </c>
      <c r="I2827" s="119" t="str">
        <f t="shared" si="469"/>
        <v/>
      </c>
      <c r="J2827" s="115" t="str">
        <f t="shared" si="470"/>
        <v/>
      </c>
      <c r="K2827" s="102" t="str">
        <f>IF(A2827&amp;B2827="","",VLOOKUP(A2827&amp;B2827,INSUMOS!C:G,5,0))</f>
        <v/>
      </c>
    </row>
    <row r="2828" spans="1:11" ht="15" x14ac:dyDescent="0.25">
      <c r="A2828" s="109"/>
      <c r="B2828" s="116"/>
      <c r="C2828" s="518" t="str">
        <f>IF(A2828&amp;B2828="","",VLOOKUP(A2828&amp;B2828,INSUMOS!C:G,2,0))</f>
        <v/>
      </c>
      <c r="D2828" s="519"/>
      <c r="E2828" s="117" t="str">
        <f>IF(A2828&amp;B2828="","",VLOOKUP(A2828&amp;B2828,INSUMOS!C:G,3,0))</f>
        <v/>
      </c>
      <c r="F2828" s="118"/>
      <c r="G2828" s="113" t="str">
        <f>IF(A2828&amp;B2828="","",VLOOKUP(A2828&amp;B2828,INSUMOS!C:G,4,0))</f>
        <v/>
      </c>
      <c r="H2828" s="119" t="str">
        <f t="shared" si="468"/>
        <v/>
      </c>
      <c r="I2828" s="119" t="str">
        <f t="shared" si="469"/>
        <v/>
      </c>
      <c r="J2828" s="115" t="str">
        <f t="shared" si="470"/>
        <v/>
      </c>
      <c r="K2828" s="102" t="str">
        <f>IF(A2828&amp;B2828="","",VLOOKUP(A2828&amp;B2828,INSUMOS!C:G,5,0))</f>
        <v/>
      </c>
    </row>
    <row r="2829" spans="1:11" ht="15" x14ac:dyDescent="0.25">
      <c r="A2829" s="109"/>
      <c r="B2829" s="116"/>
      <c r="C2829" s="518" t="str">
        <f>IF(A2829&amp;B2829="","",VLOOKUP(A2829&amp;B2829,INSUMOS!C:G,2,0))</f>
        <v/>
      </c>
      <c r="D2829" s="519"/>
      <c r="E2829" s="117" t="str">
        <f>IF(A2829&amp;B2829="","",VLOOKUP(A2829&amp;B2829,INSUMOS!C:G,3,0))</f>
        <v/>
      </c>
      <c r="F2829" s="118"/>
      <c r="G2829" s="113" t="str">
        <f>IF(A2829&amp;B2829="","",VLOOKUP(A2829&amp;B2829,INSUMOS!C:G,4,0))</f>
        <v/>
      </c>
      <c r="H2829" s="119" t="str">
        <f t="shared" si="468"/>
        <v/>
      </c>
      <c r="I2829" s="119" t="str">
        <f t="shared" si="469"/>
        <v/>
      </c>
      <c r="J2829" s="115" t="str">
        <f t="shared" si="470"/>
        <v/>
      </c>
      <c r="K2829" s="102" t="str">
        <f>IF(A2829&amp;B2829="","",VLOOKUP(A2829&amp;B2829,INSUMOS!C:G,5,0))</f>
        <v/>
      </c>
    </row>
    <row r="2830" spans="1:11" ht="15" x14ac:dyDescent="0.25">
      <c r="A2830" s="109"/>
      <c r="B2830" s="116"/>
      <c r="C2830" s="518" t="str">
        <f>IF(A2830&amp;B2830="","",VLOOKUP(A2830&amp;B2830,INSUMOS!C:G,2,0))</f>
        <v/>
      </c>
      <c r="D2830" s="519"/>
      <c r="E2830" s="117" t="str">
        <f>IF(A2830&amp;B2830="","",VLOOKUP(A2830&amp;B2830,INSUMOS!C:G,3,0))</f>
        <v/>
      </c>
      <c r="F2830" s="118"/>
      <c r="G2830" s="113" t="str">
        <f>IF(A2830&amp;B2830="","",VLOOKUP(A2830&amp;B2830,INSUMOS!C:G,4,0))</f>
        <v/>
      </c>
      <c r="H2830" s="119" t="str">
        <f t="shared" si="468"/>
        <v/>
      </c>
      <c r="I2830" s="119" t="str">
        <f t="shared" si="469"/>
        <v/>
      </c>
      <c r="J2830" s="115" t="str">
        <f t="shared" si="470"/>
        <v/>
      </c>
      <c r="K2830" s="102" t="str">
        <f>IF(A2830&amp;B2830="","",VLOOKUP(A2830&amp;B2830,INSUMOS!C:G,5,0))</f>
        <v/>
      </c>
    </row>
    <row r="2831" spans="1:11" ht="15" x14ac:dyDescent="0.25">
      <c r="A2831" s="120"/>
      <c r="B2831" s="121"/>
      <c r="C2831" s="518" t="str">
        <f>IF(A2831&amp;B2831="","",VLOOKUP(A2831&amp;B2831,INSUMOS!C:G,2,0))</f>
        <v/>
      </c>
      <c r="D2831" s="519"/>
      <c r="E2831" s="117" t="str">
        <f>IF(A2831&amp;B2831="","",VLOOKUP(A2831&amp;B2831,INSUMOS!C:G,3,0))</f>
        <v/>
      </c>
      <c r="F2831" s="118"/>
      <c r="G2831" s="122" t="str">
        <f>IF(A2831&amp;B2831="","",VLOOKUP(A2831&amp;B2831,INSUMOS!C:G,4,0))</f>
        <v/>
      </c>
      <c r="H2831" s="119" t="str">
        <f t="shared" si="468"/>
        <v/>
      </c>
      <c r="I2831" s="119" t="str">
        <f t="shared" si="469"/>
        <v/>
      </c>
      <c r="J2831" s="115" t="str">
        <f t="shared" si="470"/>
        <v/>
      </c>
      <c r="K2831" s="102" t="str">
        <f>IF(A2831&amp;B2831="","",VLOOKUP(A2831&amp;B2831,INSUMOS!C:G,5,0))</f>
        <v/>
      </c>
    </row>
    <row r="2832" spans="1:11" ht="15" x14ac:dyDescent="0.25">
      <c r="A2832" s="120"/>
      <c r="B2832" s="121"/>
      <c r="C2832" s="518" t="str">
        <f>IF(A2832&amp;B2832="","",VLOOKUP(A2832&amp;B2832,INSUMOS!C:G,2,0))</f>
        <v/>
      </c>
      <c r="D2832" s="519"/>
      <c r="E2832" s="117" t="str">
        <f>IF(A2832&amp;B2832="","",VLOOKUP(A2832&amp;B2832,INSUMOS!C:G,3,0))</f>
        <v/>
      </c>
      <c r="F2832" s="118"/>
      <c r="G2832" s="122" t="str">
        <f>IF(A2832&amp;B2832="","",VLOOKUP(A2832&amp;B2832,INSUMOS!C:G,4,0))</f>
        <v/>
      </c>
      <c r="H2832" s="119" t="str">
        <f t="shared" si="468"/>
        <v/>
      </c>
      <c r="I2832" s="119" t="str">
        <f t="shared" si="469"/>
        <v/>
      </c>
      <c r="J2832" s="115" t="str">
        <f t="shared" si="470"/>
        <v/>
      </c>
      <c r="K2832" s="102" t="str">
        <f>IF(A2832&amp;B2832="","",VLOOKUP(A2832&amp;B2832,INSUMOS!C:G,5,0))</f>
        <v/>
      </c>
    </row>
    <row r="2833" spans="1:17" ht="15" x14ac:dyDescent="0.25">
      <c r="A2833" s="120"/>
      <c r="B2833" s="121"/>
      <c r="C2833" s="518" t="str">
        <f>IF(A2833&amp;B2833="","",VLOOKUP(A2833&amp;B2833,INSUMOS!C:G,2,0))</f>
        <v/>
      </c>
      <c r="D2833" s="519"/>
      <c r="E2833" s="117" t="str">
        <f>IF(A2833&amp;B2833="","",VLOOKUP(A2833&amp;B2833,INSUMOS!C:G,3,0))</f>
        <v/>
      </c>
      <c r="F2833" s="118"/>
      <c r="G2833" s="122" t="str">
        <f>IF(A2833&amp;B2833="","",VLOOKUP(A2833&amp;B2833,INSUMOS!C:G,4,0))</f>
        <v/>
      </c>
      <c r="H2833" s="119" t="str">
        <f t="shared" si="468"/>
        <v/>
      </c>
      <c r="I2833" s="119" t="str">
        <f t="shared" si="469"/>
        <v/>
      </c>
      <c r="J2833" s="115" t="str">
        <f t="shared" si="470"/>
        <v/>
      </c>
      <c r="K2833" s="102" t="str">
        <f>IF(A2833&amp;B2833="","",VLOOKUP(A2833&amp;B2833,INSUMOS!C:G,5,0))</f>
        <v/>
      </c>
    </row>
    <row r="2834" spans="1:17" ht="15" x14ac:dyDescent="0.25">
      <c r="A2834" s="123" t="s">
        <v>4399</v>
      </c>
      <c r="B2834" s="542"/>
      <c r="C2834" s="542"/>
      <c r="D2834" s="542"/>
      <c r="E2834" s="542"/>
      <c r="F2834" s="543"/>
      <c r="G2834" s="124" t="s">
        <v>50</v>
      </c>
      <c r="H2834" s="125">
        <f>SUM(H2821:H2833)</f>
        <v>29.21</v>
      </c>
      <c r="I2834" s="125">
        <f>SUM(I2821:I2833)</f>
        <v>442.65</v>
      </c>
      <c r="J2834" s="126">
        <f>SUM(J2821:J2833)</f>
        <v>0</v>
      </c>
    </row>
    <row r="2835" spans="1:17" ht="15" x14ac:dyDescent="0.25">
      <c r="A2835" s="127" t="s">
        <v>4400</v>
      </c>
      <c r="B2835" s="128"/>
      <c r="C2835" s="128"/>
      <c r="D2835" s="127" t="s">
        <v>51</v>
      </c>
      <c r="E2835" s="128"/>
      <c r="F2835" s="129"/>
      <c r="G2835" s="130" t="s">
        <v>55</v>
      </c>
      <c r="H2835" s="131" t="s">
        <v>52</v>
      </c>
      <c r="I2835" s="132"/>
      <c r="J2835" s="125">
        <f>SUM(H2834:J2834)</f>
        <v>471.85999999999996</v>
      </c>
    </row>
    <row r="2836" spans="1:17" ht="15" x14ac:dyDescent="0.25">
      <c r="A2836" s="313" t="str">
        <f>$I$3</f>
        <v>Carlos Wieck</v>
      </c>
      <c r="B2836" s="133"/>
      <c r="C2836" s="133"/>
      <c r="D2836" s="134"/>
      <c r="E2836" s="133"/>
      <c r="F2836" s="135"/>
      <c r="G2836" s="522">
        <f>$J$5</f>
        <v>43040</v>
      </c>
      <c r="H2836" s="136" t="s">
        <v>53</v>
      </c>
      <c r="I2836" s="137"/>
      <c r="J2836" s="125">
        <f>TRUNC(I2836*J2835,2)</f>
        <v>0</v>
      </c>
    </row>
    <row r="2837" spans="1:17" ht="15" x14ac:dyDescent="0.25">
      <c r="A2837" s="314"/>
      <c r="B2837" s="139"/>
      <c r="C2837" s="139"/>
      <c r="D2837" s="138"/>
      <c r="E2837" s="139"/>
      <c r="F2837" s="140"/>
      <c r="G2837" s="523"/>
      <c r="H2837" s="141" t="s">
        <v>54</v>
      </c>
      <c r="I2837" s="142"/>
      <c r="J2837" s="143">
        <f>J2836+J2835</f>
        <v>471.85999999999996</v>
      </c>
      <c r="L2837" s="102" t="str">
        <f>A2818</f>
        <v>COMPOSIÇÃO</v>
      </c>
      <c r="M2837" s="144" t="str">
        <f>B2818</f>
        <v>FF-122</v>
      </c>
      <c r="N2837" s="102" t="str">
        <f>L2837&amp;M2837</f>
        <v>COMPOSIÇÃOFF-122</v>
      </c>
      <c r="O2837" s="103" t="str">
        <f>D2817</f>
        <v>Luminária de sobrepor com barra de LED. Corpo em chapa de aço tratada com acabamento em pintura eletrostática na cor branca. Difusor em acrílico translúcido. Temperatura de cor 3000K.</v>
      </c>
      <c r="P2837" s="145" t="str">
        <f>J2818</f>
        <v>un</v>
      </c>
      <c r="Q2837" s="145">
        <f>J2837</f>
        <v>471.85999999999996</v>
      </c>
    </row>
    <row r="2838" spans="1:17" ht="15" customHeight="1" x14ac:dyDescent="0.25">
      <c r="A2838" s="524" t="s">
        <v>40</v>
      </c>
      <c r="B2838" s="525"/>
      <c r="C2838" s="104" t="s">
        <v>41</v>
      </c>
      <c r="D2838" s="526" t="str">
        <f>IF(B2839="","",VLOOKUP(B2839,SERVIÇOS!B:E,3,0))</f>
        <v>Fornecimento e Instalação de Exaustor ref. Multivac ou equivalente técnico, com saída de 125mm, inclusive dutos de alumínio aparente</v>
      </c>
      <c r="E2838" s="526"/>
      <c r="F2838" s="526"/>
      <c r="G2838" s="526"/>
      <c r="H2838" s="526"/>
      <c r="I2838" s="527"/>
      <c r="J2838" s="105" t="s">
        <v>42</v>
      </c>
    </row>
    <row r="2839" spans="1:17" ht="15" x14ac:dyDescent="0.25">
      <c r="A2839" s="230" t="s">
        <v>4715</v>
      </c>
      <c r="B2839" s="230" t="s">
        <v>5372</v>
      </c>
      <c r="C2839" s="106"/>
      <c r="D2839" s="528"/>
      <c r="E2839" s="528"/>
      <c r="F2839" s="528"/>
      <c r="G2839" s="528"/>
      <c r="H2839" s="528"/>
      <c r="I2839" s="529"/>
      <c r="J2839" s="107" t="str">
        <f>IF(B2839="","",VLOOKUP(B2839,SERVIÇOS!B:E,4,0))</f>
        <v>un</v>
      </c>
    </row>
    <row r="2840" spans="1:17" ht="15" x14ac:dyDescent="0.25">
      <c r="A2840" s="530" t="s">
        <v>4397</v>
      </c>
      <c r="B2840" s="531" t="s">
        <v>11</v>
      </c>
      <c r="C2840" s="533" t="s">
        <v>43</v>
      </c>
      <c r="D2840" s="534"/>
      <c r="E2840" s="530" t="s">
        <v>13</v>
      </c>
      <c r="F2840" s="530" t="s">
        <v>44</v>
      </c>
      <c r="G2840" s="538" t="s">
        <v>45</v>
      </c>
      <c r="H2840" s="108" t="s">
        <v>46</v>
      </c>
      <c r="I2840" s="108"/>
      <c r="J2840" s="108"/>
    </row>
    <row r="2841" spans="1:17" ht="15" x14ac:dyDescent="0.25">
      <c r="A2841" s="530"/>
      <c r="B2841" s="532"/>
      <c r="C2841" s="535"/>
      <c r="D2841" s="536"/>
      <c r="E2841" s="537"/>
      <c r="F2841" s="537"/>
      <c r="G2841" s="539"/>
      <c r="H2841" s="108" t="s">
        <v>47</v>
      </c>
      <c r="I2841" s="108" t="s">
        <v>48</v>
      </c>
      <c r="J2841" s="108" t="s">
        <v>49</v>
      </c>
    </row>
    <row r="2842" spans="1:17" ht="15" x14ac:dyDescent="0.25">
      <c r="A2842" s="109" t="s">
        <v>4398</v>
      </c>
      <c r="B2842" s="116">
        <v>10115</v>
      </c>
      <c r="C2842" s="540" t="str">
        <f>IF(A2842&amp;B2842="","",VLOOKUP(A2842&amp;B2842,INSUMOS!C:G,2,0))</f>
        <v>Eletricista</v>
      </c>
      <c r="D2842" s="541"/>
      <c r="E2842" s="111" t="str">
        <f>IF(A2842&amp;B2842="","",VLOOKUP(A2842&amp;B2842,INSUMOS!C:G,3,0))</f>
        <v>h</v>
      </c>
      <c r="F2842" s="112">
        <v>1</v>
      </c>
      <c r="G2842" s="113">
        <f>IF(A2842&amp;B2842="","",VLOOKUP(A2842&amp;B2842,INSUMOS!C:G,4,0))</f>
        <v>15.5816</v>
      </c>
      <c r="H2842" s="114">
        <f>IF(K2842="MO",TRUNC(F2842*G2842,2),"")</f>
        <v>15.58</v>
      </c>
      <c r="I2842" s="114" t="str">
        <f>IF(K2842="MT",TRUNC(F2842*G2842,2),"")</f>
        <v/>
      </c>
      <c r="J2842" s="115" t="str">
        <f>IF(K2842="EQ",TRUNC(F2842*G2842,2),"")</f>
        <v/>
      </c>
      <c r="K2842" s="102" t="str">
        <f>IF(A2842&amp;B2842="","",VLOOKUP(A2842&amp;B2842,INSUMOS!C:G,5,0))</f>
        <v>MO</v>
      </c>
    </row>
    <row r="2843" spans="1:17" ht="15" x14ac:dyDescent="0.25">
      <c r="A2843" s="109" t="s">
        <v>4398</v>
      </c>
      <c r="B2843" s="116">
        <v>10116</v>
      </c>
      <c r="C2843" s="518" t="str">
        <f>IF(A2843&amp;B2843="","",VLOOKUP(A2843&amp;B2843,INSUMOS!C:G,2,0))</f>
        <v>Ajudante eletricista</v>
      </c>
      <c r="D2843" s="519"/>
      <c r="E2843" s="117" t="str">
        <f>IF(A2843&amp;B2843="","",VLOOKUP(A2843&amp;B2843,INSUMOS!C:G,3,0))</f>
        <v>h</v>
      </c>
      <c r="F2843" s="118">
        <v>1</v>
      </c>
      <c r="G2843" s="113">
        <f>IF(A2843&amp;B2843="","",VLOOKUP(A2843&amp;B2843,INSUMOS!C:G,4,0))</f>
        <v>10.985028</v>
      </c>
      <c r="H2843" s="119">
        <f t="shared" ref="H2843:H2854" si="471">IF(K2843="MO",TRUNC(F2843*G2843,2),"")</f>
        <v>10.98</v>
      </c>
      <c r="I2843" s="119" t="str">
        <f t="shared" ref="I2843:I2854" si="472">IF(K2843="MT",TRUNC(F2843*G2843,2),"")</f>
        <v/>
      </c>
      <c r="J2843" s="115" t="str">
        <f t="shared" ref="J2843:J2854" si="473">IF(K2843="EQ",TRUNC(F2843*G2843,2),"")</f>
        <v/>
      </c>
      <c r="K2843" s="102" t="str">
        <f>IF(A2843&amp;B2843="","",VLOOKUP(A2843&amp;B2843,INSUMOS!C:G,5,0))</f>
        <v>MO</v>
      </c>
    </row>
    <row r="2844" spans="1:17" ht="15" x14ac:dyDescent="0.25">
      <c r="A2844" s="109" t="s">
        <v>4398</v>
      </c>
      <c r="B2844" s="116">
        <v>10139</v>
      </c>
      <c r="C2844" s="518" t="str">
        <f>IF(A2844&amp;B2844="","",VLOOKUP(A2844&amp;B2844,INSUMOS!C:G,2,0))</f>
        <v xml:space="preserve">Pedreiro </v>
      </c>
      <c r="D2844" s="519"/>
      <c r="E2844" s="117" t="str">
        <f>IF(A2844&amp;B2844="","",VLOOKUP(A2844&amp;B2844,INSUMOS!C:G,3,0))</f>
        <v>h</v>
      </c>
      <c r="F2844" s="118">
        <v>2</v>
      </c>
      <c r="G2844" s="113">
        <f>IF(A2844&amp;B2844="","",VLOOKUP(A2844&amp;B2844,INSUMOS!C:G,4,0))</f>
        <v>13.731285</v>
      </c>
      <c r="H2844" s="119">
        <f t="shared" si="471"/>
        <v>27.46</v>
      </c>
      <c r="I2844" s="119" t="str">
        <f t="shared" si="472"/>
        <v/>
      </c>
      <c r="J2844" s="115" t="str">
        <f t="shared" si="473"/>
        <v/>
      </c>
      <c r="K2844" s="102" t="str">
        <f>IF(A2844&amp;B2844="","",VLOOKUP(A2844&amp;B2844,INSUMOS!C:G,5,0))</f>
        <v>MO</v>
      </c>
    </row>
    <row r="2845" spans="1:17" ht="15" x14ac:dyDescent="0.25">
      <c r="A2845" s="109" t="s">
        <v>4398</v>
      </c>
      <c r="B2845" s="116">
        <v>10146</v>
      </c>
      <c r="C2845" s="518" t="str">
        <f>IF(A2845&amp;B2845="","",VLOOKUP(A2845&amp;B2845,INSUMOS!C:G,2,0))</f>
        <v>Servente</v>
      </c>
      <c r="D2845" s="519"/>
      <c r="E2845" s="117" t="str">
        <f>IF(A2845&amp;B2845="","",VLOOKUP(A2845&amp;B2845,INSUMOS!C:G,3,0))</f>
        <v>h</v>
      </c>
      <c r="F2845" s="118">
        <v>2</v>
      </c>
      <c r="G2845" s="113">
        <f>IF(A2845&amp;B2845="","",VLOOKUP(A2845&amp;B2845,INSUMOS!C:G,4,0))</f>
        <v>11.335614</v>
      </c>
      <c r="H2845" s="119">
        <f t="shared" si="471"/>
        <v>22.67</v>
      </c>
      <c r="I2845" s="119" t="str">
        <f t="shared" si="472"/>
        <v/>
      </c>
      <c r="J2845" s="115" t="str">
        <f t="shared" si="473"/>
        <v/>
      </c>
      <c r="K2845" s="102" t="str">
        <f>IF(A2845&amp;B2845="","",VLOOKUP(A2845&amp;B2845,INSUMOS!C:G,5,0))</f>
        <v>MO</v>
      </c>
    </row>
    <row r="2846" spans="1:17" ht="15" x14ac:dyDescent="0.25">
      <c r="A2846" s="109" t="s">
        <v>4717</v>
      </c>
      <c r="B2846" s="116" t="s">
        <v>4987</v>
      </c>
      <c r="C2846" s="518" t="str">
        <f>IF(A2846&amp;B2846="","",VLOOKUP(A2846&amp;B2846,INSUMOS!C:G,2,0))</f>
        <v>Fornecimento de Exaustor tipo Multivac ou equivalente técnico, para 125mm na saída</v>
      </c>
      <c r="D2846" s="519"/>
      <c r="E2846" s="117" t="str">
        <f>IF(A2846&amp;B2846="","",VLOOKUP(A2846&amp;B2846,INSUMOS!C:G,3,0))</f>
        <v>un</v>
      </c>
      <c r="F2846" s="118">
        <v>1</v>
      </c>
      <c r="G2846" s="113">
        <f>IF(A2846&amp;B2846="","",VLOOKUP(A2846&amp;B2846,INSUMOS!C:G,4,0))</f>
        <v>359.28</v>
      </c>
      <c r="H2846" s="119" t="str">
        <f t="shared" si="471"/>
        <v/>
      </c>
      <c r="I2846" s="119">
        <f t="shared" si="472"/>
        <v>359.28</v>
      </c>
      <c r="J2846" s="115" t="str">
        <f t="shared" si="473"/>
        <v/>
      </c>
      <c r="K2846" s="102" t="str">
        <f>IF(A2846&amp;B2846="","",VLOOKUP(A2846&amp;B2846,INSUMOS!C:G,5,0))</f>
        <v>MT</v>
      </c>
    </row>
    <row r="2847" spans="1:17" ht="15" x14ac:dyDescent="0.25">
      <c r="A2847" s="109" t="s">
        <v>4717</v>
      </c>
      <c r="B2847" s="116" t="s">
        <v>4988</v>
      </c>
      <c r="C2847" s="518" t="str">
        <f>IF(A2847&amp;B2847="","",VLOOKUP(A2847&amp;B2847,INSUMOS!C:G,2,0))</f>
        <v>Fornecimento de duto circular de alumínio para uso aparente</v>
      </c>
      <c r="D2847" s="519"/>
      <c r="E2847" s="117" t="str">
        <f>IF(A2847&amp;B2847="","",VLOOKUP(A2847&amp;B2847,INSUMOS!C:G,3,0))</f>
        <v>m</v>
      </c>
      <c r="F2847" s="118">
        <v>18</v>
      </c>
      <c r="G2847" s="113">
        <f>IF(A2847&amp;B2847="","",VLOOKUP(A2847&amp;B2847,INSUMOS!C:G,4,0))</f>
        <v>15.968</v>
      </c>
      <c r="H2847" s="119" t="str">
        <f t="shared" si="471"/>
        <v/>
      </c>
      <c r="I2847" s="119">
        <f t="shared" si="472"/>
        <v>287.42</v>
      </c>
      <c r="J2847" s="115" t="str">
        <f t="shared" si="473"/>
        <v/>
      </c>
      <c r="K2847" s="102" t="str">
        <f>IF(A2847&amp;B2847="","",VLOOKUP(A2847&amp;B2847,INSUMOS!C:G,5,0))</f>
        <v>MT</v>
      </c>
    </row>
    <row r="2848" spans="1:17" ht="15" x14ac:dyDescent="0.25">
      <c r="A2848" s="109"/>
      <c r="B2848" s="116"/>
      <c r="C2848" s="518" t="str">
        <f>IF(A2848&amp;B2848="","",VLOOKUP(A2848&amp;B2848,INSUMOS!C:G,2,0))</f>
        <v/>
      </c>
      <c r="D2848" s="519"/>
      <c r="E2848" s="117" t="str">
        <f>IF(A2848&amp;B2848="","",VLOOKUP(A2848&amp;B2848,INSUMOS!C:G,3,0))</f>
        <v/>
      </c>
      <c r="F2848" s="118"/>
      <c r="G2848" s="113" t="str">
        <f>IF(A2848&amp;B2848="","",VLOOKUP(A2848&amp;B2848,INSUMOS!C:G,4,0))</f>
        <v/>
      </c>
      <c r="H2848" s="119" t="str">
        <f t="shared" si="471"/>
        <v/>
      </c>
      <c r="I2848" s="119" t="str">
        <f t="shared" si="472"/>
        <v/>
      </c>
      <c r="J2848" s="115" t="str">
        <f t="shared" si="473"/>
        <v/>
      </c>
      <c r="K2848" s="102" t="str">
        <f>IF(A2848&amp;B2848="","",VLOOKUP(A2848&amp;B2848,INSUMOS!C:G,5,0))</f>
        <v/>
      </c>
    </row>
    <row r="2849" spans="1:17" ht="15" x14ac:dyDescent="0.25">
      <c r="A2849" s="109"/>
      <c r="B2849" s="116"/>
      <c r="C2849" s="518" t="str">
        <f>IF(A2849&amp;B2849="","",VLOOKUP(A2849&amp;B2849,INSUMOS!C:G,2,0))</f>
        <v/>
      </c>
      <c r="D2849" s="519"/>
      <c r="E2849" s="117" t="str">
        <f>IF(A2849&amp;B2849="","",VLOOKUP(A2849&amp;B2849,INSUMOS!C:G,3,0))</f>
        <v/>
      </c>
      <c r="F2849" s="118"/>
      <c r="G2849" s="113" t="str">
        <f>IF(A2849&amp;B2849="","",VLOOKUP(A2849&amp;B2849,INSUMOS!C:G,4,0))</f>
        <v/>
      </c>
      <c r="H2849" s="119" t="str">
        <f t="shared" si="471"/>
        <v/>
      </c>
      <c r="I2849" s="119" t="str">
        <f t="shared" si="472"/>
        <v/>
      </c>
      <c r="J2849" s="115" t="str">
        <f t="shared" si="473"/>
        <v/>
      </c>
      <c r="K2849" s="102" t="str">
        <f>IF(A2849&amp;B2849="","",VLOOKUP(A2849&amp;B2849,INSUMOS!C:G,5,0))</f>
        <v/>
      </c>
    </row>
    <row r="2850" spans="1:17" ht="15" x14ac:dyDescent="0.25">
      <c r="A2850" s="109"/>
      <c r="B2850" s="116"/>
      <c r="C2850" s="518" t="str">
        <f>IF(A2850&amp;B2850="","",VLOOKUP(A2850&amp;B2850,INSUMOS!C:G,2,0))</f>
        <v/>
      </c>
      <c r="D2850" s="519"/>
      <c r="E2850" s="117" t="str">
        <f>IF(A2850&amp;B2850="","",VLOOKUP(A2850&amp;B2850,INSUMOS!C:G,3,0))</f>
        <v/>
      </c>
      <c r="F2850" s="118"/>
      <c r="G2850" s="113" t="str">
        <f>IF(A2850&amp;B2850="","",VLOOKUP(A2850&amp;B2850,INSUMOS!C:G,4,0))</f>
        <v/>
      </c>
      <c r="H2850" s="119" t="str">
        <f t="shared" si="471"/>
        <v/>
      </c>
      <c r="I2850" s="119" t="str">
        <f t="shared" si="472"/>
        <v/>
      </c>
      <c r="J2850" s="115" t="str">
        <f t="shared" si="473"/>
        <v/>
      </c>
      <c r="K2850" s="102" t="str">
        <f>IF(A2850&amp;B2850="","",VLOOKUP(A2850&amp;B2850,INSUMOS!C:G,5,0))</f>
        <v/>
      </c>
    </row>
    <row r="2851" spans="1:17" ht="15" x14ac:dyDescent="0.25">
      <c r="A2851" s="109"/>
      <c r="B2851" s="116"/>
      <c r="C2851" s="518" t="str">
        <f>IF(A2851&amp;B2851="","",VLOOKUP(A2851&amp;B2851,INSUMOS!C:G,2,0))</f>
        <v/>
      </c>
      <c r="D2851" s="519"/>
      <c r="E2851" s="117" t="str">
        <f>IF(A2851&amp;B2851="","",VLOOKUP(A2851&amp;B2851,INSUMOS!C:G,3,0))</f>
        <v/>
      </c>
      <c r="F2851" s="118"/>
      <c r="G2851" s="113" t="str">
        <f>IF(A2851&amp;B2851="","",VLOOKUP(A2851&amp;B2851,INSUMOS!C:G,4,0))</f>
        <v/>
      </c>
      <c r="H2851" s="119" t="str">
        <f t="shared" si="471"/>
        <v/>
      </c>
      <c r="I2851" s="119" t="str">
        <f t="shared" si="472"/>
        <v/>
      </c>
      <c r="J2851" s="115" t="str">
        <f t="shared" si="473"/>
        <v/>
      </c>
      <c r="K2851" s="102" t="str">
        <f>IF(A2851&amp;B2851="","",VLOOKUP(A2851&amp;B2851,INSUMOS!C:G,5,0))</f>
        <v/>
      </c>
    </row>
    <row r="2852" spans="1:17" ht="15" x14ac:dyDescent="0.25">
      <c r="A2852" s="120"/>
      <c r="B2852" s="121"/>
      <c r="C2852" s="518" t="str">
        <f>IF(A2852&amp;B2852="","",VLOOKUP(A2852&amp;B2852,INSUMOS!C:G,2,0))</f>
        <v/>
      </c>
      <c r="D2852" s="519"/>
      <c r="E2852" s="117" t="str">
        <f>IF(A2852&amp;B2852="","",VLOOKUP(A2852&amp;B2852,INSUMOS!C:G,3,0))</f>
        <v/>
      </c>
      <c r="F2852" s="118"/>
      <c r="G2852" s="122" t="str">
        <f>IF(A2852&amp;B2852="","",VLOOKUP(A2852&amp;B2852,INSUMOS!C:G,4,0))</f>
        <v/>
      </c>
      <c r="H2852" s="119" t="str">
        <f t="shared" si="471"/>
        <v/>
      </c>
      <c r="I2852" s="119" t="str">
        <f t="shared" si="472"/>
        <v/>
      </c>
      <c r="J2852" s="115" t="str">
        <f t="shared" si="473"/>
        <v/>
      </c>
      <c r="K2852" s="102" t="str">
        <f>IF(A2852&amp;B2852="","",VLOOKUP(A2852&amp;B2852,INSUMOS!C:G,5,0))</f>
        <v/>
      </c>
    </row>
    <row r="2853" spans="1:17" ht="15" x14ac:dyDescent="0.25">
      <c r="A2853" s="120"/>
      <c r="B2853" s="121"/>
      <c r="C2853" s="518" t="str">
        <f>IF(A2853&amp;B2853="","",VLOOKUP(A2853&amp;B2853,INSUMOS!C:G,2,0))</f>
        <v/>
      </c>
      <c r="D2853" s="519"/>
      <c r="E2853" s="117" t="str">
        <f>IF(A2853&amp;B2853="","",VLOOKUP(A2853&amp;B2853,INSUMOS!C:G,3,0))</f>
        <v/>
      </c>
      <c r="F2853" s="118"/>
      <c r="G2853" s="122" t="str">
        <f>IF(A2853&amp;B2853="","",VLOOKUP(A2853&amp;B2853,INSUMOS!C:G,4,0))</f>
        <v/>
      </c>
      <c r="H2853" s="119" t="str">
        <f t="shared" si="471"/>
        <v/>
      </c>
      <c r="I2853" s="119" t="str">
        <f t="shared" si="472"/>
        <v/>
      </c>
      <c r="J2853" s="115" t="str">
        <f t="shared" si="473"/>
        <v/>
      </c>
      <c r="K2853" s="102" t="str">
        <f>IF(A2853&amp;B2853="","",VLOOKUP(A2853&amp;B2853,INSUMOS!C:G,5,0))</f>
        <v/>
      </c>
    </row>
    <row r="2854" spans="1:17" ht="15" x14ac:dyDescent="0.25">
      <c r="A2854" s="120"/>
      <c r="B2854" s="121"/>
      <c r="C2854" s="518" t="str">
        <f>IF(A2854&amp;B2854="","",VLOOKUP(A2854&amp;B2854,INSUMOS!C:G,2,0))</f>
        <v/>
      </c>
      <c r="D2854" s="519"/>
      <c r="E2854" s="117" t="str">
        <f>IF(A2854&amp;B2854="","",VLOOKUP(A2854&amp;B2854,INSUMOS!C:G,3,0))</f>
        <v/>
      </c>
      <c r="F2854" s="118"/>
      <c r="G2854" s="122" t="str">
        <f>IF(A2854&amp;B2854="","",VLOOKUP(A2854&amp;B2854,INSUMOS!C:G,4,0))</f>
        <v/>
      </c>
      <c r="H2854" s="119" t="str">
        <f t="shared" si="471"/>
        <v/>
      </c>
      <c r="I2854" s="119" t="str">
        <f t="shared" si="472"/>
        <v/>
      </c>
      <c r="J2854" s="115" t="str">
        <f t="shared" si="473"/>
        <v/>
      </c>
      <c r="K2854" s="102" t="str">
        <f>IF(A2854&amp;B2854="","",VLOOKUP(A2854&amp;B2854,INSUMOS!C:G,5,0))</f>
        <v/>
      </c>
    </row>
    <row r="2855" spans="1:17" ht="15" x14ac:dyDescent="0.25">
      <c r="A2855" s="123" t="s">
        <v>4399</v>
      </c>
      <c r="B2855" s="542"/>
      <c r="C2855" s="542"/>
      <c r="D2855" s="542"/>
      <c r="E2855" s="542"/>
      <c r="F2855" s="543"/>
      <c r="G2855" s="124" t="s">
        <v>50</v>
      </c>
      <c r="H2855" s="125">
        <f>SUM(H2842:H2854)</f>
        <v>76.69</v>
      </c>
      <c r="I2855" s="125">
        <f>SUM(I2842:I2854)</f>
        <v>646.70000000000005</v>
      </c>
      <c r="J2855" s="126">
        <f>SUM(J2842:J2854)</f>
        <v>0</v>
      </c>
    </row>
    <row r="2856" spans="1:17" ht="15" x14ac:dyDescent="0.25">
      <c r="A2856" s="127" t="s">
        <v>4400</v>
      </c>
      <c r="B2856" s="128"/>
      <c r="C2856" s="128"/>
      <c r="D2856" s="127" t="s">
        <v>51</v>
      </c>
      <c r="E2856" s="128"/>
      <c r="F2856" s="129"/>
      <c r="G2856" s="130" t="s">
        <v>55</v>
      </c>
      <c r="H2856" s="131" t="s">
        <v>52</v>
      </c>
      <c r="I2856" s="132"/>
      <c r="J2856" s="125">
        <f>SUM(H2855:J2855)</f>
        <v>723.3900000000001</v>
      </c>
    </row>
    <row r="2857" spans="1:17" ht="15" x14ac:dyDescent="0.25">
      <c r="A2857" s="313" t="str">
        <f>$I$3</f>
        <v>Carlos Wieck</v>
      </c>
      <c r="B2857" s="133"/>
      <c r="C2857" s="133"/>
      <c r="D2857" s="134"/>
      <c r="E2857" s="133"/>
      <c r="F2857" s="135"/>
      <c r="G2857" s="522">
        <f>$J$5</f>
        <v>43040</v>
      </c>
      <c r="H2857" s="136" t="s">
        <v>53</v>
      </c>
      <c r="I2857" s="137"/>
      <c r="J2857" s="125">
        <f>TRUNC(I2857*J2856,2)</f>
        <v>0</v>
      </c>
    </row>
    <row r="2858" spans="1:17" ht="15" x14ac:dyDescent="0.25">
      <c r="A2858" s="314"/>
      <c r="B2858" s="139"/>
      <c r="C2858" s="139"/>
      <c r="D2858" s="138"/>
      <c r="E2858" s="139"/>
      <c r="F2858" s="140"/>
      <c r="G2858" s="523"/>
      <c r="H2858" s="141" t="s">
        <v>54</v>
      </c>
      <c r="I2858" s="142"/>
      <c r="J2858" s="143">
        <f>J2857+J2856</f>
        <v>723.3900000000001</v>
      </c>
      <c r="L2858" s="102" t="str">
        <f>A2839</f>
        <v>COMPOSIÇÃO</v>
      </c>
      <c r="M2858" s="144" t="str">
        <f>B2839</f>
        <v>FF-123</v>
      </c>
      <c r="N2858" s="102" t="str">
        <f>L2858&amp;M2858</f>
        <v>COMPOSIÇÃOFF-123</v>
      </c>
      <c r="O2858" s="103" t="str">
        <f>D2838</f>
        <v>Fornecimento e Instalação de Exaustor ref. Multivac ou equivalente técnico, com saída de 125mm, inclusive dutos de alumínio aparente</v>
      </c>
      <c r="P2858" s="145" t="str">
        <f>J2839</f>
        <v>un</v>
      </c>
      <c r="Q2858" s="145">
        <f>J2858</f>
        <v>723.3900000000001</v>
      </c>
    </row>
    <row r="2859" spans="1:17" ht="15" customHeight="1" x14ac:dyDescent="0.25">
      <c r="A2859" s="524" t="s">
        <v>40</v>
      </c>
      <c r="B2859" s="525"/>
      <c r="C2859" s="104" t="s">
        <v>41</v>
      </c>
      <c r="D2859" s="526" t="str">
        <f>IF(B2860="","",VLOOKUP(B2860,SERVIÇOS!B:E,3,0))</f>
        <v>Fornecimento e instalação de aparelho ar condicionado Split Hi Wall 9.000BTU/h</v>
      </c>
      <c r="E2859" s="526"/>
      <c r="F2859" s="526"/>
      <c r="G2859" s="526"/>
      <c r="H2859" s="526"/>
      <c r="I2859" s="527"/>
      <c r="J2859" s="105" t="s">
        <v>42</v>
      </c>
    </row>
    <row r="2860" spans="1:17" ht="15" x14ac:dyDescent="0.25">
      <c r="A2860" s="230" t="s">
        <v>4715</v>
      </c>
      <c r="B2860" s="230" t="s">
        <v>5378</v>
      </c>
      <c r="C2860" s="106"/>
      <c r="D2860" s="528"/>
      <c r="E2860" s="528"/>
      <c r="F2860" s="528"/>
      <c r="G2860" s="528"/>
      <c r="H2860" s="528"/>
      <c r="I2860" s="529"/>
      <c r="J2860" s="107" t="str">
        <f>IF(B2860="","",VLOOKUP(B2860,SERVIÇOS!B:E,4,0))</f>
        <v>un</v>
      </c>
    </row>
    <row r="2861" spans="1:17" ht="15" x14ac:dyDescent="0.25">
      <c r="A2861" s="530" t="s">
        <v>4397</v>
      </c>
      <c r="B2861" s="531" t="s">
        <v>11</v>
      </c>
      <c r="C2861" s="533" t="s">
        <v>43</v>
      </c>
      <c r="D2861" s="534"/>
      <c r="E2861" s="530" t="s">
        <v>13</v>
      </c>
      <c r="F2861" s="530" t="s">
        <v>44</v>
      </c>
      <c r="G2861" s="538" t="s">
        <v>45</v>
      </c>
      <c r="H2861" s="108" t="s">
        <v>46</v>
      </c>
      <c r="I2861" s="108"/>
      <c r="J2861" s="108"/>
    </row>
    <row r="2862" spans="1:17" ht="15" x14ac:dyDescent="0.25">
      <c r="A2862" s="530"/>
      <c r="B2862" s="532"/>
      <c r="C2862" s="535"/>
      <c r="D2862" s="536"/>
      <c r="E2862" s="537"/>
      <c r="F2862" s="537"/>
      <c r="G2862" s="539"/>
      <c r="H2862" s="108" t="s">
        <v>47</v>
      </c>
      <c r="I2862" s="108" t="s">
        <v>48</v>
      </c>
      <c r="J2862" s="108" t="s">
        <v>49</v>
      </c>
    </row>
    <row r="2863" spans="1:17" ht="15" x14ac:dyDescent="0.25">
      <c r="A2863" s="109" t="s">
        <v>4398</v>
      </c>
      <c r="B2863" s="116">
        <v>10115</v>
      </c>
      <c r="C2863" s="540" t="str">
        <f>IF(A2863&amp;B2863="","",VLOOKUP(A2863&amp;B2863,INSUMOS!C:G,2,0))</f>
        <v>Eletricista</v>
      </c>
      <c r="D2863" s="541"/>
      <c r="E2863" s="111" t="str">
        <f>IF(A2863&amp;B2863="","",VLOOKUP(A2863&amp;B2863,INSUMOS!C:G,3,0))</f>
        <v>h</v>
      </c>
      <c r="F2863" s="112">
        <v>24</v>
      </c>
      <c r="G2863" s="113">
        <f>IF(A2863&amp;B2863="","",VLOOKUP(A2863&amp;B2863,INSUMOS!C:G,4,0))</f>
        <v>15.5816</v>
      </c>
      <c r="H2863" s="114">
        <f>IF(K2863="MO",TRUNC(F2863*G2863,2),"")</f>
        <v>373.95</v>
      </c>
      <c r="I2863" s="114" t="str">
        <f>IF(K2863="MT",TRUNC(F2863*G2863,2),"")</f>
        <v/>
      </c>
      <c r="J2863" s="115" t="str">
        <f>IF(K2863="EQ",TRUNC(F2863*G2863,2),"")</f>
        <v/>
      </c>
      <c r="K2863" s="102" t="str">
        <f>IF(A2863&amp;B2863="","",VLOOKUP(A2863&amp;B2863,INSUMOS!C:G,5,0))</f>
        <v>MO</v>
      </c>
    </row>
    <row r="2864" spans="1:17" ht="15" x14ac:dyDescent="0.25">
      <c r="A2864" s="109" t="s">
        <v>4398</v>
      </c>
      <c r="B2864" s="116">
        <v>10116</v>
      </c>
      <c r="C2864" s="518" t="str">
        <f>IF(A2864&amp;B2864="","",VLOOKUP(A2864&amp;B2864,INSUMOS!C:G,2,0))</f>
        <v>Ajudante eletricista</v>
      </c>
      <c r="D2864" s="519"/>
      <c r="E2864" s="117" t="str">
        <f>IF(A2864&amp;B2864="","",VLOOKUP(A2864&amp;B2864,INSUMOS!C:G,3,0))</f>
        <v>h</v>
      </c>
      <c r="F2864" s="118">
        <v>14</v>
      </c>
      <c r="G2864" s="113">
        <f>IF(A2864&amp;B2864="","",VLOOKUP(A2864&amp;B2864,INSUMOS!C:G,4,0))</f>
        <v>10.985028</v>
      </c>
      <c r="H2864" s="119">
        <f t="shared" ref="H2864:H2875" si="474">IF(K2864="MO",TRUNC(F2864*G2864,2),"")</f>
        <v>153.79</v>
      </c>
      <c r="I2864" s="119" t="str">
        <f t="shared" ref="I2864:I2875" si="475">IF(K2864="MT",TRUNC(F2864*G2864,2),"")</f>
        <v/>
      </c>
      <c r="J2864" s="115" t="str">
        <f t="shared" ref="J2864:J2875" si="476">IF(K2864="EQ",TRUNC(F2864*G2864,2),"")</f>
        <v/>
      </c>
      <c r="K2864" s="102" t="str">
        <f>IF(A2864&amp;B2864="","",VLOOKUP(A2864&amp;B2864,INSUMOS!C:G,5,0))</f>
        <v>MO</v>
      </c>
    </row>
    <row r="2865" spans="1:17" ht="15" x14ac:dyDescent="0.25">
      <c r="A2865" s="109" t="s">
        <v>4398</v>
      </c>
      <c r="B2865" s="116">
        <v>10117</v>
      </c>
      <c r="C2865" s="518" t="str">
        <f>IF(A2865&amp;B2865="","",VLOOKUP(A2865&amp;B2865,INSUMOS!C:G,2,0))</f>
        <v>Eletrotécnico montador</v>
      </c>
      <c r="D2865" s="519"/>
      <c r="E2865" s="117" t="str">
        <f>IF(A2865&amp;B2865="","",VLOOKUP(A2865&amp;B2865,INSUMOS!C:G,3,0))</f>
        <v>h</v>
      </c>
      <c r="F2865" s="118">
        <v>6</v>
      </c>
      <c r="G2865" s="113">
        <f>IF(A2865&amp;B2865="","",VLOOKUP(A2865&amp;B2865,INSUMOS!C:G,4,0))</f>
        <v>36.324604999999998</v>
      </c>
      <c r="H2865" s="119">
        <f t="shared" si="474"/>
        <v>217.94</v>
      </c>
      <c r="I2865" s="119" t="str">
        <f t="shared" si="475"/>
        <v/>
      </c>
      <c r="J2865" s="115" t="str">
        <f t="shared" si="476"/>
        <v/>
      </c>
      <c r="K2865" s="102" t="str">
        <f>IF(A2865&amp;B2865="","",VLOOKUP(A2865&amp;B2865,INSUMOS!C:G,5,0))</f>
        <v>MO</v>
      </c>
    </row>
    <row r="2866" spans="1:17" ht="15" x14ac:dyDescent="0.25">
      <c r="A2866" s="109" t="s">
        <v>4717</v>
      </c>
      <c r="B2866" s="116" t="s">
        <v>4989</v>
      </c>
      <c r="C2866" s="518" t="str">
        <f>IF(A2866&amp;B2866="","",VLOOKUP(A2866&amp;B2866,INSUMOS!C:G,2,0))</f>
        <v>Fornecimento de aparelho ar condicionado Split Hi Wall 9.000BTU/h</v>
      </c>
      <c r="D2866" s="519"/>
      <c r="E2866" s="117" t="str">
        <f>IF(A2866&amp;B2866="","",VLOOKUP(A2866&amp;B2866,INSUMOS!C:G,3,0))</f>
        <v>un</v>
      </c>
      <c r="F2866" s="118">
        <v>1</v>
      </c>
      <c r="G2866" s="113">
        <f>IF(A2866&amp;B2866="","",VLOOKUP(A2866&amp;B2866,INSUMOS!C:G,4,0))</f>
        <v>2104.0035599999997</v>
      </c>
      <c r="H2866" s="119" t="str">
        <f t="shared" si="474"/>
        <v/>
      </c>
      <c r="I2866" s="119">
        <f t="shared" si="475"/>
        <v>2104</v>
      </c>
      <c r="J2866" s="115" t="str">
        <f t="shared" si="476"/>
        <v/>
      </c>
      <c r="K2866" s="102" t="str">
        <f>IF(A2866&amp;B2866="","",VLOOKUP(A2866&amp;B2866,INSUMOS!C:G,5,0))</f>
        <v>MT</v>
      </c>
    </row>
    <row r="2867" spans="1:17" ht="15" x14ac:dyDescent="0.25">
      <c r="A2867" s="109"/>
      <c r="B2867" s="116"/>
      <c r="C2867" s="518" t="str">
        <f>IF(A2867&amp;B2867="","",VLOOKUP(A2867&amp;B2867,INSUMOS!C:G,2,0))</f>
        <v/>
      </c>
      <c r="D2867" s="519"/>
      <c r="E2867" s="117" t="str">
        <f>IF(A2867&amp;B2867="","",VLOOKUP(A2867&amp;B2867,INSUMOS!C:G,3,0))</f>
        <v/>
      </c>
      <c r="F2867" s="118"/>
      <c r="G2867" s="113" t="str">
        <f>IF(A2867&amp;B2867="","",VLOOKUP(A2867&amp;B2867,INSUMOS!C:G,4,0))</f>
        <v/>
      </c>
      <c r="H2867" s="119" t="str">
        <f t="shared" si="474"/>
        <v/>
      </c>
      <c r="I2867" s="119" t="str">
        <f t="shared" si="475"/>
        <v/>
      </c>
      <c r="J2867" s="115" t="str">
        <f t="shared" si="476"/>
        <v/>
      </c>
      <c r="K2867" s="102" t="str">
        <f>IF(A2867&amp;B2867="","",VLOOKUP(A2867&amp;B2867,INSUMOS!C:G,5,0))</f>
        <v/>
      </c>
    </row>
    <row r="2868" spans="1:17" ht="15" x14ac:dyDescent="0.25">
      <c r="A2868" s="109"/>
      <c r="B2868" s="116"/>
      <c r="C2868" s="518" t="str">
        <f>IF(A2868&amp;B2868="","",VLOOKUP(A2868&amp;B2868,INSUMOS!C:G,2,0))</f>
        <v/>
      </c>
      <c r="D2868" s="519"/>
      <c r="E2868" s="117" t="str">
        <f>IF(A2868&amp;B2868="","",VLOOKUP(A2868&amp;B2868,INSUMOS!C:G,3,0))</f>
        <v/>
      </c>
      <c r="F2868" s="118"/>
      <c r="G2868" s="113" t="str">
        <f>IF(A2868&amp;B2868="","",VLOOKUP(A2868&amp;B2868,INSUMOS!C:G,4,0))</f>
        <v/>
      </c>
      <c r="H2868" s="119" t="str">
        <f t="shared" si="474"/>
        <v/>
      </c>
      <c r="I2868" s="119" t="str">
        <f t="shared" si="475"/>
        <v/>
      </c>
      <c r="J2868" s="115" t="str">
        <f t="shared" si="476"/>
        <v/>
      </c>
      <c r="K2868" s="102" t="str">
        <f>IF(A2868&amp;B2868="","",VLOOKUP(A2868&amp;B2868,INSUMOS!C:G,5,0))</f>
        <v/>
      </c>
    </row>
    <row r="2869" spans="1:17" ht="15" x14ac:dyDescent="0.25">
      <c r="A2869" s="109"/>
      <c r="B2869" s="116"/>
      <c r="C2869" s="518" t="str">
        <f>IF(A2869&amp;B2869="","",VLOOKUP(A2869&amp;B2869,INSUMOS!C:G,2,0))</f>
        <v/>
      </c>
      <c r="D2869" s="519"/>
      <c r="E2869" s="117" t="str">
        <f>IF(A2869&amp;B2869="","",VLOOKUP(A2869&amp;B2869,INSUMOS!C:G,3,0))</f>
        <v/>
      </c>
      <c r="F2869" s="118"/>
      <c r="G2869" s="113" t="str">
        <f>IF(A2869&amp;B2869="","",VLOOKUP(A2869&amp;B2869,INSUMOS!C:G,4,0))</f>
        <v/>
      </c>
      <c r="H2869" s="119" t="str">
        <f t="shared" si="474"/>
        <v/>
      </c>
      <c r="I2869" s="119" t="str">
        <f t="shared" si="475"/>
        <v/>
      </c>
      <c r="J2869" s="115" t="str">
        <f t="shared" si="476"/>
        <v/>
      </c>
      <c r="K2869" s="102" t="str">
        <f>IF(A2869&amp;B2869="","",VLOOKUP(A2869&amp;B2869,INSUMOS!C:G,5,0))</f>
        <v/>
      </c>
    </row>
    <row r="2870" spans="1:17" ht="15" x14ac:dyDescent="0.25">
      <c r="A2870" s="109"/>
      <c r="B2870" s="116"/>
      <c r="C2870" s="518" t="str">
        <f>IF(A2870&amp;B2870="","",VLOOKUP(A2870&amp;B2870,INSUMOS!C:G,2,0))</f>
        <v/>
      </c>
      <c r="D2870" s="519"/>
      <c r="E2870" s="117" t="str">
        <f>IF(A2870&amp;B2870="","",VLOOKUP(A2870&amp;B2870,INSUMOS!C:G,3,0))</f>
        <v/>
      </c>
      <c r="F2870" s="118"/>
      <c r="G2870" s="113" t="str">
        <f>IF(A2870&amp;B2870="","",VLOOKUP(A2870&amp;B2870,INSUMOS!C:G,4,0))</f>
        <v/>
      </c>
      <c r="H2870" s="119" t="str">
        <f t="shared" si="474"/>
        <v/>
      </c>
      <c r="I2870" s="119" t="str">
        <f t="shared" si="475"/>
        <v/>
      </c>
      <c r="J2870" s="115" t="str">
        <f t="shared" si="476"/>
        <v/>
      </c>
      <c r="K2870" s="102" t="str">
        <f>IF(A2870&amp;B2870="","",VLOOKUP(A2870&amp;B2870,INSUMOS!C:G,5,0))</f>
        <v/>
      </c>
    </row>
    <row r="2871" spans="1:17" ht="15" x14ac:dyDescent="0.25">
      <c r="A2871" s="109"/>
      <c r="B2871" s="116"/>
      <c r="C2871" s="518" t="str">
        <f>IF(A2871&amp;B2871="","",VLOOKUP(A2871&amp;B2871,INSUMOS!C:G,2,0))</f>
        <v/>
      </c>
      <c r="D2871" s="519"/>
      <c r="E2871" s="117" t="str">
        <f>IF(A2871&amp;B2871="","",VLOOKUP(A2871&amp;B2871,INSUMOS!C:G,3,0))</f>
        <v/>
      </c>
      <c r="F2871" s="118"/>
      <c r="G2871" s="113" t="str">
        <f>IF(A2871&amp;B2871="","",VLOOKUP(A2871&amp;B2871,INSUMOS!C:G,4,0))</f>
        <v/>
      </c>
      <c r="H2871" s="119" t="str">
        <f t="shared" si="474"/>
        <v/>
      </c>
      <c r="I2871" s="119" t="str">
        <f t="shared" si="475"/>
        <v/>
      </c>
      <c r="J2871" s="115" t="str">
        <f t="shared" si="476"/>
        <v/>
      </c>
      <c r="K2871" s="102" t="str">
        <f>IF(A2871&amp;B2871="","",VLOOKUP(A2871&amp;B2871,INSUMOS!C:G,5,0))</f>
        <v/>
      </c>
    </row>
    <row r="2872" spans="1:17" ht="15" x14ac:dyDescent="0.25">
      <c r="A2872" s="109"/>
      <c r="B2872" s="116"/>
      <c r="C2872" s="518" t="str">
        <f>IF(A2872&amp;B2872="","",VLOOKUP(A2872&amp;B2872,INSUMOS!C:G,2,0))</f>
        <v/>
      </c>
      <c r="D2872" s="519"/>
      <c r="E2872" s="117" t="str">
        <f>IF(A2872&amp;B2872="","",VLOOKUP(A2872&amp;B2872,INSUMOS!C:G,3,0))</f>
        <v/>
      </c>
      <c r="F2872" s="118"/>
      <c r="G2872" s="113" t="str">
        <f>IF(A2872&amp;B2872="","",VLOOKUP(A2872&amp;B2872,INSUMOS!C:G,4,0))</f>
        <v/>
      </c>
      <c r="H2872" s="119" t="str">
        <f t="shared" si="474"/>
        <v/>
      </c>
      <c r="I2872" s="119" t="str">
        <f t="shared" si="475"/>
        <v/>
      </c>
      <c r="J2872" s="115" t="str">
        <f t="shared" si="476"/>
        <v/>
      </c>
      <c r="K2872" s="102" t="str">
        <f>IF(A2872&amp;B2872="","",VLOOKUP(A2872&amp;B2872,INSUMOS!C:G,5,0))</f>
        <v/>
      </c>
    </row>
    <row r="2873" spans="1:17" ht="15" x14ac:dyDescent="0.25">
      <c r="A2873" s="120"/>
      <c r="B2873" s="121"/>
      <c r="C2873" s="518" t="str">
        <f>IF(A2873&amp;B2873="","",VLOOKUP(A2873&amp;B2873,INSUMOS!C:G,2,0))</f>
        <v/>
      </c>
      <c r="D2873" s="519"/>
      <c r="E2873" s="117" t="str">
        <f>IF(A2873&amp;B2873="","",VLOOKUP(A2873&amp;B2873,INSUMOS!C:G,3,0))</f>
        <v/>
      </c>
      <c r="F2873" s="118"/>
      <c r="G2873" s="122" t="str">
        <f>IF(A2873&amp;B2873="","",VLOOKUP(A2873&amp;B2873,INSUMOS!C:G,4,0))</f>
        <v/>
      </c>
      <c r="H2873" s="119" t="str">
        <f t="shared" si="474"/>
        <v/>
      </c>
      <c r="I2873" s="119" t="str">
        <f t="shared" si="475"/>
        <v/>
      </c>
      <c r="J2873" s="115" t="str">
        <f t="shared" si="476"/>
        <v/>
      </c>
      <c r="K2873" s="102" t="str">
        <f>IF(A2873&amp;B2873="","",VLOOKUP(A2873&amp;B2873,INSUMOS!C:G,5,0))</f>
        <v/>
      </c>
    </row>
    <row r="2874" spans="1:17" ht="15" x14ac:dyDescent="0.25">
      <c r="A2874" s="120"/>
      <c r="B2874" s="121"/>
      <c r="C2874" s="518" t="str">
        <f>IF(A2874&amp;B2874="","",VLOOKUP(A2874&amp;B2874,INSUMOS!C:G,2,0))</f>
        <v/>
      </c>
      <c r="D2874" s="519"/>
      <c r="E2874" s="117" t="str">
        <f>IF(A2874&amp;B2874="","",VLOOKUP(A2874&amp;B2874,INSUMOS!C:G,3,0))</f>
        <v/>
      </c>
      <c r="F2874" s="118"/>
      <c r="G2874" s="122" t="str">
        <f>IF(A2874&amp;B2874="","",VLOOKUP(A2874&amp;B2874,INSUMOS!C:G,4,0))</f>
        <v/>
      </c>
      <c r="H2874" s="119" t="str">
        <f t="shared" si="474"/>
        <v/>
      </c>
      <c r="I2874" s="119" t="str">
        <f t="shared" si="475"/>
        <v/>
      </c>
      <c r="J2874" s="115" t="str">
        <f t="shared" si="476"/>
        <v/>
      </c>
      <c r="K2874" s="102" t="str">
        <f>IF(A2874&amp;B2874="","",VLOOKUP(A2874&amp;B2874,INSUMOS!C:G,5,0))</f>
        <v/>
      </c>
    </row>
    <row r="2875" spans="1:17" ht="15" x14ac:dyDescent="0.25">
      <c r="A2875" s="120"/>
      <c r="B2875" s="121"/>
      <c r="C2875" s="518" t="str">
        <f>IF(A2875&amp;B2875="","",VLOOKUP(A2875&amp;B2875,INSUMOS!C:G,2,0))</f>
        <v/>
      </c>
      <c r="D2875" s="519"/>
      <c r="E2875" s="117" t="str">
        <f>IF(A2875&amp;B2875="","",VLOOKUP(A2875&amp;B2875,INSUMOS!C:G,3,0))</f>
        <v/>
      </c>
      <c r="F2875" s="118"/>
      <c r="G2875" s="122" t="str">
        <f>IF(A2875&amp;B2875="","",VLOOKUP(A2875&amp;B2875,INSUMOS!C:G,4,0))</f>
        <v/>
      </c>
      <c r="H2875" s="119" t="str">
        <f t="shared" si="474"/>
        <v/>
      </c>
      <c r="I2875" s="119" t="str">
        <f t="shared" si="475"/>
        <v/>
      </c>
      <c r="J2875" s="115" t="str">
        <f t="shared" si="476"/>
        <v/>
      </c>
      <c r="K2875" s="102" t="str">
        <f>IF(A2875&amp;B2875="","",VLOOKUP(A2875&amp;B2875,INSUMOS!C:G,5,0))</f>
        <v/>
      </c>
    </row>
    <row r="2876" spans="1:17" ht="15" x14ac:dyDescent="0.25">
      <c r="A2876" s="123" t="s">
        <v>4399</v>
      </c>
      <c r="B2876" s="542" t="s">
        <v>5382</v>
      </c>
      <c r="C2876" s="542"/>
      <c r="D2876" s="542"/>
      <c r="E2876" s="542"/>
      <c r="F2876" s="543"/>
      <c r="G2876" s="124" t="s">
        <v>50</v>
      </c>
      <c r="H2876" s="125">
        <f>SUM(H2863:H2875)</f>
        <v>745.68000000000006</v>
      </c>
      <c r="I2876" s="125">
        <f>SUM(I2863:I2875)</f>
        <v>2104</v>
      </c>
      <c r="J2876" s="126">
        <f>SUM(J2863:J2875)</f>
        <v>0</v>
      </c>
    </row>
    <row r="2877" spans="1:17" ht="15" x14ac:dyDescent="0.25">
      <c r="A2877" s="127" t="s">
        <v>4400</v>
      </c>
      <c r="B2877" s="128"/>
      <c r="C2877" s="128"/>
      <c r="D2877" s="127" t="s">
        <v>51</v>
      </c>
      <c r="E2877" s="128"/>
      <c r="F2877" s="129"/>
      <c r="G2877" s="130" t="s">
        <v>55</v>
      </c>
      <c r="H2877" s="131" t="s">
        <v>52</v>
      </c>
      <c r="I2877" s="132"/>
      <c r="J2877" s="125">
        <f>SUM(H2876:J2876)</f>
        <v>2849.6800000000003</v>
      </c>
    </row>
    <row r="2878" spans="1:17" ht="15" x14ac:dyDescent="0.25">
      <c r="A2878" s="313" t="str">
        <f>$I$3</f>
        <v>Carlos Wieck</v>
      </c>
      <c r="B2878" s="133"/>
      <c r="C2878" s="133"/>
      <c r="D2878" s="134"/>
      <c r="E2878" s="133"/>
      <c r="F2878" s="135"/>
      <c r="G2878" s="522">
        <f>$J$5</f>
        <v>43040</v>
      </c>
      <c r="H2878" s="136" t="s">
        <v>53</v>
      </c>
      <c r="I2878" s="137"/>
      <c r="J2878" s="125">
        <f>TRUNC(I2878*J2877,2)</f>
        <v>0</v>
      </c>
    </row>
    <row r="2879" spans="1:17" ht="15" x14ac:dyDescent="0.25">
      <c r="A2879" s="314"/>
      <c r="B2879" s="139"/>
      <c r="C2879" s="139"/>
      <c r="D2879" s="138"/>
      <c r="E2879" s="139"/>
      <c r="F2879" s="140"/>
      <c r="G2879" s="523"/>
      <c r="H2879" s="141" t="s">
        <v>54</v>
      </c>
      <c r="I2879" s="142"/>
      <c r="J2879" s="143">
        <f>J2878+J2877</f>
        <v>2849.6800000000003</v>
      </c>
      <c r="L2879" s="102" t="str">
        <f>A2860</f>
        <v>COMPOSIÇÃO</v>
      </c>
      <c r="M2879" s="144" t="str">
        <f>B2860</f>
        <v>FF-124</v>
      </c>
      <c r="N2879" s="102" t="str">
        <f>L2879&amp;M2879</f>
        <v>COMPOSIÇÃOFF-124</v>
      </c>
      <c r="O2879" s="103" t="str">
        <f>D2859</f>
        <v>Fornecimento e instalação de aparelho ar condicionado Split Hi Wall 9.000BTU/h</v>
      </c>
      <c r="P2879" s="145" t="str">
        <f>J2860</f>
        <v>un</v>
      </c>
      <c r="Q2879" s="145">
        <f>J2879</f>
        <v>2849.6800000000003</v>
      </c>
    </row>
    <row r="2880" spans="1:17" ht="15" customHeight="1" x14ac:dyDescent="0.25">
      <c r="A2880" s="524" t="s">
        <v>40</v>
      </c>
      <c r="B2880" s="525"/>
      <c r="C2880" s="104" t="s">
        <v>41</v>
      </c>
      <c r="D2880" s="526" t="str">
        <f>IF(B2881="","",VLOOKUP(B2881,SERVIÇOS!B:E,3,0))</f>
        <v>PM 01-A - Porta lisa com batente de madeira (pinus tratado autoclavado) L=124,5cm H=240cm e painel fixo de madeira L=20cm H=240cm.</v>
      </c>
      <c r="E2880" s="526"/>
      <c r="F2880" s="526"/>
      <c r="G2880" s="526"/>
      <c r="H2880" s="526"/>
      <c r="I2880" s="527"/>
      <c r="J2880" s="105" t="s">
        <v>42</v>
      </c>
    </row>
    <row r="2881" spans="1:11" ht="15" x14ac:dyDescent="0.25">
      <c r="A2881" s="230" t="s">
        <v>4715</v>
      </c>
      <c r="B2881" s="230" t="s">
        <v>5390</v>
      </c>
      <c r="C2881" s="106"/>
      <c r="D2881" s="528"/>
      <c r="E2881" s="528"/>
      <c r="F2881" s="528"/>
      <c r="G2881" s="528"/>
      <c r="H2881" s="528"/>
      <c r="I2881" s="529"/>
      <c r="J2881" s="107" t="str">
        <f>IF(B2881="","",VLOOKUP(B2881,SERVIÇOS!B:E,4,0))</f>
        <v>un</v>
      </c>
    </row>
    <row r="2882" spans="1:11" ht="15" x14ac:dyDescent="0.25">
      <c r="A2882" s="530" t="s">
        <v>4397</v>
      </c>
      <c r="B2882" s="531" t="s">
        <v>11</v>
      </c>
      <c r="C2882" s="533" t="s">
        <v>43</v>
      </c>
      <c r="D2882" s="534"/>
      <c r="E2882" s="530" t="s">
        <v>13</v>
      </c>
      <c r="F2882" s="530" t="s">
        <v>44</v>
      </c>
      <c r="G2882" s="538" t="s">
        <v>45</v>
      </c>
      <c r="H2882" s="108" t="s">
        <v>46</v>
      </c>
      <c r="I2882" s="108"/>
      <c r="J2882" s="108"/>
    </row>
    <row r="2883" spans="1:11" ht="15" x14ac:dyDescent="0.25">
      <c r="A2883" s="530"/>
      <c r="B2883" s="532"/>
      <c r="C2883" s="535"/>
      <c r="D2883" s="536"/>
      <c r="E2883" s="537"/>
      <c r="F2883" s="537"/>
      <c r="G2883" s="539"/>
      <c r="H2883" s="108" t="s">
        <v>47</v>
      </c>
      <c r="I2883" s="108" t="s">
        <v>48</v>
      </c>
      <c r="J2883" s="108" t="s">
        <v>49</v>
      </c>
    </row>
    <row r="2884" spans="1:11" ht="30" customHeight="1" x14ac:dyDescent="0.25">
      <c r="A2884" s="109" t="s">
        <v>4717</v>
      </c>
      <c r="B2884" s="116" t="s">
        <v>4990</v>
      </c>
      <c r="C2884" s="540" t="str">
        <f>IF(A2884&amp;B2884="","",VLOOKUP(A2884&amp;B2884,INSUMOS!C:G,2,0))</f>
        <v>PM 01-A - Porta lisa com batente de madeira (pinus tratado autoclavado) L=124,5cm H=240cm e painel fixo de madeira L=20cm H=240cm.</v>
      </c>
      <c r="D2884" s="541"/>
      <c r="E2884" s="111" t="str">
        <f>IF(A2884&amp;B2884="","",VLOOKUP(A2884&amp;B2884,INSUMOS!C:G,3,0))</f>
        <v>un</v>
      </c>
      <c r="F2884" s="112">
        <v>1</v>
      </c>
      <c r="G2884" s="113">
        <f>IF(A2884&amp;B2884="","",VLOOKUP(A2884&amp;B2884,INSUMOS!C:G,4,0))</f>
        <v>4282.2283800000005</v>
      </c>
      <c r="H2884" s="114" t="str">
        <f>IF(K2884="MO",TRUNC(F2884*G2884,2),"")</f>
        <v/>
      </c>
      <c r="I2884" s="114">
        <f>IF(K2884="MT",TRUNC(F2884*G2884,2),"")</f>
        <v>4282.22</v>
      </c>
      <c r="J2884" s="115" t="str">
        <f>IF(K2884="EQ",TRUNC(F2884*G2884,2),"")</f>
        <v/>
      </c>
      <c r="K2884" s="102" t="str">
        <f>IF(A2884&amp;B2884="","",VLOOKUP(A2884&amp;B2884,INSUMOS!C:G,5,0))</f>
        <v>MT</v>
      </c>
    </row>
    <row r="2885" spans="1:11" ht="15" x14ac:dyDescent="0.25">
      <c r="A2885" s="109"/>
      <c r="B2885" s="116"/>
      <c r="C2885" s="518" t="str">
        <f>IF(A2885&amp;B2885="","",VLOOKUP(A2885&amp;B2885,INSUMOS!C:G,2,0))</f>
        <v/>
      </c>
      <c r="D2885" s="519"/>
      <c r="E2885" s="117" t="str">
        <f>IF(A2885&amp;B2885="","",VLOOKUP(A2885&amp;B2885,INSUMOS!C:G,3,0))</f>
        <v/>
      </c>
      <c r="F2885" s="118"/>
      <c r="G2885" s="113" t="str">
        <f>IF(A2885&amp;B2885="","",VLOOKUP(A2885&amp;B2885,INSUMOS!C:G,4,0))</f>
        <v/>
      </c>
      <c r="H2885" s="119" t="str">
        <f t="shared" ref="H2885:H2896" si="477">IF(K2885="MO",TRUNC(F2885*G2885,2),"")</f>
        <v/>
      </c>
      <c r="I2885" s="119" t="str">
        <f t="shared" ref="I2885:I2896" si="478">IF(K2885="MT",TRUNC(F2885*G2885,2),"")</f>
        <v/>
      </c>
      <c r="J2885" s="115" t="str">
        <f t="shared" ref="J2885:J2896" si="479">IF(K2885="EQ",TRUNC(F2885*G2885,2),"")</f>
        <v/>
      </c>
      <c r="K2885" s="102" t="str">
        <f>IF(A2885&amp;B2885="","",VLOOKUP(A2885&amp;B2885,INSUMOS!C:G,5,0))</f>
        <v/>
      </c>
    </row>
    <row r="2886" spans="1:11" ht="15" x14ac:dyDescent="0.25">
      <c r="A2886" s="109"/>
      <c r="B2886" s="116"/>
      <c r="C2886" s="518" t="str">
        <f>IF(A2886&amp;B2886="","",VLOOKUP(A2886&amp;B2886,INSUMOS!C:G,2,0))</f>
        <v/>
      </c>
      <c r="D2886" s="519"/>
      <c r="E2886" s="117" t="str">
        <f>IF(A2886&amp;B2886="","",VLOOKUP(A2886&amp;B2886,INSUMOS!C:G,3,0))</f>
        <v/>
      </c>
      <c r="F2886" s="118"/>
      <c r="G2886" s="113" t="str">
        <f>IF(A2886&amp;B2886="","",VLOOKUP(A2886&amp;B2886,INSUMOS!C:G,4,0))</f>
        <v/>
      </c>
      <c r="H2886" s="119" t="str">
        <f t="shared" si="477"/>
        <v/>
      </c>
      <c r="I2886" s="119" t="str">
        <f t="shared" si="478"/>
        <v/>
      </c>
      <c r="J2886" s="115" t="str">
        <f t="shared" si="479"/>
        <v/>
      </c>
      <c r="K2886" s="102" t="str">
        <f>IF(A2886&amp;B2886="","",VLOOKUP(A2886&amp;B2886,INSUMOS!C:G,5,0))</f>
        <v/>
      </c>
    </row>
    <row r="2887" spans="1:11" ht="15" x14ac:dyDescent="0.25">
      <c r="A2887" s="109"/>
      <c r="B2887" s="116"/>
      <c r="C2887" s="518" t="str">
        <f>IF(A2887&amp;B2887="","",VLOOKUP(A2887&amp;B2887,INSUMOS!C:G,2,0))</f>
        <v/>
      </c>
      <c r="D2887" s="519"/>
      <c r="E2887" s="117" t="str">
        <f>IF(A2887&amp;B2887="","",VLOOKUP(A2887&amp;B2887,INSUMOS!C:G,3,0))</f>
        <v/>
      </c>
      <c r="F2887" s="118"/>
      <c r="G2887" s="113" t="str">
        <f>IF(A2887&amp;B2887="","",VLOOKUP(A2887&amp;B2887,INSUMOS!C:G,4,0))</f>
        <v/>
      </c>
      <c r="H2887" s="119" t="str">
        <f t="shared" si="477"/>
        <v/>
      </c>
      <c r="I2887" s="119" t="str">
        <f t="shared" si="478"/>
        <v/>
      </c>
      <c r="J2887" s="115" t="str">
        <f t="shared" si="479"/>
        <v/>
      </c>
      <c r="K2887" s="102" t="str">
        <f>IF(A2887&amp;B2887="","",VLOOKUP(A2887&amp;B2887,INSUMOS!C:G,5,0))</f>
        <v/>
      </c>
    </row>
    <row r="2888" spans="1:11" ht="15" x14ac:dyDescent="0.25">
      <c r="A2888" s="109"/>
      <c r="B2888" s="116"/>
      <c r="C2888" s="518" t="str">
        <f>IF(A2888&amp;B2888="","",VLOOKUP(A2888&amp;B2888,INSUMOS!C:G,2,0))</f>
        <v/>
      </c>
      <c r="D2888" s="519"/>
      <c r="E2888" s="117" t="str">
        <f>IF(A2888&amp;B2888="","",VLOOKUP(A2888&amp;B2888,INSUMOS!C:G,3,0))</f>
        <v/>
      </c>
      <c r="F2888" s="118"/>
      <c r="G2888" s="113" t="str">
        <f>IF(A2888&amp;B2888="","",VLOOKUP(A2888&amp;B2888,INSUMOS!C:G,4,0))</f>
        <v/>
      </c>
      <c r="H2888" s="119" t="str">
        <f t="shared" si="477"/>
        <v/>
      </c>
      <c r="I2888" s="119" t="str">
        <f t="shared" si="478"/>
        <v/>
      </c>
      <c r="J2888" s="115" t="str">
        <f t="shared" si="479"/>
        <v/>
      </c>
      <c r="K2888" s="102" t="str">
        <f>IF(A2888&amp;B2888="","",VLOOKUP(A2888&amp;B2888,INSUMOS!C:G,5,0))</f>
        <v/>
      </c>
    </row>
    <row r="2889" spans="1:11" ht="15" x14ac:dyDescent="0.25">
      <c r="A2889" s="109"/>
      <c r="B2889" s="116"/>
      <c r="C2889" s="518" t="str">
        <f>IF(A2889&amp;B2889="","",VLOOKUP(A2889&amp;B2889,INSUMOS!C:G,2,0))</f>
        <v/>
      </c>
      <c r="D2889" s="519"/>
      <c r="E2889" s="117" t="str">
        <f>IF(A2889&amp;B2889="","",VLOOKUP(A2889&amp;B2889,INSUMOS!C:G,3,0))</f>
        <v/>
      </c>
      <c r="F2889" s="118"/>
      <c r="G2889" s="113" t="str">
        <f>IF(A2889&amp;B2889="","",VLOOKUP(A2889&amp;B2889,INSUMOS!C:G,4,0))</f>
        <v/>
      </c>
      <c r="H2889" s="119" t="str">
        <f t="shared" si="477"/>
        <v/>
      </c>
      <c r="I2889" s="119" t="str">
        <f t="shared" si="478"/>
        <v/>
      </c>
      <c r="J2889" s="115" t="str">
        <f t="shared" si="479"/>
        <v/>
      </c>
      <c r="K2889" s="102" t="str">
        <f>IF(A2889&amp;B2889="","",VLOOKUP(A2889&amp;B2889,INSUMOS!C:G,5,0))</f>
        <v/>
      </c>
    </row>
    <row r="2890" spans="1:11" ht="15" x14ac:dyDescent="0.25">
      <c r="A2890" s="109"/>
      <c r="B2890" s="116"/>
      <c r="C2890" s="518" t="str">
        <f>IF(A2890&amp;B2890="","",VLOOKUP(A2890&amp;B2890,INSUMOS!C:G,2,0))</f>
        <v/>
      </c>
      <c r="D2890" s="519"/>
      <c r="E2890" s="117" t="str">
        <f>IF(A2890&amp;B2890="","",VLOOKUP(A2890&amp;B2890,INSUMOS!C:G,3,0))</f>
        <v/>
      </c>
      <c r="F2890" s="118"/>
      <c r="G2890" s="113" t="str">
        <f>IF(A2890&amp;B2890="","",VLOOKUP(A2890&amp;B2890,INSUMOS!C:G,4,0))</f>
        <v/>
      </c>
      <c r="H2890" s="119" t="str">
        <f t="shared" si="477"/>
        <v/>
      </c>
      <c r="I2890" s="119" t="str">
        <f t="shared" si="478"/>
        <v/>
      </c>
      <c r="J2890" s="115" t="str">
        <f t="shared" si="479"/>
        <v/>
      </c>
      <c r="K2890" s="102" t="str">
        <f>IF(A2890&amp;B2890="","",VLOOKUP(A2890&amp;B2890,INSUMOS!C:G,5,0))</f>
        <v/>
      </c>
    </row>
    <row r="2891" spans="1:11" ht="15" x14ac:dyDescent="0.25">
      <c r="A2891" s="109"/>
      <c r="B2891" s="116"/>
      <c r="C2891" s="518" t="str">
        <f>IF(A2891&amp;B2891="","",VLOOKUP(A2891&amp;B2891,INSUMOS!C:G,2,0))</f>
        <v/>
      </c>
      <c r="D2891" s="519"/>
      <c r="E2891" s="117" t="str">
        <f>IF(A2891&amp;B2891="","",VLOOKUP(A2891&amp;B2891,INSUMOS!C:G,3,0))</f>
        <v/>
      </c>
      <c r="F2891" s="118"/>
      <c r="G2891" s="113" t="str">
        <f>IF(A2891&amp;B2891="","",VLOOKUP(A2891&amp;B2891,INSUMOS!C:G,4,0))</f>
        <v/>
      </c>
      <c r="H2891" s="119" t="str">
        <f t="shared" si="477"/>
        <v/>
      </c>
      <c r="I2891" s="119" t="str">
        <f t="shared" si="478"/>
        <v/>
      </c>
      <c r="J2891" s="115" t="str">
        <f t="shared" si="479"/>
        <v/>
      </c>
      <c r="K2891" s="102" t="str">
        <f>IF(A2891&amp;B2891="","",VLOOKUP(A2891&amp;B2891,INSUMOS!C:G,5,0))</f>
        <v/>
      </c>
    </row>
    <row r="2892" spans="1:11" ht="15" x14ac:dyDescent="0.25">
      <c r="A2892" s="109"/>
      <c r="B2892" s="116"/>
      <c r="C2892" s="518" t="str">
        <f>IF(A2892&amp;B2892="","",VLOOKUP(A2892&amp;B2892,INSUMOS!C:G,2,0))</f>
        <v/>
      </c>
      <c r="D2892" s="519"/>
      <c r="E2892" s="117" t="str">
        <f>IF(A2892&amp;B2892="","",VLOOKUP(A2892&amp;B2892,INSUMOS!C:G,3,0))</f>
        <v/>
      </c>
      <c r="F2892" s="118"/>
      <c r="G2892" s="113" t="str">
        <f>IF(A2892&amp;B2892="","",VLOOKUP(A2892&amp;B2892,INSUMOS!C:G,4,0))</f>
        <v/>
      </c>
      <c r="H2892" s="119" t="str">
        <f t="shared" si="477"/>
        <v/>
      </c>
      <c r="I2892" s="119" t="str">
        <f t="shared" si="478"/>
        <v/>
      </c>
      <c r="J2892" s="115" t="str">
        <f t="shared" si="479"/>
        <v/>
      </c>
      <c r="K2892" s="102" t="str">
        <f>IF(A2892&amp;B2892="","",VLOOKUP(A2892&amp;B2892,INSUMOS!C:G,5,0))</f>
        <v/>
      </c>
    </row>
    <row r="2893" spans="1:11" ht="15" x14ac:dyDescent="0.25">
      <c r="A2893" s="109"/>
      <c r="B2893" s="116"/>
      <c r="C2893" s="518" t="str">
        <f>IF(A2893&amp;B2893="","",VLOOKUP(A2893&amp;B2893,INSUMOS!C:G,2,0))</f>
        <v/>
      </c>
      <c r="D2893" s="519"/>
      <c r="E2893" s="117" t="str">
        <f>IF(A2893&amp;B2893="","",VLOOKUP(A2893&amp;B2893,INSUMOS!C:G,3,0))</f>
        <v/>
      </c>
      <c r="F2893" s="118"/>
      <c r="G2893" s="113" t="str">
        <f>IF(A2893&amp;B2893="","",VLOOKUP(A2893&amp;B2893,INSUMOS!C:G,4,0))</f>
        <v/>
      </c>
      <c r="H2893" s="119" t="str">
        <f t="shared" si="477"/>
        <v/>
      </c>
      <c r="I2893" s="119" t="str">
        <f t="shared" si="478"/>
        <v/>
      </c>
      <c r="J2893" s="115" t="str">
        <f t="shared" si="479"/>
        <v/>
      </c>
      <c r="K2893" s="102" t="str">
        <f>IF(A2893&amp;B2893="","",VLOOKUP(A2893&amp;B2893,INSUMOS!C:G,5,0))</f>
        <v/>
      </c>
    </row>
    <row r="2894" spans="1:11" ht="15" x14ac:dyDescent="0.25">
      <c r="A2894" s="120"/>
      <c r="B2894" s="121"/>
      <c r="C2894" s="518" t="str">
        <f>IF(A2894&amp;B2894="","",VLOOKUP(A2894&amp;B2894,INSUMOS!C:G,2,0))</f>
        <v/>
      </c>
      <c r="D2894" s="519"/>
      <c r="E2894" s="117" t="str">
        <f>IF(A2894&amp;B2894="","",VLOOKUP(A2894&amp;B2894,INSUMOS!C:G,3,0))</f>
        <v/>
      </c>
      <c r="F2894" s="118"/>
      <c r="G2894" s="122" t="str">
        <f>IF(A2894&amp;B2894="","",VLOOKUP(A2894&amp;B2894,INSUMOS!C:G,4,0))</f>
        <v/>
      </c>
      <c r="H2894" s="119" t="str">
        <f t="shared" si="477"/>
        <v/>
      </c>
      <c r="I2894" s="119" t="str">
        <f t="shared" si="478"/>
        <v/>
      </c>
      <c r="J2894" s="115" t="str">
        <f t="shared" si="479"/>
        <v/>
      </c>
      <c r="K2894" s="102" t="str">
        <f>IF(A2894&amp;B2894="","",VLOOKUP(A2894&amp;B2894,INSUMOS!C:G,5,0))</f>
        <v/>
      </c>
    </row>
    <row r="2895" spans="1:11" ht="15" x14ac:dyDescent="0.25">
      <c r="A2895" s="120"/>
      <c r="B2895" s="121"/>
      <c r="C2895" s="518" t="str">
        <f>IF(A2895&amp;B2895="","",VLOOKUP(A2895&amp;B2895,INSUMOS!C:G,2,0))</f>
        <v/>
      </c>
      <c r="D2895" s="519"/>
      <c r="E2895" s="117" t="str">
        <f>IF(A2895&amp;B2895="","",VLOOKUP(A2895&amp;B2895,INSUMOS!C:G,3,0))</f>
        <v/>
      </c>
      <c r="F2895" s="118"/>
      <c r="G2895" s="122" t="str">
        <f>IF(A2895&amp;B2895="","",VLOOKUP(A2895&amp;B2895,INSUMOS!C:G,4,0))</f>
        <v/>
      </c>
      <c r="H2895" s="119" t="str">
        <f t="shared" si="477"/>
        <v/>
      </c>
      <c r="I2895" s="119" t="str">
        <f t="shared" si="478"/>
        <v/>
      </c>
      <c r="J2895" s="115" t="str">
        <f t="shared" si="479"/>
        <v/>
      </c>
      <c r="K2895" s="102" t="str">
        <f>IF(A2895&amp;B2895="","",VLOOKUP(A2895&amp;B2895,INSUMOS!C:G,5,0))</f>
        <v/>
      </c>
    </row>
    <row r="2896" spans="1:11" ht="15" x14ac:dyDescent="0.25">
      <c r="A2896" s="120"/>
      <c r="B2896" s="121"/>
      <c r="C2896" s="518" t="str">
        <f>IF(A2896&amp;B2896="","",VLOOKUP(A2896&amp;B2896,INSUMOS!C:G,2,0))</f>
        <v/>
      </c>
      <c r="D2896" s="519"/>
      <c r="E2896" s="117" t="str">
        <f>IF(A2896&amp;B2896="","",VLOOKUP(A2896&amp;B2896,INSUMOS!C:G,3,0))</f>
        <v/>
      </c>
      <c r="F2896" s="118"/>
      <c r="G2896" s="122" t="str">
        <f>IF(A2896&amp;B2896="","",VLOOKUP(A2896&amp;B2896,INSUMOS!C:G,4,0))</f>
        <v/>
      </c>
      <c r="H2896" s="119" t="str">
        <f t="shared" si="477"/>
        <v/>
      </c>
      <c r="I2896" s="119" t="str">
        <f t="shared" si="478"/>
        <v/>
      </c>
      <c r="J2896" s="115" t="str">
        <f t="shared" si="479"/>
        <v/>
      </c>
      <c r="K2896" s="102" t="str">
        <f>IF(A2896&amp;B2896="","",VLOOKUP(A2896&amp;B2896,INSUMOS!C:G,5,0))</f>
        <v/>
      </c>
    </row>
    <row r="2897" spans="1:17" ht="15" x14ac:dyDescent="0.25">
      <c r="A2897" s="123" t="s">
        <v>4399</v>
      </c>
      <c r="B2897" s="542"/>
      <c r="C2897" s="542"/>
      <c r="D2897" s="542"/>
      <c r="E2897" s="542"/>
      <c r="F2897" s="543"/>
      <c r="G2897" s="124" t="s">
        <v>50</v>
      </c>
      <c r="H2897" s="125">
        <f>SUM(H2884:H2896)</f>
        <v>0</v>
      </c>
      <c r="I2897" s="125">
        <f>SUM(I2884:I2896)</f>
        <v>4282.22</v>
      </c>
      <c r="J2897" s="126">
        <f>SUM(J2884:J2896)</f>
        <v>0</v>
      </c>
    </row>
    <row r="2898" spans="1:17" ht="15" x14ac:dyDescent="0.25">
      <c r="A2898" s="127" t="s">
        <v>4400</v>
      </c>
      <c r="B2898" s="128"/>
      <c r="C2898" s="128"/>
      <c r="D2898" s="127" t="s">
        <v>51</v>
      </c>
      <c r="E2898" s="128"/>
      <c r="F2898" s="129"/>
      <c r="G2898" s="130" t="s">
        <v>55</v>
      </c>
      <c r="H2898" s="131" t="s">
        <v>52</v>
      </c>
      <c r="I2898" s="132"/>
      <c r="J2898" s="125">
        <f>SUM(H2897:J2897)</f>
        <v>4282.22</v>
      </c>
    </row>
    <row r="2899" spans="1:17" ht="15" x14ac:dyDescent="0.25">
      <c r="A2899" s="313" t="str">
        <f>$I$3</f>
        <v>Carlos Wieck</v>
      </c>
      <c r="B2899" s="133"/>
      <c r="C2899" s="133"/>
      <c r="D2899" s="134"/>
      <c r="E2899" s="133"/>
      <c r="F2899" s="135"/>
      <c r="G2899" s="522">
        <f>$J$5</f>
        <v>43040</v>
      </c>
      <c r="H2899" s="136" t="s">
        <v>53</v>
      </c>
      <c r="I2899" s="137"/>
      <c r="J2899" s="125">
        <f>TRUNC(I2899*J2898,2)</f>
        <v>0</v>
      </c>
    </row>
    <row r="2900" spans="1:17" ht="15" x14ac:dyDescent="0.25">
      <c r="A2900" s="314"/>
      <c r="B2900" s="139"/>
      <c r="C2900" s="139"/>
      <c r="D2900" s="138"/>
      <c r="E2900" s="139"/>
      <c r="F2900" s="140"/>
      <c r="G2900" s="523"/>
      <c r="H2900" s="141" t="s">
        <v>54</v>
      </c>
      <c r="I2900" s="142"/>
      <c r="J2900" s="143">
        <f>J2899+J2898</f>
        <v>4282.22</v>
      </c>
      <c r="L2900" s="102" t="str">
        <f>A2881</f>
        <v>COMPOSIÇÃO</v>
      </c>
      <c r="M2900" s="144" t="str">
        <f>B2881</f>
        <v>FF-125</v>
      </c>
      <c r="N2900" s="102" t="str">
        <f>L2900&amp;M2900</f>
        <v>COMPOSIÇÃOFF-125</v>
      </c>
      <c r="O2900" s="103" t="str">
        <f>D2880</f>
        <v>PM 01-A - Porta lisa com batente de madeira (pinus tratado autoclavado) L=124,5cm H=240cm e painel fixo de madeira L=20cm H=240cm.</v>
      </c>
      <c r="P2900" s="145" t="str">
        <f>J2881</f>
        <v>un</v>
      </c>
      <c r="Q2900" s="145">
        <f>J2900</f>
        <v>4282.22</v>
      </c>
    </row>
    <row r="2901" spans="1:17" ht="15" customHeight="1" x14ac:dyDescent="0.25">
      <c r="A2901" s="524" t="s">
        <v>40</v>
      </c>
      <c r="B2901" s="525"/>
      <c r="C2901" s="104" t="s">
        <v>41</v>
      </c>
      <c r="D2901" s="526" t="str">
        <f>IF(B2902="","",VLOOKUP(B2902,SERVIÇOS!B:E,3,0))</f>
        <v>PM 01-B - Porta lisa com batente de madeira (pinus tratado autoclavado) L=124,5cm H=240cm e painel fixo de madeira L=20cm H=240cm.</v>
      </c>
      <c r="E2901" s="526"/>
      <c r="F2901" s="526"/>
      <c r="G2901" s="526"/>
      <c r="H2901" s="526"/>
      <c r="I2901" s="527"/>
      <c r="J2901" s="105" t="s">
        <v>42</v>
      </c>
    </row>
    <row r="2902" spans="1:17" ht="15" x14ac:dyDescent="0.25">
      <c r="A2902" s="230" t="s">
        <v>4715</v>
      </c>
      <c r="B2902" s="230" t="s">
        <v>5397</v>
      </c>
      <c r="C2902" s="106"/>
      <c r="D2902" s="528"/>
      <c r="E2902" s="528"/>
      <c r="F2902" s="528"/>
      <c r="G2902" s="528"/>
      <c r="H2902" s="528"/>
      <c r="I2902" s="529"/>
      <c r="J2902" s="107" t="str">
        <f>IF(B2902="","",VLOOKUP(B2902,SERVIÇOS!B:E,4,0))</f>
        <v>un</v>
      </c>
    </row>
    <row r="2903" spans="1:17" ht="15" x14ac:dyDescent="0.25">
      <c r="A2903" s="530" t="s">
        <v>4397</v>
      </c>
      <c r="B2903" s="531" t="s">
        <v>11</v>
      </c>
      <c r="C2903" s="533" t="s">
        <v>43</v>
      </c>
      <c r="D2903" s="534"/>
      <c r="E2903" s="530" t="s">
        <v>13</v>
      </c>
      <c r="F2903" s="530" t="s">
        <v>44</v>
      </c>
      <c r="G2903" s="538" t="s">
        <v>45</v>
      </c>
      <c r="H2903" s="108" t="s">
        <v>46</v>
      </c>
      <c r="I2903" s="108"/>
      <c r="J2903" s="108"/>
    </row>
    <row r="2904" spans="1:17" ht="15" x14ac:dyDescent="0.25">
      <c r="A2904" s="530"/>
      <c r="B2904" s="532"/>
      <c r="C2904" s="535"/>
      <c r="D2904" s="536"/>
      <c r="E2904" s="537"/>
      <c r="F2904" s="537"/>
      <c r="G2904" s="539"/>
      <c r="H2904" s="108" t="s">
        <v>47</v>
      </c>
      <c r="I2904" s="108" t="s">
        <v>48</v>
      </c>
      <c r="J2904" s="108" t="s">
        <v>49</v>
      </c>
    </row>
    <row r="2905" spans="1:17" ht="30" customHeight="1" x14ac:dyDescent="0.25">
      <c r="A2905" s="109" t="s">
        <v>4717</v>
      </c>
      <c r="B2905" s="116" t="s">
        <v>4991</v>
      </c>
      <c r="C2905" s="540" t="str">
        <f>IF(A2905&amp;B2905="","",VLOOKUP(A2905&amp;B2905,INSUMOS!C:G,2,0))</f>
        <v>PM 01-B - Porta lisa com batente de madeira (pinus tratado autoclavado) L=124,5cm H=240cm e painel fixo de madeira L=20cm H=240cm.</v>
      </c>
      <c r="D2905" s="541"/>
      <c r="E2905" s="111" t="str">
        <f>IF(A2905&amp;B2905="","",VLOOKUP(A2905&amp;B2905,INSUMOS!C:G,3,0))</f>
        <v>un</v>
      </c>
      <c r="F2905" s="112">
        <v>1</v>
      </c>
      <c r="G2905" s="113">
        <f>IF(A2905&amp;B2905="","",VLOOKUP(A2905&amp;B2905,INSUMOS!C:G,4,0))</f>
        <v>4282.2283800000005</v>
      </c>
      <c r="H2905" s="114" t="str">
        <f>IF(K2905="MO",TRUNC(F2905*G2905,2),"")</f>
        <v/>
      </c>
      <c r="I2905" s="114">
        <f>IF(K2905="MT",TRUNC(F2905*G2905,2),"")</f>
        <v>4282.22</v>
      </c>
      <c r="J2905" s="115" t="str">
        <f>IF(K2905="EQ",TRUNC(F2905*G2905,2),"")</f>
        <v/>
      </c>
      <c r="K2905" s="102" t="str">
        <f>IF(A2905&amp;B2905="","",VLOOKUP(A2905&amp;B2905,INSUMOS!C:G,5,0))</f>
        <v>MT</v>
      </c>
    </row>
    <row r="2906" spans="1:17" ht="15" x14ac:dyDescent="0.25">
      <c r="A2906" s="109"/>
      <c r="B2906" s="116"/>
      <c r="C2906" s="518" t="str">
        <f>IF(A2906&amp;B2906="","",VLOOKUP(A2906&amp;B2906,INSUMOS!C:G,2,0))</f>
        <v/>
      </c>
      <c r="D2906" s="519"/>
      <c r="E2906" s="117" t="str">
        <f>IF(A2906&amp;B2906="","",VLOOKUP(A2906&amp;B2906,INSUMOS!C:G,3,0))</f>
        <v/>
      </c>
      <c r="F2906" s="118"/>
      <c r="G2906" s="113" t="str">
        <f>IF(A2906&amp;B2906="","",VLOOKUP(A2906&amp;B2906,INSUMOS!C:G,4,0))</f>
        <v/>
      </c>
      <c r="H2906" s="119" t="str">
        <f t="shared" ref="H2906:H2917" si="480">IF(K2906="MO",TRUNC(F2906*G2906,2),"")</f>
        <v/>
      </c>
      <c r="I2906" s="119" t="str">
        <f t="shared" ref="I2906:I2917" si="481">IF(K2906="MT",TRUNC(F2906*G2906,2),"")</f>
        <v/>
      </c>
      <c r="J2906" s="115" t="str">
        <f t="shared" ref="J2906:J2917" si="482">IF(K2906="EQ",TRUNC(F2906*G2906,2),"")</f>
        <v/>
      </c>
      <c r="K2906" s="102" t="str">
        <f>IF(A2906&amp;B2906="","",VLOOKUP(A2906&amp;B2906,INSUMOS!C:G,5,0))</f>
        <v/>
      </c>
    </row>
    <row r="2907" spans="1:17" ht="15" x14ac:dyDescent="0.25">
      <c r="A2907" s="109"/>
      <c r="B2907" s="116"/>
      <c r="C2907" s="518" t="str">
        <f>IF(A2907&amp;B2907="","",VLOOKUP(A2907&amp;B2907,INSUMOS!C:G,2,0))</f>
        <v/>
      </c>
      <c r="D2907" s="519"/>
      <c r="E2907" s="117" t="str">
        <f>IF(A2907&amp;B2907="","",VLOOKUP(A2907&amp;B2907,INSUMOS!C:G,3,0))</f>
        <v/>
      </c>
      <c r="F2907" s="118"/>
      <c r="G2907" s="113" t="str">
        <f>IF(A2907&amp;B2907="","",VLOOKUP(A2907&amp;B2907,INSUMOS!C:G,4,0))</f>
        <v/>
      </c>
      <c r="H2907" s="119" t="str">
        <f t="shared" si="480"/>
        <v/>
      </c>
      <c r="I2907" s="119" t="str">
        <f t="shared" si="481"/>
        <v/>
      </c>
      <c r="J2907" s="115" t="str">
        <f t="shared" si="482"/>
        <v/>
      </c>
      <c r="K2907" s="102" t="str">
        <f>IF(A2907&amp;B2907="","",VLOOKUP(A2907&amp;B2907,INSUMOS!C:G,5,0))</f>
        <v/>
      </c>
    </row>
    <row r="2908" spans="1:17" ht="15" x14ac:dyDescent="0.25">
      <c r="A2908" s="109"/>
      <c r="B2908" s="116"/>
      <c r="C2908" s="518" t="str">
        <f>IF(A2908&amp;B2908="","",VLOOKUP(A2908&amp;B2908,INSUMOS!C:G,2,0))</f>
        <v/>
      </c>
      <c r="D2908" s="519"/>
      <c r="E2908" s="117" t="str">
        <f>IF(A2908&amp;B2908="","",VLOOKUP(A2908&amp;B2908,INSUMOS!C:G,3,0))</f>
        <v/>
      </c>
      <c r="F2908" s="118"/>
      <c r="G2908" s="113" t="str">
        <f>IF(A2908&amp;B2908="","",VLOOKUP(A2908&amp;B2908,INSUMOS!C:G,4,0))</f>
        <v/>
      </c>
      <c r="H2908" s="119" t="str">
        <f t="shared" si="480"/>
        <v/>
      </c>
      <c r="I2908" s="119" t="str">
        <f t="shared" si="481"/>
        <v/>
      </c>
      <c r="J2908" s="115" t="str">
        <f t="shared" si="482"/>
        <v/>
      </c>
      <c r="K2908" s="102" t="str">
        <f>IF(A2908&amp;B2908="","",VLOOKUP(A2908&amp;B2908,INSUMOS!C:G,5,0))</f>
        <v/>
      </c>
    </row>
    <row r="2909" spans="1:17" ht="15" x14ac:dyDescent="0.25">
      <c r="A2909" s="109"/>
      <c r="B2909" s="116"/>
      <c r="C2909" s="518" t="str">
        <f>IF(A2909&amp;B2909="","",VLOOKUP(A2909&amp;B2909,INSUMOS!C:G,2,0))</f>
        <v/>
      </c>
      <c r="D2909" s="519"/>
      <c r="E2909" s="117" t="str">
        <f>IF(A2909&amp;B2909="","",VLOOKUP(A2909&amp;B2909,INSUMOS!C:G,3,0))</f>
        <v/>
      </c>
      <c r="F2909" s="118"/>
      <c r="G2909" s="113" t="str">
        <f>IF(A2909&amp;B2909="","",VLOOKUP(A2909&amp;B2909,INSUMOS!C:G,4,0))</f>
        <v/>
      </c>
      <c r="H2909" s="119" t="str">
        <f t="shared" si="480"/>
        <v/>
      </c>
      <c r="I2909" s="119" t="str">
        <f t="shared" si="481"/>
        <v/>
      </c>
      <c r="J2909" s="115" t="str">
        <f t="shared" si="482"/>
        <v/>
      </c>
      <c r="K2909" s="102" t="str">
        <f>IF(A2909&amp;B2909="","",VLOOKUP(A2909&amp;B2909,INSUMOS!C:G,5,0))</f>
        <v/>
      </c>
    </row>
    <row r="2910" spans="1:17" ht="15" x14ac:dyDescent="0.25">
      <c r="A2910" s="109"/>
      <c r="B2910" s="116"/>
      <c r="C2910" s="518" t="str">
        <f>IF(A2910&amp;B2910="","",VLOOKUP(A2910&amp;B2910,INSUMOS!C:G,2,0))</f>
        <v/>
      </c>
      <c r="D2910" s="519"/>
      <c r="E2910" s="117" t="str">
        <f>IF(A2910&amp;B2910="","",VLOOKUP(A2910&amp;B2910,INSUMOS!C:G,3,0))</f>
        <v/>
      </c>
      <c r="F2910" s="118"/>
      <c r="G2910" s="113" t="str">
        <f>IF(A2910&amp;B2910="","",VLOOKUP(A2910&amp;B2910,INSUMOS!C:G,4,0))</f>
        <v/>
      </c>
      <c r="H2910" s="119" t="str">
        <f t="shared" si="480"/>
        <v/>
      </c>
      <c r="I2910" s="119" t="str">
        <f t="shared" si="481"/>
        <v/>
      </c>
      <c r="J2910" s="115" t="str">
        <f t="shared" si="482"/>
        <v/>
      </c>
      <c r="K2910" s="102" t="str">
        <f>IF(A2910&amp;B2910="","",VLOOKUP(A2910&amp;B2910,INSUMOS!C:G,5,0))</f>
        <v/>
      </c>
    </row>
    <row r="2911" spans="1:17" ht="15" x14ac:dyDescent="0.25">
      <c r="A2911" s="109"/>
      <c r="B2911" s="116"/>
      <c r="C2911" s="518" t="str">
        <f>IF(A2911&amp;B2911="","",VLOOKUP(A2911&amp;B2911,INSUMOS!C:G,2,0))</f>
        <v/>
      </c>
      <c r="D2911" s="519"/>
      <c r="E2911" s="117" t="str">
        <f>IF(A2911&amp;B2911="","",VLOOKUP(A2911&amp;B2911,INSUMOS!C:G,3,0))</f>
        <v/>
      </c>
      <c r="F2911" s="118"/>
      <c r="G2911" s="113" t="str">
        <f>IF(A2911&amp;B2911="","",VLOOKUP(A2911&amp;B2911,INSUMOS!C:G,4,0))</f>
        <v/>
      </c>
      <c r="H2911" s="119" t="str">
        <f t="shared" si="480"/>
        <v/>
      </c>
      <c r="I2911" s="119" t="str">
        <f t="shared" si="481"/>
        <v/>
      </c>
      <c r="J2911" s="115" t="str">
        <f t="shared" si="482"/>
        <v/>
      </c>
      <c r="K2911" s="102" t="str">
        <f>IF(A2911&amp;B2911="","",VLOOKUP(A2911&amp;B2911,INSUMOS!C:G,5,0))</f>
        <v/>
      </c>
    </row>
    <row r="2912" spans="1:17" ht="15" x14ac:dyDescent="0.25">
      <c r="A2912" s="109"/>
      <c r="B2912" s="116"/>
      <c r="C2912" s="518" t="str">
        <f>IF(A2912&amp;B2912="","",VLOOKUP(A2912&amp;B2912,INSUMOS!C:G,2,0))</f>
        <v/>
      </c>
      <c r="D2912" s="519"/>
      <c r="E2912" s="117" t="str">
        <f>IF(A2912&amp;B2912="","",VLOOKUP(A2912&amp;B2912,INSUMOS!C:G,3,0))</f>
        <v/>
      </c>
      <c r="F2912" s="118"/>
      <c r="G2912" s="113" t="str">
        <f>IF(A2912&amp;B2912="","",VLOOKUP(A2912&amp;B2912,INSUMOS!C:G,4,0))</f>
        <v/>
      </c>
      <c r="H2912" s="119" t="str">
        <f t="shared" si="480"/>
        <v/>
      </c>
      <c r="I2912" s="119" t="str">
        <f t="shared" si="481"/>
        <v/>
      </c>
      <c r="J2912" s="115" t="str">
        <f t="shared" si="482"/>
        <v/>
      </c>
      <c r="K2912" s="102" t="str">
        <f>IF(A2912&amp;B2912="","",VLOOKUP(A2912&amp;B2912,INSUMOS!C:G,5,0))</f>
        <v/>
      </c>
    </row>
    <row r="2913" spans="1:17" ht="15" x14ac:dyDescent="0.25">
      <c r="A2913" s="109"/>
      <c r="B2913" s="116"/>
      <c r="C2913" s="518" t="str">
        <f>IF(A2913&amp;B2913="","",VLOOKUP(A2913&amp;B2913,INSUMOS!C:G,2,0))</f>
        <v/>
      </c>
      <c r="D2913" s="519"/>
      <c r="E2913" s="117" t="str">
        <f>IF(A2913&amp;B2913="","",VLOOKUP(A2913&amp;B2913,INSUMOS!C:G,3,0))</f>
        <v/>
      </c>
      <c r="F2913" s="118"/>
      <c r="G2913" s="113" t="str">
        <f>IF(A2913&amp;B2913="","",VLOOKUP(A2913&amp;B2913,INSUMOS!C:G,4,0))</f>
        <v/>
      </c>
      <c r="H2913" s="119" t="str">
        <f t="shared" si="480"/>
        <v/>
      </c>
      <c r="I2913" s="119" t="str">
        <f t="shared" si="481"/>
        <v/>
      </c>
      <c r="J2913" s="115" t="str">
        <f t="shared" si="482"/>
        <v/>
      </c>
      <c r="K2913" s="102" t="str">
        <f>IF(A2913&amp;B2913="","",VLOOKUP(A2913&amp;B2913,INSUMOS!C:G,5,0))</f>
        <v/>
      </c>
    </row>
    <row r="2914" spans="1:17" ht="15" x14ac:dyDescent="0.25">
      <c r="A2914" s="109"/>
      <c r="B2914" s="116"/>
      <c r="C2914" s="518" t="str">
        <f>IF(A2914&amp;B2914="","",VLOOKUP(A2914&amp;B2914,INSUMOS!C:G,2,0))</f>
        <v/>
      </c>
      <c r="D2914" s="519"/>
      <c r="E2914" s="117" t="str">
        <f>IF(A2914&amp;B2914="","",VLOOKUP(A2914&amp;B2914,INSUMOS!C:G,3,0))</f>
        <v/>
      </c>
      <c r="F2914" s="118"/>
      <c r="G2914" s="113" t="str">
        <f>IF(A2914&amp;B2914="","",VLOOKUP(A2914&amp;B2914,INSUMOS!C:G,4,0))</f>
        <v/>
      </c>
      <c r="H2914" s="119" t="str">
        <f t="shared" si="480"/>
        <v/>
      </c>
      <c r="I2914" s="119" t="str">
        <f t="shared" si="481"/>
        <v/>
      </c>
      <c r="J2914" s="115" t="str">
        <f t="shared" si="482"/>
        <v/>
      </c>
      <c r="K2914" s="102" t="str">
        <f>IF(A2914&amp;B2914="","",VLOOKUP(A2914&amp;B2914,INSUMOS!C:G,5,0))</f>
        <v/>
      </c>
    </row>
    <row r="2915" spans="1:17" ht="15" x14ac:dyDescent="0.25">
      <c r="A2915" s="120"/>
      <c r="B2915" s="121"/>
      <c r="C2915" s="518" t="str">
        <f>IF(A2915&amp;B2915="","",VLOOKUP(A2915&amp;B2915,INSUMOS!C:G,2,0))</f>
        <v/>
      </c>
      <c r="D2915" s="519"/>
      <c r="E2915" s="117" t="str">
        <f>IF(A2915&amp;B2915="","",VLOOKUP(A2915&amp;B2915,INSUMOS!C:G,3,0))</f>
        <v/>
      </c>
      <c r="F2915" s="118"/>
      <c r="G2915" s="122" t="str">
        <f>IF(A2915&amp;B2915="","",VLOOKUP(A2915&amp;B2915,INSUMOS!C:G,4,0))</f>
        <v/>
      </c>
      <c r="H2915" s="119" t="str">
        <f t="shared" si="480"/>
        <v/>
      </c>
      <c r="I2915" s="119" t="str">
        <f t="shared" si="481"/>
        <v/>
      </c>
      <c r="J2915" s="115" t="str">
        <f t="shared" si="482"/>
        <v/>
      </c>
      <c r="K2915" s="102" t="str">
        <f>IF(A2915&amp;B2915="","",VLOOKUP(A2915&amp;B2915,INSUMOS!C:G,5,0))</f>
        <v/>
      </c>
    </row>
    <row r="2916" spans="1:17" ht="15" x14ac:dyDescent="0.25">
      <c r="A2916" s="120"/>
      <c r="B2916" s="121"/>
      <c r="C2916" s="518" t="str">
        <f>IF(A2916&amp;B2916="","",VLOOKUP(A2916&amp;B2916,INSUMOS!C:G,2,0))</f>
        <v/>
      </c>
      <c r="D2916" s="519"/>
      <c r="E2916" s="117" t="str">
        <f>IF(A2916&amp;B2916="","",VLOOKUP(A2916&amp;B2916,INSUMOS!C:G,3,0))</f>
        <v/>
      </c>
      <c r="F2916" s="118"/>
      <c r="G2916" s="122" t="str">
        <f>IF(A2916&amp;B2916="","",VLOOKUP(A2916&amp;B2916,INSUMOS!C:G,4,0))</f>
        <v/>
      </c>
      <c r="H2916" s="119" t="str">
        <f t="shared" si="480"/>
        <v/>
      </c>
      <c r="I2916" s="119" t="str">
        <f t="shared" si="481"/>
        <v/>
      </c>
      <c r="J2916" s="115" t="str">
        <f t="shared" si="482"/>
        <v/>
      </c>
      <c r="K2916" s="102" t="str">
        <f>IF(A2916&amp;B2916="","",VLOOKUP(A2916&amp;B2916,INSUMOS!C:G,5,0))</f>
        <v/>
      </c>
    </row>
    <row r="2917" spans="1:17" ht="15" x14ac:dyDescent="0.25">
      <c r="A2917" s="120"/>
      <c r="B2917" s="121"/>
      <c r="C2917" s="518" t="str">
        <f>IF(A2917&amp;B2917="","",VLOOKUP(A2917&amp;B2917,INSUMOS!C:G,2,0))</f>
        <v/>
      </c>
      <c r="D2917" s="519"/>
      <c r="E2917" s="117" t="str">
        <f>IF(A2917&amp;B2917="","",VLOOKUP(A2917&amp;B2917,INSUMOS!C:G,3,0))</f>
        <v/>
      </c>
      <c r="F2917" s="118"/>
      <c r="G2917" s="122" t="str">
        <f>IF(A2917&amp;B2917="","",VLOOKUP(A2917&amp;B2917,INSUMOS!C:G,4,0))</f>
        <v/>
      </c>
      <c r="H2917" s="119" t="str">
        <f t="shared" si="480"/>
        <v/>
      </c>
      <c r="I2917" s="119" t="str">
        <f t="shared" si="481"/>
        <v/>
      </c>
      <c r="J2917" s="115" t="str">
        <f t="shared" si="482"/>
        <v/>
      </c>
      <c r="K2917" s="102" t="str">
        <f>IF(A2917&amp;B2917="","",VLOOKUP(A2917&amp;B2917,INSUMOS!C:G,5,0))</f>
        <v/>
      </c>
    </row>
    <row r="2918" spans="1:17" ht="15" x14ac:dyDescent="0.25">
      <c r="A2918" s="123" t="s">
        <v>4399</v>
      </c>
      <c r="B2918" s="542"/>
      <c r="C2918" s="542"/>
      <c r="D2918" s="542"/>
      <c r="E2918" s="542"/>
      <c r="F2918" s="543"/>
      <c r="G2918" s="124" t="s">
        <v>50</v>
      </c>
      <c r="H2918" s="125">
        <f>SUM(H2905:H2917)</f>
        <v>0</v>
      </c>
      <c r="I2918" s="125">
        <f>SUM(I2905:I2917)</f>
        <v>4282.22</v>
      </c>
      <c r="J2918" s="126">
        <f>SUM(J2905:J2917)</f>
        <v>0</v>
      </c>
    </row>
    <row r="2919" spans="1:17" ht="15" x14ac:dyDescent="0.25">
      <c r="A2919" s="127" t="s">
        <v>4400</v>
      </c>
      <c r="B2919" s="128"/>
      <c r="C2919" s="128"/>
      <c r="D2919" s="127" t="s">
        <v>51</v>
      </c>
      <c r="E2919" s="128"/>
      <c r="F2919" s="129"/>
      <c r="G2919" s="130" t="s">
        <v>55</v>
      </c>
      <c r="H2919" s="131" t="s">
        <v>52</v>
      </c>
      <c r="I2919" s="132"/>
      <c r="J2919" s="125">
        <f>SUM(H2918:J2918)</f>
        <v>4282.22</v>
      </c>
    </row>
    <row r="2920" spans="1:17" ht="15" x14ac:dyDescent="0.25">
      <c r="A2920" s="313" t="str">
        <f>$I$3</f>
        <v>Carlos Wieck</v>
      </c>
      <c r="B2920" s="133"/>
      <c r="C2920" s="133"/>
      <c r="D2920" s="134"/>
      <c r="E2920" s="133"/>
      <c r="F2920" s="135"/>
      <c r="G2920" s="522">
        <f>$J$5</f>
        <v>43040</v>
      </c>
      <c r="H2920" s="136" t="s">
        <v>53</v>
      </c>
      <c r="I2920" s="137"/>
      <c r="J2920" s="125">
        <f>TRUNC(I2920*J2919,2)</f>
        <v>0</v>
      </c>
    </row>
    <row r="2921" spans="1:17" ht="15" x14ac:dyDescent="0.25">
      <c r="A2921" s="314"/>
      <c r="B2921" s="139"/>
      <c r="C2921" s="139"/>
      <c r="D2921" s="138"/>
      <c r="E2921" s="139"/>
      <c r="F2921" s="140"/>
      <c r="G2921" s="523"/>
      <c r="H2921" s="141" t="s">
        <v>54</v>
      </c>
      <c r="I2921" s="142"/>
      <c r="J2921" s="143">
        <f>J2920+J2919</f>
        <v>4282.22</v>
      </c>
      <c r="L2921" s="102" t="str">
        <f>A2902</f>
        <v>COMPOSIÇÃO</v>
      </c>
      <c r="M2921" s="144" t="str">
        <f>B2902</f>
        <v>FF-126</v>
      </c>
      <c r="N2921" s="102" t="str">
        <f>L2921&amp;M2921</f>
        <v>COMPOSIÇÃOFF-126</v>
      </c>
      <c r="O2921" s="103" t="str">
        <f>D2901</f>
        <v>PM 01-B - Porta lisa com batente de madeira (pinus tratado autoclavado) L=124,5cm H=240cm e painel fixo de madeira L=20cm H=240cm.</v>
      </c>
      <c r="P2921" s="145" t="str">
        <f>J2902</f>
        <v>un</v>
      </c>
      <c r="Q2921" s="145">
        <f>J2921</f>
        <v>4282.22</v>
      </c>
    </row>
    <row r="2922" spans="1:17" ht="15" customHeight="1" x14ac:dyDescent="0.25">
      <c r="A2922" s="524" t="s">
        <v>40</v>
      </c>
      <c r="B2922" s="525"/>
      <c r="C2922" s="104" t="s">
        <v>41</v>
      </c>
      <c r="D2922" s="526" t="str">
        <f>IF(B2923="","",VLOOKUP(B2923,SERVIÇOS!B:E,3,0))</f>
        <v>PM 02 - Porta lisa com batente de madeira (pinus tratado autoclavado) L=124,5cm H=240cm e painel fixo de madeira L=20cm H=240cm.</v>
      </c>
      <c r="E2922" s="526"/>
      <c r="F2922" s="526"/>
      <c r="G2922" s="526"/>
      <c r="H2922" s="526"/>
      <c r="I2922" s="527"/>
      <c r="J2922" s="105" t="s">
        <v>42</v>
      </c>
    </row>
    <row r="2923" spans="1:17" ht="15" x14ac:dyDescent="0.25">
      <c r="A2923" s="230" t="s">
        <v>4715</v>
      </c>
      <c r="B2923" s="230" t="s">
        <v>5398</v>
      </c>
      <c r="C2923" s="106"/>
      <c r="D2923" s="528"/>
      <c r="E2923" s="528"/>
      <c r="F2923" s="528"/>
      <c r="G2923" s="528"/>
      <c r="H2923" s="528"/>
      <c r="I2923" s="529"/>
      <c r="J2923" s="107" t="str">
        <f>IF(B2923="","",VLOOKUP(B2923,SERVIÇOS!B:E,4,0))</f>
        <v>un</v>
      </c>
    </row>
    <row r="2924" spans="1:17" ht="15" x14ac:dyDescent="0.25">
      <c r="A2924" s="530" t="s">
        <v>4397</v>
      </c>
      <c r="B2924" s="531" t="s">
        <v>11</v>
      </c>
      <c r="C2924" s="533" t="s">
        <v>43</v>
      </c>
      <c r="D2924" s="534"/>
      <c r="E2924" s="530" t="s">
        <v>13</v>
      </c>
      <c r="F2924" s="530" t="s">
        <v>44</v>
      </c>
      <c r="G2924" s="538" t="s">
        <v>45</v>
      </c>
      <c r="H2924" s="108" t="s">
        <v>46</v>
      </c>
      <c r="I2924" s="108"/>
      <c r="J2924" s="108"/>
    </row>
    <row r="2925" spans="1:17" ht="15" x14ac:dyDescent="0.25">
      <c r="A2925" s="530"/>
      <c r="B2925" s="532"/>
      <c r="C2925" s="535"/>
      <c r="D2925" s="536"/>
      <c r="E2925" s="537"/>
      <c r="F2925" s="537"/>
      <c r="G2925" s="539"/>
      <c r="H2925" s="108" t="s">
        <v>47</v>
      </c>
      <c r="I2925" s="108" t="s">
        <v>48</v>
      </c>
      <c r="J2925" s="108" t="s">
        <v>49</v>
      </c>
    </row>
    <row r="2926" spans="1:17" ht="30" customHeight="1" x14ac:dyDescent="0.25">
      <c r="A2926" s="109" t="s">
        <v>4717</v>
      </c>
      <c r="B2926" s="116" t="s">
        <v>4992</v>
      </c>
      <c r="C2926" s="540" t="str">
        <f>IF(A2926&amp;B2926="","",VLOOKUP(A2926&amp;B2926,INSUMOS!C:G,2,0))</f>
        <v>PM 02 - Porta lisa com batente de madeira (pinus tratado autoclavado) L=124,5cm H=240cm e painel fixo de madeira L=20cm H=240cm.</v>
      </c>
      <c r="D2926" s="541"/>
      <c r="E2926" s="111" t="str">
        <f>IF(A2926&amp;B2926="","",VLOOKUP(A2926&amp;B2926,INSUMOS!C:G,3,0))</f>
        <v>un</v>
      </c>
      <c r="F2926" s="112">
        <v>1</v>
      </c>
      <c r="G2926" s="113">
        <f>IF(A2926&amp;B2926="","",VLOOKUP(A2926&amp;B2926,INSUMOS!C:G,4,0))</f>
        <v>2854.8189200000002</v>
      </c>
      <c r="H2926" s="114" t="str">
        <f>IF(K2926="MO",TRUNC(F2926*G2926,2),"")</f>
        <v/>
      </c>
      <c r="I2926" s="114">
        <f>IF(K2926="MT",TRUNC(F2926*G2926,2),"")</f>
        <v>2854.81</v>
      </c>
      <c r="J2926" s="115" t="str">
        <f>IF(K2926="EQ",TRUNC(F2926*G2926,2),"")</f>
        <v/>
      </c>
      <c r="K2926" s="102" t="str">
        <f>IF(A2926&amp;B2926="","",VLOOKUP(A2926&amp;B2926,INSUMOS!C:G,5,0))</f>
        <v>MT</v>
      </c>
    </row>
    <row r="2927" spans="1:17" ht="15" x14ac:dyDescent="0.25">
      <c r="A2927" s="109"/>
      <c r="B2927" s="116"/>
      <c r="C2927" s="518" t="str">
        <f>IF(A2927&amp;B2927="","",VLOOKUP(A2927&amp;B2927,INSUMOS!C:G,2,0))</f>
        <v/>
      </c>
      <c r="D2927" s="519"/>
      <c r="E2927" s="117" t="str">
        <f>IF(A2927&amp;B2927="","",VLOOKUP(A2927&amp;B2927,INSUMOS!C:G,3,0))</f>
        <v/>
      </c>
      <c r="F2927" s="118"/>
      <c r="G2927" s="113" t="str">
        <f>IF(A2927&amp;B2927="","",VLOOKUP(A2927&amp;B2927,INSUMOS!C:G,4,0))</f>
        <v/>
      </c>
      <c r="H2927" s="119" t="str">
        <f t="shared" ref="H2927:H2938" si="483">IF(K2927="MO",TRUNC(F2927*G2927,2),"")</f>
        <v/>
      </c>
      <c r="I2927" s="119" t="str">
        <f t="shared" ref="I2927:I2938" si="484">IF(K2927="MT",TRUNC(F2927*G2927,2),"")</f>
        <v/>
      </c>
      <c r="J2927" s="115" t="str">
        <f t="shared" ref="J2927:J2938" si="485">IF(K2927="EQ",TRUNC(F2927*G2927,2),"")</f>
        <v/>
      </c>
      <c r="K2927" s="102" t="str">
        <f>IF(A2927&amp;B2927="","",VLOOKUP(A2927&amp;B2927,INSUMOS!C:G,5,0))</f>
        <v/>
      </c>
    </row>
    <row r="2928" spans="1:17" ht="15" x14ac:dyDescent="0.25">
      <c r="A2928" s="109"/>
      <c r="B2928" s="116"/>
      <c r="C2928" s="518" t="str">
        <f>IF(A2928&amp;B2928="","",VLOOKUP(A2928&amp;B2928,INSUMOS!C:G,2,0))</f>
        <v/>
      </c>
      <c r="D2928" s="519"/>
      <c r="E2928" s="117" t="str">
        <f>IF(A2928&amp;B2928="","",VLOOKUP(A2928&amp;B2928,INSUMOS!C:G,3,0))</f>
        <v/>
      </c>
      <c r="F2928" s="118"/>
      <c r="G2928" s="113" t="str">
        <f>IF(A2928&amp;B2928="","",VLOOKUP(A2928&amp;B2928,INSUMOS!C:G,4,0))</f>
        <v/>
      </c>
      <c r="H2928" s="119" t="str">
        <f t="shared" si="483"/>
        <v/>
      </c>
      <c r="I2928" s="119" t="str">
        <f t="shared" si="484"/>
        <v/>
      </c>
      <c r="J2928" s="115" t="str">
        <f t="shared" si="485"/>
        <v/>
      </c>
      <c r="K2928" s="102" t="str">
        <f>IF(A2928&amp;B2928="","",VLOOKUP(A2928&amp;B2928,INSUMOS!C:G,5,0))</f>
        <v/>
      </c>
    </row>
    <row r="2929" spans="1:17" ht="15" x14ac:dyDescent="0.25">
      <c r="A2929" s="109"/>
      <c r="B2929" s="116"/>
      <c r="C2929" s="518" t="str">
        <f>IF(A2929&amp;B2929="","",VLOOKUP(A2929&amp;B2929,INSUMOS!C:G,2,0))</f>
        <v/>
      </c>
      <c r="D2929" s="519"/>
      <c r="E2929" s="117" t="str">
        <f>IF(A2929&amp;B2929="","",VLOOKUP(A2929&amp;B2929,INSUMOS!C:G,3,0))</f>
        <v/>
      </c>
      <c r="F2929" s="118"/>
      <c r="G2929" s="113" t="str">
        <f>IF(A2929&amp;B2929="","",VLOOKUP(A2929&amp;B2929,INSUMOS!C:G,4,0))</f>
        <v/>
      </c>
      <c r="H2929" s="119" t="str">
        <f t="shared" si="483"/>
        <v/>
      </c>
      <c r="I2929" s="119" t="str">
        <f t="shared" si="484"/>
        <v/>
      </c>
      <c r="J2929" s="115" t="str">
        <f t="shared" si="485"/>
        <v/>
      </c>
      <c r="K2929" s="102" t="str">
        <f>IF(A2929&amp;B2929="","",VLOOKUP(A2929&amp;B2929,INSUMOS!C:G,5,0))</f>
        <v/>
      </c>
    </row>
    <row r="2930" spans="1:17" ht="15" x14ac:dyDescent="0.25">
      <c r="A2930" s="109"/>
      <c r="B2930" s="116"/>
      <c r="C2930" s="518" t="str">
        <f>IF(A2930&amp;B2930="","",VLOOKUP(A2930&amp;B2930,INSUMOS!C:G,2,0))</f>
        <v/>
      </c>
      <c r="D2930" s="519"/>
      <c r="E2930" s="117" t="str">
        <f>IF(A2930&amp;B2930="","",VLOOKUP(A2930&amp;B2930,INSUMOS!C:G,3,0))</f>
        <v/>
      </c>
      <c r="F2930" s="118"/>
      <c r="G2930" s="113" t="str">
        <f>IF(A2930&amp;B2930="","",VLOOKUP(A2930&amp;B2930,INSUMOS!C:G,4,0))</f>
        <v/>
      </c>
      <c r="H2930" s="119" t="str">
        <f t="shared" si="483"/>
        <v/>
      </c>
      <c r="I2930" s="119" t="str">
        <f t="shared" si="484"/>
        <v/>
      </c>
      <c r="J2930" s="115" t="str">
        <f t="shared" si="485"/>
        <v/>
      </c>
      <c r="K2930" s="102" t="str">
        <f>IF(A2930&amp;B2930="","",VLOOKUP(A2930&amp;B2930,INSUMOS!C:G,5,0))</f>
        <v/>
      </c>
    </row>
    <row r="2931" spans="1:17" ht="15" x14ac:dyDescent="0.25">
      <c r="A2931" s="109"/>
      <c r="B2931" s="116"/>
      <c r="C2931" s="518" t="str">
        <f>IF(A2931&amp;B2931="","",VLOOKUP(A2931&amp;B2931,INSUMOS!C:G,2,0))</f>
        <v/>
      </c>
      <c r="D2931" s="519"/>
      <c r="E2931" s="117" t="str">
        <f>IF(A2931&amp;B2931="","",VLOOKUP(A2931&amp;B2931,INSUMOS!C:G,3,0))</f>
        <v/>
      </c>
      <c r="F2931" s="118"/>
      <c r="G2931" s="113" t="str">
        <f>IF(A2931&amp;B2931="","",VLOOKUP(A2931&amp;B2931,INSUMOS!C:G,4,0))</f>
        <v/>
      </c>
      <c r="H2931" s="119" t="str">
        <f t="shared" si="483"/>
        <v/>
      </c>
      <c r="I2931" s="119" t="str">
        <f t="shared" si="484"/>
        <v/>
      </c>
      <c r="J2931" s="115" t="str">
        <f t="shared" si="485"/>
        <v/>
      </c>
      <c r="K2931" s="102" t="str">
        <f>IF(A2931&amp;B2931="","",VLOOKUP(A2931&amp;B2931,INSUMOS!C:G,5,0))</f>
        <v/>
      </c>
    </row>
    <row r="2932" spans="1:17" ht="15" x14ac:dyDescent="0.25">
      <c r="A2932" s="109"/>
      <c r="B2932" s="116"/>
      <c r="C2932" s="518" t="str">
        <f>IF(A2932&amp;B2932="","",VLOOKUP(A2932&amp;B2932,INSUMOS!C:G,2,0))</f>
        <v/>
      </c>
      <c r="D2932" s="519"/>
      <c r="E2932" s="117" t="str">
        <f>IF(A2932&amp;B2932="","",VLOOKUP(A2932&amp;B2932,INSUMOS!C:G,3,0))</f>
        <v/>
      </c>
      <c r="F2932" s="118"/>
      <c r="G2932" s="113" t="str">
        <f>IF(A2932&amp;B2932="","",VLOOKUP(A2932&amp;B2932,INSUMOS!C:G,4,0))</f>
        <v/>
      </c>
      <c r="H2932" s="119" t="str">
        <f t="shared" si="483"/>
        <v/>
      </c>
      <c r="I2932" s="119" t="str">
        <f t="shared" si="484"/>
        <v/>
      </c>
      <c r="J2932" s="115" t="str">
        <f t="shared" si="485"/>
        <v/>
      </c>
      <c r="K2932" s="102" t="str">
        <f>IF(A2932&amp;B2932="","",VLOOKUP(A2932&amp;B2932,INSUMOS!C:G,5,0))</f>
        <v/>
      </c>
    </row>
    <row r="2933" spans="1:17" ht="15" x14ac:dyDescent="0.25">
      <c r="A2933" s="109"/>
      <c r="B2933" s="116"/>
      <c r="C2933" s="518" t="str">
        <f>IF(A2933&amp;B2933="","",VLOOKUP(A2933&amp;B2933,INSUMOS!C:G,2,0))</f>
        <v/>
      </c>
      <c r="D2933" s="519"/>
      <c r="E2933" s="117" t="str">
        <f>IF(A2933&amp;B2933="","",VLOOKUP(A2933&amp;B2933,INSUMOS!C:G,3,0))</f>
        <v/>
      </c>
      <c r="F2933" s="118"/>
      <c r="G2933" s="113" t="str">
        <f>IF(A2933&amp;B2933="","",VLOOKUP(A2933&amp;B2933,INSUMOS!C:G,4,0))</f>
        <v/>
      </c>
      <c r="H2933" s="119" t="str">
        <f t="shared" si="483"/>
        <v/>
      </c>
      <c r="I2933" s="119" t="str">
        <f t="shared" si="484"/>
        <v/>
      </c>
      <c r="J2933" s="115" t="str">
        <f t="shared" si="485"/>
        <v/>
      </c>
      <c r="K2933" s="102" t="str">
        <f>IF(A2933&amp;B2933="","",VLOOKUP(A2933&amp;B2933,INSUMOS!C:G,5,0))</f>
        <v/>
      </c>
    </row>
    <row r="2934" spans="1:17" ht="15" x14ac:dyDescent="0.25">
      <c r="A2934" s="109"/>
      <c r="B2934" s="116"/>
      <c r="C2934" s="518" t="str">
        <f>IF(A2934&amp;B2934="","",VLOOKUP(A2934&amp;B2934,INSUMOS!C:G,2,0))</f>
        <v/>
      </c>
      <c r="D2934" s="519"/>
      <c r="E2934" s="117" t="str">
        <f>IF(A2934&amp;B2934="","",VLOOKUP(A2934&amp;B2934,INSUMOS!C:G,3,0))</f>
        <v/>
      </c>
      <c r="F2934" s="118"/>
      <c r="G2934" s="113" t="str">
        <f>IF(A2934&amp;B2934="","",VLOOKUP(A2934&amp;B2934,INSUMOS!C:G,4,0))</f>
        <v/>
      </c>
      <c r="H2934" s="119" t="str">
        <f t="shared" si="483"/>
        <v/>
      </c>
      <c r="I2934" s="119" t="str">
        <f t="shared" si="484"/>
        <v/>
      </c>
      <c r="J2934" s="115" t="str">
        <f t="shared" si="485"/>
        <v/>
      </c>
      <c r="K2934" s="102" t="str">
        <f>IF(A2934&amp;B2934="","",VLOOKUP(A2934&amp;B2934,INSUMOS!C:G,5,0))</f>
        <v/>
      </c>
    </row>
    <row r="2935" spans="1:17" ht="15" x14ac:dyDescent="0.25">
      <c r="A2935" s="109"/>
      <c r="B2935" s="116"/>
      <c r="C2935" s="518" t="str">
        <f>IF(A2935&amp;B2935="","",VLOOKUP(A2935&amp;B2935,INSUMOS!C:G,2,0))</f>
        <v/>
      </c>
      <c r="D2935" s="519"/>
      <c r="E2935" s="117" t="str">
        <f>IF(A2935&amp;B2935="","",VLOOKUP(A2935&amp;B2935,INSUMOS!C:G,3,0))</f>
        <v/>
      </c>
      <c r="F2935" s="118"/>
      <c r="G2935" s="113" t="str">
        <f>IF(A2935&amp;B2935="","",VLOOKUP(A2935&amp;B2935,INSUMOS!C:G,4,0))</f>
        <v/>
      </c>
      <c r="H2935" s="119" t="str">
        <f t="shared" si="483"/>
        <v/>
      </c>
      <c r="I2935" s="119" t="str">
        <f t="shared" si="484"/>
        <v/>
      </c>
      <c r="J2935" s="115" t="str">
        <f t="shared" si="485"/>
        <v/>
      </c>
      <c r="K2935" s="102" t="str">
        <f>IF(A2935&amp;B2935="","",VLOOKUP(A2935&amp;B2935,INSUMOS!C:G,5,0))</f>
        <v/>
      </c>
    </row>
    <row r="2936" spans="1:17" ht="15" x14ac:dyDescent="0.25">
      <c r="A2936" s="120"/>
      <c r="B2936" s="121"/>
      <c r="C2936" s="518" t="str">
        <f>IF(A2936&amp;B2936="","",VLOOKUP(A2936&amp;B2936,INSUMOS!C:G,2,0))</f>
        <v/>
      </c>
      <c r="D2936" s="519"/>
      <c r="E2936" s="117" t="str">
        <f>IF(A2936&amp;B2936="","",VLOOKUP(A2936&amp;B2936,INSUMOS!C:G,3,0))</f>
        <v/>
      </c>
      <c r="F2936" s="118"/>
      <c r="G2936" s="122" t="str">
        <f>IF(A2936&amp;B2936="","",VLOOKUP(A2936&amp;B2936,INSUMOS!C:G,4,0))</f>
        <v/>
      </c>
      <c r="H2936" s="119" t="str">
        <f t="shared" si="483"/>
        <v/>
      </c>
      <c r="I2936" s="119" t="str">
        <f t="shared" si="484"/>
        <v/>
      </c>
      <c r="J2936" s="115" t="str">
        <f t="shared" si="485"/>
        <v/>
      </c>
      <c r="K2936" s="102" t="str">
        <f>IF(A2936&amp;B2936="","",VLOOKUP(A2936&amp;B2936,INSUMOS!C:G,5,0))</f>
        <v/>
      </c>
    </row>
    <row r="2937" spans="1:17" ht="15" x14ac:dyDescent="0.25">
      <c r="A2937" s="120"/>
      <c r="B2937" s="121"/>
      <c r="C2937" s="518" t="str">
        <f>IF(A2937&amp;B2937="","",VLOOKUP(A2937&amp;B2937,INSUMOS!C:G,2,0))</f>
        <v/>
      </c>
      <c r="D2937" s="519"/>
      <c r="E2937" s="117" t="str">
        <f>IF(A2937&amp;B2937="","",VLOOKUP(A2937&amp;B2937,INSUMOS!C:G,3,0))</f>
        <v/>
      </c>
      <c r="F2937" s="118"/>
      <c r="G2937" s="122" t="str">
        <f>IF(A2937&amp;B2937="","",VLOOKUP(A2937&amp;B2937,INSUMOS!C:G,4,0))</f>
        <v/>
      </c>
      <c r="H2937" s="119" t="str">
        <f t="shared" si="483"/>
        <v/>
      </c>
      <c r="I2937" s="119" t="str">
        <f t="shared" si="484"/>
        <v/>
      </c>
      <c r="J2937" s="115" t="str">
        <f t="shared" si="485"/>
        <v/>
      </c>
      <c r="K2937" s="102" t="str">
        <f>IF(A2937&amp;B2937="","",VLOOKUP(A2937&amp;B2937,INSUMOS!C:G,5,0))</f>
        <v/>
      </c>
    </row>
    <row r="2938" spans="1:17" ht="15" x14ac:dyDescent="0.25">
      <c r="A2938" s="120"/>
      <c r="B2938" s="121"/>
      <c r="C2938" s="518" t="str">
        <f>IF(A2938&amp;B2938="","",VLOOKUP(A2938&amp;B2938,INSUMOS!C:G,2,0))</f>
        <v/>
      </c>
      <c r="D2938" s="519"/>
      <c r="E2938" s="117" t="str">
        <f>IF(A2938&amp;B2938="","",VLOOKUP(A2938&amp;B2938,INSUMOS!C:G,3,0))</f>
        <v/>
      </c>
      <c r="F2938" s="118"/>
      <c r="G2938" s="122" t="str">
        <f>IF(A2938&amp;B2938="","",VLOOKUP(A2938&amp;B2938,INSUMOS!C:G,4,0))</f>
        <v/>
      </c>
      <c r="H2938" s="119" t="str">
        <f t="shared" si="483"/>
        <v/>
      </c>
      <c r="I2938" s="119" t="str">
        <f t="shared" si="484"/>
        <v/>
      </c>
      <c r="J2938" s="115" t="str">
        <f t="shared" si="485"/>
        <v/>
      </c>
      <c r="K2938" s="102" t="str">
        <f>IF(A2938&amp;B2938="","",VLOOKUP(A2938&amp;B2938,INSUMOS!C:G,5,0))</f>
        <v/>
      </c>
    </row>
    <row r="2939" spans="1:17" ht="15" x14ac:dyDescent="0.25">
      <c r="A2939" s="123" t="s">
        <v>4399</v>
      </c>
      <c r="B2939" s="542"/>
      <c r="C2939" s="542"/>
      <c r="D2939" s="542"/>
      <c r="E2939" s="542"/>
      <c r="F2939" s="543"/>
      <c r="G2939" s="124" t="s">
        <v>50</v>
      </c>
      <c r="H2939" s="125">
        <f>SUM(H2926:H2938)</f>
        <v>0</v>
      </c>
      <c r="I2939" s="125">
        <f>SUM(I2926:I2938)</f>
        <v>2854.81</v>
      </c>
      <c r="J2939" s="126">
        <f>SUM(J2926:J2938)</f>
        <v>0</v>
      </c>
    </row>
    <row r="2940" spans="1:17" ht="15" x14ac:dyDescent="0.25">
      <c r="A2940" s="127" t="s">
        <v>4400</v>
      </c>
      <c r="B2940" s="128"/>
      <c r="C2940" s="128"/>
      <c r="D2940" s="127" t="s">
        <v>51</v>
      </c>
      <c r="E2940" s="128"/>
      <c r="F2940" s="129"/>
      <c r="G2940" s="130" t="s">
        <v>55</v>
      </c>
      <c r="H2940" s="131" t="s">
        <v>52</v>
      </c>
      <c r="I2940" s="132"/>
      <c r="J2940" s="125">
        <f>SUM(H2939:J2939)</f>
        <v>2854.81</v>
      </c>
    </row>
    <row r="2941" spans="1:17" ht="15" x14ac:dyDescent="0.25">
      <c r="A2941" s="313" t="str">
        <f>$I$3</f>
        <v>Carlos Wieck</v>
      </c>
      <c r="B2941" s="133"/>
      <c r="C2941" s="133"/>
      <c r="D2941" s="134"/>
      <c r="E2941" s="133"/>
      <c r="F2941" s="135"/>
      <c r="G2941" s="522">
        <f>$J$5</f>
        <v>43040</v>
      </c>
      <c r="H2941" s="136" t="s">
        <v>53</v>
      </c>
      <c r="I2941" s="137"/>
      <c r="J2941" s="125">
        <f>TRUNC(I2941*J2940,2)</f>
        <v>0</v>
      </c>
    </row>
    <row r="2942" spans="1:17" ht="15" x14ac:dyDescent="0.25">
      <c r="A2942" s="314"/>
      <c r="B2942" s="139"/>
      <c r="C2942" s="139"/>
      <c r="D2942" s="138"/>
      <c r="E2942" s="139"/>
      <c r="F2942" s="140"/>
      <c r="G2942" s="523"/>
      <c r="H2942" s="141" t="s">
        <v>54</v>
      </c>
      <c r="I2942" s="142"/>
      <c r="J2942" s="143">
        <f>J2941+J2940</f>
        <v>2854.81</v>
      </c>
      <c r="L2942" s="102" t="str">
        <f>A2923</f>
        <v>COMPOSIÇÃO</v>
      </c>
      <c r="M2942" s="144" t="str">
        <f>B2923</f>
        <v>FF-127</v>
      </c>
      <c r="N2942" s="102" t="str">
        <f>L2942&amp;M2942</f>
        <v>COMPOSIÇÃOFF-127</v>
      </c>
      <c r="O2942" s="103" t="str">
        <f>D2922</f>
        <v>PM 02 - Porta lisa com batente de madeira (pinus tratado autoclavado) L=124,5cm H=240cm e painel fixo de madeira L=20cm H=240cm.</v>
      </c>
      <c r="P2942" s="145" t="str">
        <f>J2923</f>
        <v>un</v>
      </c>
      <c r="Q2942" s="145">
        <f>J2942</f>
        <v>2854.81</v>
      </c>
    </row>
    <row r="2943" spans="1:17" ht="15" customHeight="1" x14ac:dyDescent="0.25">
      <c r="A2943" s="524" t="s">
        <v>40</v>
      </c>
      <c r="B2943" s="525"/>
      <c r="C2943" s="104" t="s">
        <v>41</v>
      </c>
      <c r="D2943" s="526" t="str">
        <f>IF(B2944="","",VLOOKUP(B2944,SERVIÇOS!B:E,3,0))</f>
        <v>PM 02-B - Porta veneziana com batente de madeira  (pinus tratado autoclavado) L=73cm H=210 + 32cm de bandeira</v>
      </c>
      <c r="E2943" s="526"/>
      <c r="F2943" s="526"/>
      <c r="G2943" s="526"/>
      <c r="H2943" s="526"/>
      <c r="I2943" s="527"/>
      <c r="J2943" s="105" t="s">
        <v>42</v>
      </c>
    </row>
    <row r="2944" spans="1:17" ht="15" x14ac:dyDescent="0.25">
      <c r="A2944" s="230" t="s">
        <v>4715</v>
      </c>
      <c r="B2944" s="230" t="s">
        <v>5399</v>
      </c>
      <c r="C2944" s="106"/>
      <c r="D2944" s="528"/>
      <c r="E2944" s="528"/>
      <c r="F2944" s="528"/>
      <c r="G2944" s="528"/>
      <c r="H2944" s="528"/>
      <c r="I2944" s="529"/>
      <c r="J2944" s="107" t="str">
        <f>IF(B2944="","",VLOOKUP(B2944,SERVIÇOS!B:E,4,0))</f>
        <v>un</v>
      </c>
    </row>
    <row r="2945" spans="1:11" ht="15" x14ac:dyDescent="0.25">
      <c r="A2945" s="530" t="s">
        <v>4397</v>
      </c>
      <c r="B2945" s="531" t="s">
        <v>11</v>
      </c>
      <c r="C2945" s="533" t="s">
        <v>43</v>
      </c>
      <c r="D2945" s="534"/>
      <c r="E2945" s="530" t="s">
        <v>13</v>
      </c>
      <c r="F2945" s="530" t="s">
        <v>44</v>
      </c>
      <c r="G2945" s="538" t="s">
        <v>45</v>
      </c>
      <c r="H2945" s="108" t="s">
        <v>46</v>
      </c>
      <c r="I2945" s="108"/>
      <c r="J2945" s="108"/>
    </row>
    <row r="2946" spans="1:11" ht="15" x14ac:dyDescent="0.25">
      <c r="A2946" s="530"/>
      <c r="B2946" s="532"/>
      <c r="C2946" s="535"/>
      <c r="D2946" s="536"/>
      <c r="E2946" s="537"/>
      <c r="F2946" s="537"/>
      <c r="G2946" s="539"/>
      <c r="H2946" s="108" t="s">
        <v>47</v>
      </c>
      <c r="I2946" s="108" t="s">
        <v>48</v>
      </c>
      <c r="J2946" s="108" t="s">
        <v>49</v>
      </c>
    </row>
    <row r="2947" spans="1:11" ht="30" customHeight="1" x14ac:dyDescent="0.25">
      <c r="A2947" s="109" t="s">
        <v>4717</v>
      </c>
      <c r="B2947" s="116" t="s">
        <v>4993</v>
      </c>
      <c r="C2947" s="540" t="str">
        <f>IF(A2947&amp;B2947="","",VLOOKUP(A2947&amp;B2947,INSUMOS!C:G,2,0))</f>
        <v>PM 02-B - Porta veneziana com batente de madeira  (pinus tratado autoclavado) L=73cm H=210 + 32cm de bandeira</v>
      </c>
      <c r="D2947" s="541"/>
      <c r="E2947" s="111" t="str">
        <f>IF(A2947&amp;B2947="","",VLOOKUP(A2947&amp;B2947,INSUMOS!C:G,3,0))</f>
        <v>un</v>
      </c>
      <c r="F2947" s="112">
        <v>1</v>
      </c>
      <c r="G2947" s="113">
        <f>IF(A2947&amp;B2947="","",VLOOKUP(A2947&amp;B2947,INSUMOS!C:G,4,0))</f>
        <v>2854.8189200000002</v>
      </c>
      <c r="H2947" s="114" t="str">
        <f>IF(K2947="MO",TRUNC(F2947*G2947,2),"")</f>
        <v/>
      </c>
      <c r="I2947" s="114">
        <f>IF(K2947="MT",TRUNC(F2947*G2947,2),"")</f>
        <v>2854.81</v>
      </c>
      <c r="J2947" s="115" t="str">
        <f>IF(K2947="EQ",TRUNC(F2947*G2947,2),"")</f>
        <v/>
      </c>
      <c r="K2947" s="102" t="str">
        <f>IF(A2947&amp;B2947="","",VLOOKUP(A2947&amp;B2947,INSUMOS!C:G,5,0))</f>
        <v>MT</v>
      </c>
    </row>
    <row r="2948" spans="1:11" ht="15" x14ac:dyDescent="0.25">
      <c r="A2948" s="109"/>
      <c r="B2948" s="116"/>
      <c r="C2948" s="518" t="str">
        <f>IF(A2948&amp;B2948="","",VLOOKUP(A2948&amp;B2948,INSUMOS!C:G,2,0))</f>
        <v/>
      </c>
      <c r="D2948" s="519"/>
      <c r="E2948" s="117" t="str">
        <f>IF(A2948&amp;B2948="","",VLOOKUP(A2948&amp;B2948,INSUMOS!C:G,3,0))</f>
        <v/>
      </c>
      <c r="F2948" s="118"/>
      <c r="G2948" s="113" t="str">
        <f>IF(A2948&amp;B2948="","",VLOOKUP(A2948&amp;B2948,INSUMOS!C:G,4,0))</f>
        <v/>
      </c>
      <c r="H2948" s="119" t="str">
        <f t="shared" ref="H2948:H2959" si="486">IF(K2948="MO",TRUNC(F2948*G2948,2),"")</f>
        <v/>
      </c>
      <c r="I2948" s="119" t="str">
        <f t="shared" ref="I2948:I2959" si="487">IF(K2948="MT",TRUNC(F2948*G2948,2),"")</f>
        <v/>
      </c>
      <c r="J2948" s="115" t="str">
        <f t="shared" ref="J2948:J2959" si="488">IF(K2948="EQ",TRUNC(F2948*G2948,2),"")</f>
        <v/>
      </c>
      <c r="K2948" s="102" t="str">
        <f>IF(A2948&amp;B2948="","",VLOOKUP(A2948&amp;B2948,INSUMOS!C:G,5,0))</f>
        <v/>
      </c>
    </row>
    <row r="2949" spans="1:11" ht="15" x14ac:dyDescent="0.25">
      <c r="A2949" s="109"/>
      <c r="B2949" s="116"/>
      <c r="C2949" s="518" t="str">
        <f>IF(A2949&amp;B2949="","",VLOOKUP(A2949&amp;B2949,INSUMOS!C:G,2,0))</f>
        <v/>
      </c>
      <c r="D2949" s="519"/>
      <c r="E2949" s="117" t="str">
        <f>IF(A2949&amp;B2949="","",VLOOKUP(A2949&amp;B2949,INSUMOS!C:G,3,0))</f>
        <v/>
      </c>
      <c r="F2949" s="118"/>
      <c r="G2949" s="113" t="str">
        <f>IF(A2949&amp;B2949="","",VLOOKUP(A2949&amp;B2949,INSUMOS!C:G,4,0))</f>
        <v/>
      </c>
      <c r="H2949" s="119" t="str">
        <f t="shared" si="486"/>
        <v/>
      </c>
      <c r="I2949" s="119" t="str">
        <f t="shared" si="487"/>
        <v/>
      </c>
      <c r="J2949" s="115" t="str">
        <f t="shared" si="488"/>
        <v/>
      </c>
      <c r="K2949" s="102" t="str">
        <f>IF(A2949&amp;B2949="","",VLOOKUP(A2949&amp;B2949,INSUMOS!C:G,5,0))</f>
        <v/>
      </c>
    </row>
    <row r="2950" spans="1:11" ht="15" x14ac:dyDescent="0.25">
      <c r="A2950" s="109"/>
      <c r="B2950" s="116"/>
      <c r="C2950" s="518" t="str">
        <f>IF(A2950&amp;B2950="","",VLOOKUP(A2950&amp;B2950,INSUMOS!C:G,2,0))</f>
        <v/>
      </c>
      <c r="D2950" s="519"/>
      <c r="E2950" s="117" t="str">
        <f>IF(A2950&amp;B2950="","",VLOOKUP(A2950&amp;B2950,INSUMOS!C:G,3,0))</f>
        <v/>
      </c>
      <c r="F2950" s="118"/>
      <c r="G2950" s="113" t="str">
        <f>IF(A2950&amp;B2950="","",VLOOKUP(A2950&amp;B2950,INSUMOS!C:G,4,0))</f>
        <v/>
      </c>
      <c r="H2950" s="119" t="str">
        <f t="shared" si="486"/>
        <v/>
      </c>
      <c r="I2950" s="119" t="str">
        <f t="shared" si="487"/>
        <v/>
      </c>
      <c r="J2950" s="115" t="str">
        <f t="shared" si="488"/>
        <v/>
      </c>
      <c r="K2950" s="102" t="str">
        <f>IF(A2950&amp;B2950="","",VLOOKUP(A2950&amp;B2950,INSUMOS!C:G,5,0))</f>
        <v/>
      </c>
    </row>
    <row r="2951" spans="1:11" ht="15" x14ac:dyDescent="0.25">
      <c r="A2951" s="109"/>
      <c r="B2951" s="116"/>
      <c r="C2951" s="518" t="str">
        <f>IF(A2951&amp;B2951="","",VLOOKUP(A2951&amp;B2951,INSUMOS!C:G,2,0))</f>
        <v/>
      </c>
      <c r="D2951" s="519"/>
      <c r="E2951" s="117" t="str">
        <f>IF(A2951&amp;B2951="","",VLOOKUP(A2951&amp;B2951,INSUMOS!C:G,3,0))</f>
        <v/>
      </c>
      <c r="F2951" s="118"/>
      <c r="G2951" s="113" t="str">
        <f>IF(A2951&amp;B2951="","",VLOOKUP(A2951&amp;B2951,INSUMOS!C:G,4,0))</f>
        <v/>
      </c>
      <c r="H2951" s="119" t="str">
        <f t="shared" si="486"/>
        <v/>
      </c>
      <c r="I2951" s="119" t="str">
        <f t="shared" si="487"/>
        <v/>
      </c>
      <c r="J2951" s="115" t="str">
        <f t="shared" si="488"/>
        <v/>
      </c>
      <c r="K2951" s="102" t="str">
        <f>IF(A2951&amp;B2951="","",VLOOKUP(A2951&amp;B2951,INSUMOS!C:G,5,0))</f>
        <v/>
      </c>
    </row>
    <row r="2952" spans="1:11" ht="15" x14ac:dyDescent="0.25">
      <c r="A2952" s="109"/>
      <c r="B2952" s="116"/>
      <c r="C2952" s="518" t="str">
        <f>IF(A2952&amp;B2952="","",VLOOKUP(A2952&amp;B2952,INSUMOS!C:G,2,0))</f>
        <v/>
      </c>
      <c r="D2952" s="519"/>
      <c r="E2952" s="117" t="str">
        <f>IF(A2952&amp;B2952="","",VLOOKUP(A2952&amp;B2952,INSUMOS!C:G,3,0))</f>
        <v/>
      </c>
      <c r="F2952" s="118"/>
      <c r="G2952" s="113" t="str">
        <f>IF(A2952&amp;B2952="","",VLOOKUP(A2952&amp;B2952,INSUMOS!C:G,4,0))</f>
        <v/>
      </c>
      <c r="H2952" s="119" t="str">
        <f t="shared" si="486"/>
        <v/>
      </c>
      <c r="I2952" s="119" t="str">
        <f t="shared" si="487"/>
        <v/>
      </c>
      <c r="J2952" s="115" t="str">
        <f t="shared" si="488"/>
        <v/>
      </c>
      <c r="K2952" s="102" t="str">
        <f>IF(A2952&amp;B2952="","",VLOOKUP(A2952&amp;B2952,INSUMOS!C:G,5,0))</f>
        <v/>
      </c>
    </row>
    <row r="2953" spans="1:11" ht="15" x14ac:dyDescent="0.25">
      <c r="A2953" s="109"/>
      <c r="B2953" s="116"/>
      <c r="C2953" s="518" t="str">
        <f>IF(A2953&amp;B2953="","",VLOOKUP(A2953&amp;B2953,INSUMOS!C:G,2,0))</f>
        <v/>
      </c>
      <c r="D2953" s="519"/>
      <c r="E2953" s="117" t="str">
        <f>IF(A2953&amp;B2953="","",VLOOKUP(A2953&amp;B2953,INSUMOS!C:G,3,0))</f>
        <v/>
      </c>
      <c r="F2953" s="118"/>
      <c r="G2953" s="113" t="str">
        <f>IF(A2953&amp;B2953="","",VLOOKUP(A2953&amp;B2953,INSUMOS!C:G,4,0))</f>
        <v/>
      </c>
      <c r="H2953" s="119" t="str">
        <f t="shared" si="486"/>
        <v/>
      </c>
      <c r="I2953" s="119" t="str">
        <f t="shared" si="487"/>
        <v/>
      </c>
      <c r="J2953" s="115" t="str">
        <f t="shared" si="488"/>
        <v/>
      </c>
      <c r="K2953" s="102" t="str">
        <f>IF(A2953&amp;B2953="","",VLOOKUP(A2953&amp;B2953,INSUMOS!C:G,5,0))</f>
        <v/>
      </c>
    </row>
    <row r="2954" spans="1:11" ht="15" x14ac:dyDescent="0.25">
      <c r="A2954" s="109"/>
      <c r="B2954" s="116"/>
      <c r="C2954" s="518" t="str">
        <f>IF(A2954&amp;B2954="","",VLOOKUP(A2954&amp;B2954,INSUMOS!C:G,2,0))</f>
        <v/>
      </c>
      <c r="D2954" s="519"/>
      <c r="E2954" s="117" t="str">
        <f>IF(A2954&amp;B2954="","",VLOOKUP(A2954&amp;B2954,INSUMOS!C:G,3,0))</f>
        <v/>
      </c>
      <c r="F2954" s="118"/>
      <c r="G2954" s="113" t="str">
        <f>IF(A2954&amp;B2954="","",VLOOKUP(A2954&amp;B2954,INSUMOS!C:G,4,0))</f>
        <v/>
      </c>
      <c r="H2954" s="119" t="str">
        <f t="shared" si="486"/>
        <v/>
      </c>
      <c r="I2954" s="119" t="str">
        <f t="shared" si="487"/>
        <v/>
      </c>
      <c r="J2954" s="115" t="str">
        <f t="shared" si="488"/>
        <v/>
      </c>
      <c r="K2954" s="102" t="str">
        <f>IF(A2954&amp;B2954="","",VLOOKUP(A2954&amp;B2954,INSUMOS!C:G,5,0))</f>
        <v/>
      </c>
    </row>
    <row r="2955" spans="1:11" ht="15" x14ac:dyDescent="0.25">
      <c r="A2955" s="109"/>
      <c r="B2955" s="116"/>
      <c r="C2955" s="518" t="str">
        <f>IF(A2955&amp;B2955="","",VLOOKUP(A2955&amp;B2955,INSUMOS!C:G,2,0))</f>
        <v/>
      </c>
      <c r="D2955" s="519"/>
      <c r="E2955" s="117" t="str">
        <f>IF(A2955&amp;B2955="","",VLOOKUP(A2955&amp;B2955,INSUMOS!C:G,3,0))</f>
        <v/>
      </c>
      <c r="F2955" s="118"/>
      <c r="G2955" s="113" t="str">
        <f>IF(A2955&amp;B2955="","",VLOOKUP(A2955&amp;B2955,INSUMOS!C:G,4,0))</f>
        <v/>
      </c>
      <c r="H2955" s="119" t="str">
        <f t="shared" si="486"/>
        <v/>
      </c>
      <c r="I2955" s="119" t="str">
        <f t="shared" si="487"/>
        <v/>
      </c>
      <c r="J2955" s="115" t="str">
        <f t="shared" si="488"/>
        <v/>
      </c>
      <c r="K2955" s="102" t="str">
        <f>IF(A2955&amp;B2955="","",VLOOKUP(A2955&amp;B2955,INSUMOS!C:G,5,0))</f>
        <v/>
      </c>
    </row>
    <row r="2956" spans="1:11" ht="15" x14ac:dyDescent="0.25">
      <c r="A2956" s="109"/>
      <c r="B2956" s="116"/>
      <c r="C2956" s="518" t="str">
        <f>IF(A2956&amp;B2956="","",VLOOKUP(A2956&amp;B2956,INSUMOS!C:G,2,0))</f>
        <v/>
      </c>
      <c r="D2956" s="519"/>
      <c r="E2956" s="117" t="str">
        <f>IF(A2956&amp;B2956="","",VLOOKUP(A2956&amp;B2956,INSUMOS!C:G,3,0))</f>
        <v/>
      </c>
      <c r="F2956" s="118"/>
      <c r="G2956" s="113" t="str">
        <f>IF(A2956&amp;B2956="","",VLOOKUP(A2956&amp;B2956,INSUMOS!C:G,4,0))</f>
        <v/>
      </c>
      <c r="H2956" s="119" t="str">
        <f t="shared" si="486"/>
        <v/>
      </c>
      <c r="I2956" s="119" t="str">
        <f t="shared" si="487"/>
        <v/>
      </c>
      <c r="J2956" s="115" t="str">
        <f t="shared" si="488"/>
        <v/>
      </c>
      <c r="K2956" s="102" t="str">
        <f>IF(A2956&amp;B2956="","",VLOOKUP(A2956&amp;B2956,INSUMOS!C:G,5,0))</f>
        <v/>
      </c>
    </row>
    <row r="2957" spans="1:11" ht="15" x14ac:dyDescent="0.25">
      <c r="A2957" s="120"/>
      <c r="B2957" s="121"/>
      <c r="C2957" s="518" t="str">
        <f>IF(A2957&amp;B2957="","",VLOOKUP(A2957&amp;B2957,INSUMOS!C:G,2,0))</f>
        <v/>
      </c>
      <c r="D2957" s="519"/>
      <c r="E2957" s="117" t="str">
        <f>IF(A2957&amp;B2957="","",VLOOKUP(A2957&amp;B2957,INSUMOS!C:G,3,0))</f>
        <v/>
      </c>
      <c r="F2957" s="118"/>
      <c r="G2957" s="122" t="str">
        <f>IF(A2957&amp;B2957="","",VLOOKUP(A2957&amp;B2957,INSUMOS!C:G,4,0))</f>
        <v/>
      </c>
      <c r="H2957" s="119" t="str">
        <f t="shared" si="486"/>
        <v/>
      </c>
      <c r="I2957" s="119" t="str">
        <f t="shared" si="487"/>
        <v/>
      </c>
      <c r="J2957" s="115" t="str">
        <f t="shared" si="488"/>
        <v/>
      </c>
      <c r="K2957" s="102" t="str">
        <f>IF(A2957&amp;B2957="","",VLOOKUP(A2957&amp;B2957,INSUMOS!C:G,5,0))</f>
        <v/>
      </c>
    </row>
    <row r="2958" spans="1:11" ht="15" x14ac:dyDescent="0.25">
      <c r="A2958" s="120"/>
      <c r="B2958" s="121"/>
      <c r="C2958" s="518" t="str">
        <f>IF(A2958&amp;B2958="","",VLOOKUP(A2958&amp;B2958,INSUMOS!C:G,2,0))</f>
        <v/>
      </c>
      <c r="D2958" s="519"/>
      <c r="E2958" s="117" t="str">
        <f>IF(A2958&amp;B2958="","",VLOOKUP(A2958&amp;B2958,INSUMOS!C:G,3,0))</f>
        <v/>
      </c>
      <c r="F2958" s="118"/>
      <c r="G2958" s="122" t="str">
        <f>IF(A2958&amp;B2958="","",VLOOKUP(A2958&amp;B2958,INSUMOS!C:G,4,0))</f>
        <v/>
      </c>
      <c r="H2958" s="119" t="str">
        <f t="shared" si="486"/>
        <v/>
      </c>
      <c r="I2958" s="119" t="str">
        <f t="shared" si="487"/>
        <v/>
      </c>
      <c r="J2958" s="115" t="str">
        <f t="shared" si="488"/>
        <v/>
      </c>
      <c r="K2958" s="102" t="str">
        <f>IF(A2958&amp;B2958="","",VLOOKUP(A2958&amp;B2958,INSUMOS!C:G,5,0))</f>
        <v/>
      </c>
    </row>
    <row r="2959" spans="1:11" ht="15" x14ac:dyDescent="0.25">
      <c r="A2959" s="120"/>
      <c r="B2959" s="121"/>
      <c r="C2959" s="518" t="str">
        <f>IF(A2959&amp;B2959="","",VLOOKUP(A2959&amp;B2959,INSUMOS!C:G,2,0))</f>
        <v/>
      </c>
      <c r="D2959" s="519"/>
      <c r="E2959" s="117" t="str">
        <f>IF(A2959&amp;B2959="","",VLOOKUP(A2959&amp;B2959,INSUMOS!C:G,3,0))</f>
        <v/>
      </c>
      <c r="F2959" s="118"/>
      <c r="G2959" s="122" t="str">
        <f>IF(A2959&amp;B2959="","",VLOOKUP(A2959&amp;B2959,INSUMOS!C:G,4,0))</f>
        <v/>
      </c>
      <c r="H2959" s="119" t="str">
        <f t="shared" si="486"/>
        <v/>
      </c>
      <c r="I2959" s="119" t="str">
        <f t="shared" si="487"/>
        <v/>
      </c>
      <c r="J2959" s="115" t="str">
        <f t="shared" si="488"/>
        <v/>
      </c>
      <c r="K2959" s="102" t="str">
        <f>IF(A2959&amp;B2959="","",VLOOKUP(A2959&amp;B2959,INSUMOS!C:G,5,0))</f>
        <v/>
      </c>
    </row>
    <row r="2960" spans="1:11" ht="15" x14ac:dyDescent="0.25">
      <c r="A2960" s="123" t="s">
        <v>4399</v>
      </c>
      <c r="B2960" s="542"/>
      <c r="C2960" s="542"/>
      <c r="D2960" s="542"/>
      <c r="E2960" s="542"/>
      <c r="F2960" s="543"/>
      <c r="G2960" s="124" t="s">
        <v>50</v>
      </c>
      <c r="H2960" s="125">
        <f>SUM(H2947:H2959)</f>
        <v>0</v>
      </c>
      <c r="I2960" s="125">
        <f>SUM(I2947:I2959)</f>
        <v>2854.81</v>
      </c>
      <c r="J2960" s="126">
        <f>SUM(J2947:J2959)</f>
        <v>0</v>
      </c>
    </row>
    <row r="2961" spans="1:17" ht="15" x14ac:dyDescent="0.25">
      <c r="A2961" s="127" t="s">
        <v>4400</v>
      </c>
      <c r="B2961" s="128"/>
      <c r="C2961" s="128"/>
      <c r="D2961" s="127" t="s">
        <v>51</v>
      </c>
      <c r="E2961" s="128"/>
      <c r="F2961" s="129"/>
      <c r="G2961" s="130" t="s">
        <v>55</v>
      </c>
      <c r="H2961" s="131" t="s">
        <v>52</v>
      </c>
      <c r="I2961" s="132"/>
      <c r="J2961" s="125">
        <f>SUM(H2960:J2960)</f>
        <v>2854.81</v>
      </c>
    </row>
    <row r="2962" spans="1:17" ht="15" x14ac:dyDescent="0.25">
      <c r="A2962" s="313" t="str">
        <f>$I$3</f>
        <v>Carlos Wieck</v>
      </c>
      <c r="B2962" s="133"/>
      <c r="C2962" s="133"/>
      <c r="D2962" s="134"/>
      <c r="E2962" s="133"/>
      <c r="F2962" s="135"/>
      <c r="G2962" s="522">
        <f>$J$5</f>
        <v>43040</v>
      </c>
      <c r="H2962" s="136" t="s">
        <v>53</v>
      </c>
      <c r="I2962" s="137"/>
      <c r="J2962" s="125">
        <f>TRUNC(I2962*J2961,2)</f>
        <v>0</v>
      </c>
    </row>
    <row r="2963" spans="1:17" ht="15" x14ac:dyDescent="0.25">
      <c r="A2963" s="314"/>
      <c r="B2963" s="139"/>
      <c r="C2963" s="139"/>
      <c r="D2963" s="138"/>
      <c r="E2963" s="139"/>
      <c r="F2963" s="140"/>
      <c r="G2963" s="523"/>
      <c r="H2963" s="141" t="s">
        <v>54</v>
      </c>
      <c r="I2963" s="142"/>
      <c r="J2963" s="143">
        <f>J2962+J2961</f>
        <v>2854.81</v>
      </c>
      <c r="L2963" s="102" t="str">
        <f>A2944</f>
        <v>COMPOSIÇÃO</v>
      </c>
      <c r="M2963" s="144" t="str">
        <f>B2944</f>
        <v>FF-128</v>
      </c>
      <c r="N2963" s="102" t="str">
        <f>L2963&amp;M2963</f>
        <v>COMPOSIÇÃOFF-128</v>
      </c>
      <c r="O2963" s="103" t="str">
        <f>D2943</f>
        <v>PM 02-B - Porta veneziana com batente de madeira  (pinus tratado autoclavado) L=73cm H=210 + 32cm de bandeira</v>
      </c>
      <c r="P2963" s="145" t="str">
        <f>J2944</f>
        <v>un</v>
      </c>
      <c r="Q2963" s="145">
        <f>J2963</f>
        <v>2854.81</v>
      </c>
    </row>
    <row r="2964" spans="1:17" ht="15" customHeight="1" x14ac:dyDescent="0.25">
      <c r="A2964" s="524" t="s">
        <v>40</v>
      </c>
      <c r="B2964" s="525"/>
      <c r="C2964" s="104" t="s">
        <v>41</v>
      </c>
      <c r="D2964" s="526" t="str">
        <f>IF(B2965="","",VLOOKUP(B2965,SERVIÇOS!B:E,3,0))</f>
        <v>PM 03 - Porta lisa com batente de madeira (pinus tratado autoclavado) L=124,5cm H=240cm e painel fixo de madeira L=20cm H=240cm.</v>
      </c>
      <c r="E2964" s="526"/>
      <c r="F2964" s="526"/>
      <c r="G2964" s="526"/>
      <c r="H2964" s="526"/>
      <c r="I2964" s="527"/>
      <c r="J2964" s="105" t="s">
        <v>42</v>
      </c>
    </row>
    <row r="2965" spans="1:17" ht="15" x14ac:dyDescent="0.25">
      <c r="A2965" s="230" t="s">
        <v>4715</v>
      </c>
      <c r="B2965" s="230" t="s">
        <v>5400</v>
      </c>
      <c r="C2965" s="106"/>
      <c r="D2965" s="528"/>
      <c r="E2965" s="528"/>
      <c r="F2965" s="528"/>
      <c r="G2965" s="528"/>
      <c r="H2965" s="528"/>
      <c r="I2965" s="529"/>
      <c r="J2965" s="107" t="str">
        <f>IF(B2965="","",VLOOKUP(B2965,SERVIÇOS!B:E,4,0))</f>
        <v>un</v>
      </c>
    </row>
    <row r="2966" spans="1:17" ht="15" x14ac:dyDescent="0.25">
      <c r="A2966" s="530" t="s">
        <v>4397</v>
      </c>
      <c r="B2966" s="531" t="s">
        <v>11</v>
      </c>
      <c r="C2966" s="533" t="s">
        <v>43</v>
      </c>
      <c r="D2966" s="534"/>
      <c r="E2966" s="530" t="s">
        <v>13</v>
      </c>
      <c r="F2966" s="530" t="s">
        <v>44</v>
      </c>
      <c r="G2966" s="538" t="s">
        <v>45</v>
      </c>
      <c r="H2966" s="108" t="s">
        <v>46</v>
      </c>
      <c r="I2966" s="108"/>
      <c r="J2966" s="108"/>
    </row>
    <row r="2967" spans="1:17" ht="15" x14ac:dyDescent="0.25">
      <c r="A2967" s="530"/>
      <c r="B2967" s="532"/>
      <c r="C2967" s="535"/>
      <c r="D2967" s="536"/>
      <c r="E2967" s="537"/>
      <c r="F2967" s="537"/>
      <c r="G2967" s="539"/>
      <c r="H2967" s="108" t="s">
        <v>47</v>
      </c>
      <c r="I2967" s="108" t="s">
        <v>48</v>
      </c>
      <c r="J2967" s="108" t="s">
        <v>49</v>
      </c>
    </row>
    <row r="2968" spans="1:17" ht="30" customHeight="1" x14ac:dyDescent="0.25">
      <c r="A2968" s="109" t="s">
        <v>4717</v>
      </c>
      <c r="B2968" s="116" t="s">
        <v>4994</v>
      </c>
      <c r="C2968" s="540" t="str">
        <f>IF(A2968&amp;B2968="","",VLOOKUP(A2968&amp;B2968,INSUMOS!C:G,2,0))</f>
        <v>PM 03 - Porta lisa com batente de madeira (pinus tratado autoclavado) L=124,5cm H=240cm e painel fixo de madeira L=20cm H=240cm.</v>
      </c>
      <c r="D2968" s="541"/>
      <c r="E2968" s="111" t="str">
        <f>IF(A2968&amp;B2968="","",VLOOKUP(A2968&amp;B2968,INSUMOS!C:G,3,0))</f>
        <v>un</v>
      </c>
      <c r="F2968" s="112">
        <v>1</v>
      </c>
      <c r="G2968" s="113">
        <f>IF(A2968&amp;B2968="","",VLOOKUP(A2968&amp;B2968,INSUMOS!C:G,4,0))</f>
        <v>2854.8189200000002</v>
      </c>
      <c r="H2968" s="114" t="str">
        <f>IF(K2968="MO",TRUNC(F2968*G2968,2),"")</f>
        <v/>
      </c>
      <c r="I2968" s="114">
        <f>IF(K2968="MT",TRUNC(F2968*G2968,2),"")</f>
        <v>2854.81</v>
      </c>
      <c r="J2968" s="115" t="str">
        <f>IF(K2968="EQ",TRUNC(F2968*G2968,2),"")</f>
        <v/>
      </c>
      <c r="K2968" s="102" t="str">
        <f>IF(A2968&amp;B2968="","",VLOOKUP(A2968&amp;B2968,INSUMOS!C:G,5,0))</f>
        <v>MT</v>
      </c>
    </row>
    <row r="2969" spans="1:17" ht="15" x14ac:dyDescent="0.25">
      <c r="A2969" s="109"/>
      <c r="B2969" s="116"/>
      <c r="C2969" s="518" t="str">
        <f>IF(A2969&amp;B2969="","",VLOOKUP(A2969&amp;B2969,INSUMOS!C:G,2,0))</f>
        <v/>
      </c>
      <c r="D2969" s="519"/>
      <c r="E2969" s="117" t="str">
        <f>IF(A2969&amp;B2969="","",VLOOKUP(A2969&amp;B2969,INSUMOS!C:G,3,0))</f>
        <v/>
      </c>
      <c r="F2969" s="118"/>
      <c r="G2969" s="113" t="str">
        <f>IF(A2969&amp;B2969="","",VLOOKUP(A2969&amp;B2969,INSUMOS!C:G,4,0))</f>
        <v/>
      </c>
      <c r="H2969" s="119" t="str">
        <f t="shared" ref="H2969:H2980" si="489">IF(K2969="MO",TRUNC(F2969*G2969,2),"")</f>
        <v/>
      </c>
      <c r="I2969" s="119" t="str">
        <f t="shared" ref="I2969:I2980" si="490">IF(K2969="MT",TRUNC(F2969*G2969,2),"")</f>
        <v/>
      </c>
      <c r="J2969" s="115" t="str">
        <f t="shared" ref="J2969:J2980" si="491">IF(K2969="EQ",TRUNC(F2969*G2969,2),"")</f>
        <v/>
      </c>
      <c r="K2969" s="102" t="str">
        <f>IF(A2969&amp;B2969="","",VLOOKUP(A2969&amp;B2969,INSUMOS!C:G,5,0))</f>
        <v/>
      </c>
    </row>
    <row r="2970" spans="1:17" ht="15" x14ac:dyDescent="0.25">
      <c r="A2970" s="109"/>
      <c r="B2970" s="116"/>
      <c r="C2970" s="518" t="str">
        <f>IF(A2970&amp;B2970="","",VLOOKUP(A2970&amp;B2970,INSUMOS!C:G,2,0))</f>
        <v/>
      </c>
      <c r="D2970" s="519"/>
      <c r="E2970" s="117" t="str">
        <f>IF(A2970&amp;B2970="","",VLOOKUP(A2970&amp;B2970,INSUMOS!C:G,3,0))</f>
        <v/>
      </c>
      <c r="F2970" s="118"/>
      <c r="G2970" s="113" t="str">
        <f>IF(A2970&amp;B2970="","",VLOOKUP(A2970&amp;B2970,INSUMOS!C:G,4,0))</f>
        <v/>
      </c>
      <c r="H2970" s="119" t="str">
        <f t="shared" si="489"/>
        <v/>
      </c>
      <c r="I2970" s="119" t="str">
        <f t="shared" si="490"/>
        <v/>
      </c>
      <c r="J2970" s="115" t="str">
        <f t="shared" si="491"/>
        <v/>
      </c>
      <c r="K2970" s="102" t="str">
        <f>IF(A2970&amp;B2970="","",VLOOKUP(A2970&amp;B2970,INSUMOS!C:G,5,0))</f>
        <v/>
      </c>
    </row>
    <row r="2971" spans="1:17" ht="15" x14ac:dyDescent="0.25">
      <c r="A2971" s="109"/>
      <c r="B2971" s="116"/>
      <c r="C2971" s="518" t="str">
        <f>IF(A2971&amp;B2971="","",VLOOKUP(A2971&amp;B2971,INSUMOS!C:G,2,0))</f>
        <v/>
      </c>
      <c r="D2971" s="519"/>
      <c r="E2971" s="117" t="str">
        <f>IF(A2971&amp;B2971="","",VLOOKUP(A2971&amp;B2971,INSUMOS!C:G,3,0))</f>
        <v/>
      </c>
      <c r="F2971" s="118"/>
      <c r="G2971" s="113" t="str">
        <f>IF(A2971&amp;B2971="","",VLOOKUP(A2971&amp;B2971,INSUMOS!C:G,4,0))</f>
        <v/>
      </c>
      <c r="H2971" s="119" t="str">
        <f t="shared" si="489"/>
        <v/>
      </c>
      <c r="I2971" s="119" t="str">
        <f t="shared" si="490"/>
        <v/>
      </c>
      <c r="J2971" s="115" t="str">
        <f t="shared" si="491"/>
        <v/>
      </c>
      <c r="K2971" s="102" t="str">
        <f>IF(A2971&amp;B2971="","",VLOOKUP(A2971&amp;B2971,INSUMOS!C:G,5,0))</f>
        <v/>
      </c>
    </row>
    <row r="2972" spans="1:17" ht="15" x14ac:dyDescent="0.25">
      <c r="A2972" s="109"/>
      <c r="B2972" s="116"/>
      <c r="C2972" s="518" t="str">
        <f>IF(A2972&amp;B2972="","",VLOOKUP(A2972&amp;B2972,INSUMOS!C:G,2,0))</f>
        <v/>
      </c>
      <c r="D2972" s="519"/>
      <c r="E2972" s="117" t="str">
        <f>IF(A2972&amp;B2972="","",VLOOKUP(A2972&amp;B2972,INSUMOS!C:G,3,0))</f>
        <v/>
      </c>
      <c r="F2972" s="118"/>
      <c r="G2972" s="113" t="str">
        <f>IF(A2972&amp;B2972="","",VLOOKUP(A2972&amp;B2972,INSUMOS!C:G,4,0))</f>
        <v/>
      </c>
      <c r="H2972" s="119" t="str">
        <f t="shared" si="489"/>
        <v/>
      </c>
      <c r="I2972" s="119" t="str">
        <f t="shared" si="490"/>
        <v/>
      </c>
      <c r="J2972" s="115" t="str">
        <f t="shared" si="491"/>
        <v/>
      </c>
      <c r="K2972" s="102" t="str">
        <f>IF(A2972&amp;B2972="","",VLOOKUP(A2972&amp;B2972,INSUMOS!C:G,5,0))</f>
        <v/>
      </c>
    </row>
    <row r="2973" spans="1:17" ht="15" x14ac:dyDescent="0.25">
      <c r="A2973" s="109"/>
      <c r="B2973" s="116"/>
      <c r="C2973" s="518" t="str">
        <f>IF(A2973&amp;B2973="","",VLOOKUP(A2973&amp;B2973,INSUMOS!C:G,2,0))</f>
        <v/>
      </c>
      <c r="D2973" s="519"/>
      <c r="E2973" s="117" t="str">
        <f>IF(A2973&amp;B2973="","",VLOOKUP(A2973&amp;B2973,INSUMOS!C:G,3,0))</f>
        <v/>
      </c>
      <c r="F2973" s="118"/>
      <c r="G2973" s="113" t="str">
        <f>IF(A2973&amp;B2973="","",VLOOKUP(A2973&amp;B2973,INSUMOS!C:G,4,0))</f>
        <v/>
      </c>
      <c r="H2973" s="119" t="str">
        <f t="shared" si="489"/>
        <v/>
      </c>
      <c r="I2973" s="119" t="str">
        <f t="shared" si="490"/>
        <v/>
      </c>
      <c r="J2973" s="115" t="str">
        <f t="shared" si="491"/>
        <v/>
      </c>
      <c r="K2973" s="102" t="str">
        <f>IF(A2973&amp;B2973="","",VLOOKUP(A2973&amp;B2973,INSUMOS!C:G,5,0))</f>
        <v/>
      </c>
    </row>
    <row r="2974" spans="1:17" ht="15" x14ac:dyDescent="0.25">
      <c r="A2974" s="109"/>
      <c r="B2974" s="116"/>
      <c r="C2974" s="518" t="str">
        <f>IF(A2974&amp;B2974="","",VLOOKUP(A2974&amp;B2974,INSUMOS!C:G,2,0))</f>
        <v/>
      </c>
      <c r="D2974" s="519"/>
      <c r="E2974" s="117" t="str">
        <f>IF(A2974&amp;B2974="","",VLOOKUP(A2974&amp;B2974,INSUMOS!C:G,3,0))</f>
        <v/>
      </c>
      <c r="F2974" s="118"/>
      <c r="G2974" s="113" t="str">
        <f>IF(A2974&amp;B2974="","",VLOOKUP(A2974&amp;B2974,INSUMOS!C:G,4,0))</f>
        <v/>
      </c>
      <c r="H2974" s="119" t="str">
        <f t="shared" si="489"/>
        <v/>
      </c>
      <c r="I2974" s="119" t="str">
        <f t="shared" si="490"/>
        <v/>
      </c>
      <c r="J2974" s="115" t="str">
        <f t="shared" si="491"/>
        <v/>
      </c>
      <c r="K2974" s="102" t="str">
        <f>IF(A2974&amp;B2974="","",VLOOKUP(A2974&amp;B2974,INSUMOS!C:G,5,0))</f>
        <v/>
      </c>
    </row>
    <row r="2975" spans="1:17" ht="15" x14ac:dyDescent="0.25">
      <c r="A2975" s="109"/>
      <c r="B2975" s="116"/>
      <c r="C2975" s="518" t="str">
        <f>IF(A2975&amp;B2975="","",VLOOKUP(A2975&amp;B2975,INSUMOS!C:G,2,0))</f>
        <v/>
      </c>
      <c r="D2975" s="519"/>
      <c r="E2975" s="117" t="str">
        <f>IF(A2975&amp;B2975="","",VLOOKUP(A2975&amp;B2975,INSUMOS!C:G,3,0))</f>
        <v/>
      </c>
      <c r="F2975" s="118"/>
      <c r="G2975" s="113" t="str">
        <f>IF(A2975&amp;B2975="","",VLOOKUP(A2975&amp;B2975,INSUMOS!C:G,4,0))</f>
        <v/>
      </c>
      <c r="H2975" s="119" t="str">
        <f t="shared" si="489"/>
        <v/>
      </c>
      <c r="I2975" s="119" t="str">
        <f t="shared" si="490"/>
        <v/>
      </c>
      <c r="J2975" s="115" t="str">
        <f t="shared" si="491"/>
        <v/>
      </c>
      <c r="K2975" s="102" t="str">
        <f>IF(A2975&amp;B2975="","",VLOOKUP(A2975&amp;B2975,INSUMOS!C:G,5,0))</f>
        <v/>
      </c>
    </row>
    <row r="2976" spans="1:17" ht="15" x14ac:dyDescent="0.25">
      <c r="A2976" s="109"/>
      <c r="B2976" s="116"/>
      <c r="C2976" s="518" t="str">
        <f>IF(A2976&amp;B2976="","",VLOOKUP(A2976&amp;B2976,INSUMOS!C:G,2,0))</f>
        <v/>
      </c>
      <c r="D2976" s="519"/>
      <c r="E2976" s="117" t="str">
        <f>IF(A2976&amp;B2976="","",VLOOKUP(A2976&amp;B2976,INSUMOS!C:G,3,0))</f>
        <v/>
      </c>
      <c r="F2976" s="118"/>
      <c r="G2976" s="113" t="str">
        <f>IF(A2976&amp;B2976="","",VLOOKUP(A2976&amp;B2976,INSUMOS!C:G,4,0))</f>
        <v/>
      </c>
      <c r="H2976" s="119" t="str">
        <f t="shared" si="489"/>
        <v/>
      </c>
      <c r="I2976" s="119" t="str">
        <f t="shared" si="490"/>
        <v/>
      </c>
      <c r="J2976" s="115" t="str">
        <f t="shared" si="491"/>
        <v/>
      </c>
      <c r="K2976" s="102" t="str">
        <f>IF(A2976&amp;B2976="","",VLOOKUP(A2976&amp;B2976,INSUMOS!C:G,5,0))</f>
        <v/>
      </c>
    </row>
    <row r="2977" spans="1:17" ht="15" x14ac:dyDescent="0.25">
      <c r="A2977" s="109"/>
      <c r="B2977" s="116"/>
      <c r="C2977" s="518" t="str">
        <f>IF(A2977&amp;B2977="","",VLOOKUP(A2977&amp;B2977,INSUMOS!C:G,2,0))</f>
        <v/>
      </c>
      <c r="D2977" s="519"/>
      <c r="E2977" s="117" t="str">
        <f>IF(A2977&amp;B2977="","",VLOOKUP(A2977&amp;B2977,INSUMOS!C:G,3,0))</f>
        <v/>
      </c>
      <c r="F2977" s="118"/>
      <c r="G2977" s="113" t="str">
        <f>IF(A2977&amp;B2977="","",VLOOKUP(A2977&amp;B2977,INSUMOS!C:G,4,0))</f>
        <v/>
      </c>
      <c r="H2977" s="119" t="str">
        <f t="shared" si="489"/>
        <v/>
      </c>
      <c r="I2977" s="119" t="str">
        <f t="shared" si="490"/>
        <v/>
      </c>
      <c r="J2977" s="115" t="str">
        <f t="shared" si="491"/>
        <v/>
      </c>
      <c r="K2977" s="102" t="str">
        <f>IF(A2977&amp;B2977="","",VLOOKUP(A2977&amp;B2977,INSUMOS!C:G,5,0))</f>
        <v/>
      </c>
    </row>
    <row r="2978" spans="1:17" ht="15" x14ac:dyDescent="0.25">
      <c r="A2978" s="120"/>
      <c r="B2978" s="121"/>
      <c r="C2978" s="518" t="str">
        <f>IF(A2978&amp;B2978="","",VLOOKUP(A2978&amp;B2978,INSUMOS!C:G,2,0))</f>
        <v/>
      </c>
      <c r="D2978" s="519"/>
      <c r="E2978" s="117" t="str">
        <f>IF(A2978&amp;B2978="","",VLOOKUP(A2978&amp;B2978,INSUMOS!C:G,3,0))</f>
        <v/>
      </c>
      <c r="F2978" s="118"/>
      <c r="G2978" s="122" t="str">
        <f>IF(A2978&amp;B2978="","",VLOOKUP(A2978&amp;B2978,INSUMOS!C:G,4,0))</f>
        <v/>
      </c>
      <c r="H2978" s="119" t="str">
        <f t="shared" si="489"/>
        <v/>
      </c>
      <c r="I2978" s="119" t="str">
        <f t="shared" si="490"/>
        <v/>
      </c>
      <c r="J2978" s="115" t="str">
        <f t="shared" si="491"/>
        <v/>
      </c>
      <c r="K2978" s="102" t="str">
        <f>IF(A2978&amp;B2978="","",VLOOKUP(A2978&amp;B2978,INSUMOS!C:G,5,0))</f>
        <v/>
      </c>
    </row>
    <row r="2979" spans="1:17" ht="15" x14ac:dyDescent="0.25">
      <c r="A2979" s="120"/>
      <c r="B2979" s="121"/>
      <c r="C2979" s="518" t="str">
        <f>IF(A2979&amp;B2979="","",VLOOKUP(A2979&amp;B2979,INSUMOS!C:G,2,0))</f>
        <v/>
      </c>
      <c r="D2979" s="519"/>
      <c r="E2979" s="117" t="str">
        <f>IF(A2979&amp;B2979="","",VLOOKUP(A2979&amp;B2979,INSUMOS!C:G,3,0))</f>
        <v/>
      </c>
      <c r="F2979" s="118"/>
      <c r="G2979" s="122" t="str">
        <f>IF(A2979&amp;B2979="","",VLOOKUP(A2979&amp;B2979,INSUMOS!C:G,4,0))</f>
        <v/>
      </c>
      <c r="H2979" s="119" t="str">
        <f t="shared" si="489"/>
        <v/>
      </c>
      <c r="I2979" s="119" t="str">
        <f t="shared" si="490"/>
        <v/>
      </c>
      <c r="J2979" s="115" t="str">
        <f t="shared" si="491"/>
        <v/>
      </c>
      <c r="K2979" s="102" t="str">
        <f>IF(A2979&amp;B2979="","",VLOOKUP(A2979&amp;B2979,INSUMOS!C:G,5,0))</f>
        <v/>
      </c>
    </row>
    <row r="2980" spans="1:17" ht="15" x14ac:dyDescent="0.25">
      <c r="A2980" s="120"/>
      <c r="B2980" s="121"/>
      <c r="C2980" s="518" t="str">
        <f>IF(A2980&amp;B2980="","",VLOOKUP(A2980&amp;B2980,INSUMOS!C:G,2,0))</f>
        <v/>
      </c>
      <c r="D2980" s="519"/>
      <c r="E2980" s="117" t="str">
        <f>IF(A2980&amp;B2980="","",VLOOKUP(A2980&amp;B2980,INSUMOS!C:G,3,0))</f>
        <v/>
      </c>
      <c r="F2980" s="118"/>
      <c r="G2980" s="122" t="str">
        <f>IF(A2980&amp;B2980="","",VLOOKUP(A2980&amp;B2980,INSUMOS!C:G,4,0))</f>
        <v/>
      </c>
      <c r="H2980" s="119" t="str">
        <f t="shared" si="489"/>
        <v/>
      </c>
      <c r="I2980" s="119" t="str">
        <f t="shared" si="490"/>
        <v/>
      </c>
      <c r="J2980" s="115" t="str">
        <f t="shared" si="491"/>
        <v/>
      </c>
      <c r="K2980" s="102" t="str">
        <f>IF(A2980&amp;B2980="","",VLOOKUP(A2980&amp;B2980,INSUMOS!C:G,5,0))</f>
        <v/>
      </c>
    </row>
    <row r="2981" spans="1:17" ht="15" x14ac:dyDescent="0.25">
      <c r="A2981" s="123" t="s">
        <v>4399</v>
      </c>
      <c r="B2981" s="542"/>
      <c r="C2981" s="542"/>
      <c r="D2981" s="542"/>
      <c r="E2981" s="542"/>
      <c r="F2981" s="543"/>
      <c r="G2981" s="124" t="s">
        <v>50</v>
      </c>
      <c r="H2981" s="125">
        <f>SUM(H2968:H2980)</f>
        <v>0</v>
      </c>
      <c r="I2981" s="125">
        <f>SUM(I2968:I2980)</f>
        <v>2854.81</v>
      </c>
      <c r="J2981" s="126">
        <f>SUM(J2968:J2980)</f>
        <v>0</v>
      </c>
    </row>
    <row r="2982" spans="1:17" ht="15" x14ac:dyDescent="0.25">
      <c r="A2982" s="127" t="s">
        <v>4400</v>
      </c>
      <c r="B2982" s="128"/>
      <c r="C2982" s="128"/>
      <c r="D2982" s="127" t="s">
        <v>51</v>
      </c>
      <c r="E2982" s="128"/>
      <c r="F2982" s="129"/>
      <c r="G2982" s="130" t="s">
        <v>55</v>
      </c>
      <c r="H2982" s="131" t="s">
        <v>52</v>
      </c>
      <c r="I2982" s="132"/>
      <c r="J2982" s="125">
        <f>SUM(H2981:J2981)</f>
        <v>2854.81</v>
      </c>
    </row>
    <row r="2983" spans="1:17" ht="15" x14ac:dyDescent="0.25">
      <c r="A2983" s="313" t="str">
        <f>$I$3</f>
        <v>Carlos Wieck</v>
      </c>
      <c r="B2983" s="133"/>
      <c r="C2983" s="133"/>
      <c r="D2983" s="134"/>
      <c r="E2983" s="133"/>
      <c r="F2983" s="135"/>
      <c r="G2983" s="522">
        <f>$J$5</f>
        <v>43040</v>
      </c>
      <c r="H2983" s="136" t="s">
        <v>53</v>
      </c>
      <c r="I2983" s="137"/>
      <c r="J2983" s="125">
        <f>TRUNC(I2983*J2982,2)</f>
        <v>0</v>
      </c>
    </row>
    <row r="2984" spans="1:17" ht="15" x14ac:dyDescent="0.25">
      <c r="A2984" s="314"/>
      <c r="B2984" s="139"/>
      <c r="C2984" s="139"/>
      <c r="D2984" s="138"/>
      <c r="E2984" s="139"/>
      <c r="F2984" s="140"/>
      <c r="G2984" s="523"/>
      <c r="H2984" s="141" t="s">
        <v>54</v>
      </c>
      <c r="I2984" s="142"/>
      <c r="J2984" s="143">
        <f>J2983+J2982</f>
        <v>2854.81</v>
      </c>
      <c r="L2984" s="102" t="str">
        <f>A2965</f>
        <v>COMPOSIÇÃO</v>
      </c>
      <c r="M2984" s="144" t="str">
        <f>B2965</f>
        <v>FF-129</v>
      </c>
      <c r="N2984" s="102" t="str">
        <f>L2984&amp;M2984</f>
        <v>COMPOSIÇÃOFF-129</v>
      </c>
      <c r="O2984" s="103" t="str">
        <f>D2964</f>
        <v>PM 03 - Porta lisa com batente de madeira (pinus tratado autoclavado) L=124,5cm H=240cm e painel fixo de madeira L=20cm H=240cm.</v>
      </c>
      <c r="P2984" s="145" t="str">
        <f>J2965</f>
        <v>un</v>
      </c>
      <c r="Q2984" s="145">
        <f>J2984</f>
        <v>2854.81</v>
      </c>
    </row>
    <row r="2985" spans="1:17" ht="15" customHeight="1" x14ac:dyDescent="0.25">
      <c r="A2985" s="524" t="s">
        <v>40</v>
      </c>
      <c r="B2985" s="525"/>
      <c r="C2985" s="104" t="s">
        <v>41</v>
      </c>
      <c r="D2985" s="526" t="str">
        <f>IF(B2986="","",VLOOKUP(B2986,SERVIÇOS!B:E,3,0))</f>
        <v>PM 04 - Porta lisa com batente de madeira (pinus tratado autoclavado) L=124,5cm H=240cm e painel fixo de madeira L=20cm H=240cm.</v>
      </c>
      <c r="E2985" s="526"/>
      <c r="F2985" s="526"/>
      <c r="G2985" s="526"/>
      <c r="H2985" s="526"/>
      <c r="I2985" s="527"/>
      <c r="J2985" s="105" t="s">
        <v>42</v>
      </c>
    </row>
    <row r="2986" spans="1:17" ht="15" x14ac:dyDescent="0.25">
      <c r="A2986" s="230" t="s">
        <v>4715</v>
      </c>
      <c r="B2986" s="230" t="s">
        <v>5401</v>
      </c>
      <c r="C2986" s="106"/>
      <c r="D2986" s="528"/>
      <c r="E2986" s="528"/>
      <c r="F2986" s="528"/>
      <c r="G2986" s="528"/>
      <c r="H2986" s="528"/>
      <c r="I2986" s="529"/>
      <c r="J2986" s="107" t="str">
        <f>IF(B2986="","",VLOOKUP(B2986,SERVIÇOS!B:E,4,0))</f>
        <v>un</v>
      </c>
    </row>
    <row r="2987" spans="1:17" ht="15" x14ac:dyDescent="0.25">
      <c r="A2987" s="530" t="s">
        <v>4397</v>
      </c>
      <c r="B2987" s="531" t="s">
        <v>11</v>
      </c>
      <c r="C2987" s="533" t="s">
        <v>43</v>
      </c>
      <c r="D2987" s="534"/>
      <c r="E2987" s="530" t="s">
        <v>13</v>
      </c>
      <c r="F2987" s="530" t="s">
        <v>44</v>
      </c>
      <c r="G2987" s="538" t="s">
        <v>45</v>
      </c>
      <c r="H2987" s="108" t="s">
        <v>46</v>
      </c>
      <c r="I2987" s="108"/>
      <c r="J2987" s="108"/>
    </row>
    <row r="2988" spans="1:17" ht="15" x14ac:dyDescent="0.25">
      <c r="A2988" s="530"/>
      <c r="B2988" s="532"/>
      <c r="C2988" s="535"/>
      <c r="D2988" s="536"/>
      <c r="E2988" s="537"/>
      <c r="F2988" s="537"/>
      <c r="G2988" s="539"/>
      <c r="H2988" s="108" t="s">
        <v>47</v>
      </c>
      <c r="I2988" s="108" t="s">
        <v>48</v>
      </c>
      <c r="J2988" s="108" t="s">
        <v>49</v>
      </c>
    </row>
    <row r="2989" spans="1:17" ht="30" customHeight="1" x14ac:dyDescent="0.25">
      <c r="A2989" s="109" t="s">
        <v>4717</v>
      </c>
      <c r="B2989" s="116" t="s">
        <v>4995</v>
      </c>
      <c r="C2989" s="540" t="str">
        <f>IF(A2989&amp;B2989="","",VLOOKUP(A2989&amp;B2989,INSUMOS!C:G,2,0))</f>
        <v>PM 04 - Porta lisa com batente de madeira (pinus tratado autoclavado) L=124,5cm H=240cm e painel fixo de madeira L=20cm H=240cm.</v>
      </c>
      <c r="D2989" s="541"/>
      <c r="E2989" s="111" t="str">
        <f>IF(A2989&amp;B2989="","",VLOOKUP(A2989&amp;B2989,INSUMOS!C:G,3,0))</f>
        <v>un</v>
      </c>
      <c r="F2989" s="112">
        <v>1</v>
      </c>
      <c r="G2989" s="113">
        <f>IF(A2989&amp;B2989="","",VLOOKUP(A2989&amp;B2989,INSUMOS!C:G,4,0))</f>
        <v>3409.9264800000001</v>
      </c>
      <c r="H2989" s="114" t="str">
        <f>IF(K2989="MO",TRUNC(F2989*G2989,2),"")</f>
        <v/>
      </c>
      <c r="I2989" s="114">
        <f>IF(K2989="MT",TRUNC(F2989*G2989,2),"")</f>
        <v>3409.92</v>
      </c>
      <c r="J2989" s="115" t="str">
        <f>IF(K2989="EQ",TRUNC(F2989*G2989,2),"")</f>
        <v/>
      </c>
      <c r="K2989" s="102" t="str">
        <f>IF(A2989&amp;B2989="","",VLOOKUP(A2989&amp;B2989,INSUMOS!C:G,5,0))</f>
        <v>MT</v>
      </c>
    </row>
    <row r="2990" spans="1:17" ht="15" x14ac:dyDescent="0.25">
      <c r="A2990" s="109"/>
      <c r="B2990" s="116"/>
      <c r="C2990" s="518" t="str">
        <f>IF(A2990&amp;B2990="","",VLOOKUP(A2990&amp;B2990,INSUMOS!C:G,2,0))</f>
        <v/>
      </c>
      <c r="D2990" s="519"/>
      <c r="E2990" s="117" t="str">
        <f>IF(A2990&amp;B2990="","",VLOOKUP(A2990&amp;B2990,INSUMOS!C:G,3,0))</f>
        <v/>
      </c>
      <c r="F2990" s="118"/>
      <c r="G2990" s="113" t="str">
        <f>IF(A2990&amp;B2990="","",VLOOKUP(A2990&amp;B2990,INSUMOS!C:G,4,0))</f>
        <v/>
      </c>
      <c r="H2990" s="119" t="str">
        <f t="shared" ref="H2990:H3001" si="492">IF(K2990="MO",TRUNC(F2990*G2990,2),"")</f>
        <v/>
      </c>
      <c r="I2990" s="119" t="str">
        <f t="shared" ref="I2990:I3001" si="493">IF(K2990="MT",TRUNC(F2990*G2990,2),"")</f>
        <v/>
      </c>
      <c r="J2990" s="115" t="str">
        <f t="shared" ref="J2990:J3001" si="494">IF(K2990="EQ",TRUNC(F2990*G2990,2),"")</f>
        <v/>
      </c>
      <c r="K2990" s="102" t="str">
        <f>IF(A2990&amp;B2990="","",VLOOKUP(A2990&amp;B2990,INSUMOS!C:G,5,0))</f>
        <v/>
      </c>
    </row>
    <row r="2991" spans="1:17" ht="15" x14ac:dyDescent="0.25">
      <c r="A2991" s="109"/>
      <c r="B2991" s="116"/>
      <c r="C2991" s="518" t="str">
        <f>IF(A2991&amp;B2991="","",VLOOKUP(A2991&amp;B2991,INSUMOS!C:G,2,0))</f>
        <v/>
      </c>
      <c r="D2991" s="519"/>
      <c r="E2991" s="117" t="str">
        <f>IF(A2991&amp;B2991="","",VLOOKUP(A2991&amp;B2991,INSUMOS!C:G,3,0))</f>
        <v/>
      </c>
      <c r="F2991" s="118"/>
      <c r="G2991" s="113" t="str">
        <f>IF(A2991&amp;B2991="","",VLOOKUP(A2991&amp;B2991,INSUMOS!C:G,4,0))</f>
        <v/>
      </c>
      <c r="H2991" s="119" t="str">
        <f t="shared" si="492"/>
        <v/>
      </c>
      <c r="I2991" s="119" t="str">
        <f t="shared" si="493"/>
        <v/>
      </c>
      <c r="J2991" s="115" t="str">
        <f t="shared" si="494"/>
        <v/>
      </c>
      <c r="K2991" s="102" t="str">
        <f>IF(A2991&amp;B2991="","",VLOOKUP(A2991&amp;B2991,INSUMOS!C:G,5,0))</f>
        <v/>
      </c>
    </row>
    <row r="2992" spans="1:17" ht="15" x14ac:dyDescent="0.25">
      <c r="A2992" s="109"/>
      <c r="B2992" s="116"/>
      <c r="C2992" s="518" t="str">
        <f>IF(A2992&amp;B2992="","",VLOOKUP(A2992&amp;B2992,INSUMOS!C:G,2,0))</f>
        <v/>
      </c>
      <c r="D2992" s="519"/>
      <c r="E2992" s="117" t="str">
        <f>IF(A2992&amp;B2992="","",VLOOKUP(A2992&amp;B2992,INSUMOS!C:G,3,0))</f>
        <v/>
      </c>
      <c r="F2992" s="118"/>
      <c r="G2992" s="113" t="str">
        <f>IF(A2992&amp;B2992="","",VLOOKUP(A2992&amp;B2992,INSUMOS!C:G,4,0))</f>
        <v/>
      </c>
      <c r="H2992" s="119" t="str">
        <f t="shared" si="492"/>
        <v/>
      </c>
      <c r="I2992" s="119" t="str">
        <f t="shared" si="493"/>
        <v/>
      </c>
      <c r="J2992" s="115" t="str">
        <f t="shared" si="494"/>
        <v/>
      </c>
      <c r="K2992" s="102" t="str">
        <f>IF(A2992&amp;B2992="","",VLOOKUP(A2992&amp;B2992,INSUMOS!C:G,5,0))</f>
        <v/>
      </c>
    </row>
    <row r="2993" spans="1:17" ht="15" x14ac:dyDescent="0.25">
      <c r="A2993" s="109"/>
      <c r="B2993" s="116"/>
      <c r="C2993" s="518" t="str">
        <f>IF(A2993&amp;B2993="","",VLOOKUP(A2993&amp;B2993,INSUMOS!C:G,2,0))</f>
        <v/>
      </c>
      <c r="D2993" s="519"/>
      <c r="E2993" s="117" t="str">
        <f>IF(A2993&amp;B2993="","",VLOOKUP(A2993&amp;B2993,INSUMOS!C:G,3,0))</f>
        <v/>
      </c>
      <c r="F2993" s="118"/>
      <c r="G2993" s="113" t="str">
        <f>IF(A2993&amp;B2993="","",VLOOKUP(A2993&amp;B2993,INSUMOS!C:G,4,0))</f>
        <v/>
      </c>
      <c r="H2993" s="119" t="str">
        <f t="shared" si="492"/>
        <v/>
      </c>
      <c r="I2993" s="119" t="str">
        <f t="shared" si="493"/>
        <v/>
      </c>
      <c r="J2993" s="115" t="str">
        <f t="shared" si="494"/>
        <v/>
      </c>
      <c r="K2993" s="102" t="str">
        <f>IF(A2993&amp;B2993="","",VLOOKUP(A2993&amp;B2993,INSUMOS!C:G,5,0))</f>
        <v/>
      </c>
    </row>
    <row r="2994" spans="1:17" ht="15" x14ac:dyDescent="0.25">
      <c r="A2994" s="109"/>
      <c r="B2994" s="116"/>
      <c r="C2994" s="518" t="str">
        <f>IF(A2994&amp;B2994="","",VLOOKUP(A2994&amp;B2994,INSUMOS!C:G,2,0))</f>
        <v/>
      </c>
      <c r="D2994" s="519"/>
      <c r="E2994" s="117" t="str">
        <f>IF(A2994&amp;B2994="","",VLOOKUP(A2994&amp;B2994,INSUMOS!C:G,3,0))</f>
        <v/>
      </c>
      <c r="F2994" s="118"/>
      <c r="G2994" s="113" t="str">
        <f>IF(A2994&amp;B2994="","",VLOOKUP(A2994&amp;B2994,INSUMOS!C:G,4,0))</f>
        <v/>
      </c>
      <c r="H2994" s="119" t="str">
        <f t="shared" si="492"/>
        <v/>
      </c>
      <c r="I2994" s="119" t="str">
        <f t="shared" si="493"/>
        <v/>
      </c>
      <c r="J2994" s="115" t="str">
        <f t="shared" si="494"/>
        <v/>
      </c>
      <c r="K2994" s="102" t="str">
        <f>IF(A2994&amp;B2994="","",VLOOKUP(A2994&amp;B2994,INSUMOS!C:G,5,0))</f>
        <v/>
      </c>
    </row>
    <row r="2995" spans="1:17" ht="15" x14ac:dyDescent="0.25">
      <c r="A2995" s="109"/>
      <c r="B2995" s="116"/>
      <c r="C2995" s="518" t="str">
        <f>IF(A2995&amp;B2995="","",VLOOKUP(A2995&amp;B2995,INSUMOS!C:G,2,0))</f>
        <v/>
      </c>
      <c r="D2995" s="519"/>
      <c r="E2995" s="117" t="str">
        <f>IF(A2995&amp;B2995="","",VLOOKUP(A2995&amp;B2995,INSUMOS!C:G,3,0))</f>
        <v/>
      </c>
      <c r="F2995" s="118"/>
      <c r="G2995" s="113" t="str">
        <f>IF(A2995&amp;B2995="","",VLOOKUP(A2995&amp;B2995,INSUMOS!C:G,4,0))</f>
        <v/>
      </c>
      <c r="H2995" s="119" t="str">
        <f t="shared" si="492"/>
        <v/>
      </c>
      <c r="I2995" s="119" t="str">
        <f t="shared" si="493"/>
        <v/>
      </c>
      <c r="J2995" s="115" t="str">
        <f t="shared" si="494"/>
        <v/>
      </c>
      <c r="K2995" s="102" t="str">
        <f>IF(A2995&amp;B2995="","",VLOOKUP(A2995&amp;B2995,INSUMOS!C:G,5,0))</f>
        <v/>
      </c>
    </row>
    <row r="2996" spans="1:17" ht="15" x14ac:dyDescent="0.25">
      <c r="A2996" s="109"/>
      <c r="B2996" s="116"/>
      <c r="C2996" s="518" t="str">
        <f>IF(A2996&amp;B2996="","",VLOOKUP(A2996&amp;B2996,INSUMOS!C:G,2,0))</f>
        <v/>
      </c>
      <c r="D2996" s="519"/>
      <c r="E2996" s="117" t="str">
        <f>IF(A2996&amp;B2996="","",VLOOKUP(A2996&amp;B2996,INSUMOS!C:G,3,0))</f>
        <v/>
      </c>
      <c r="F2996" s="118"/>
      <c r="G2996" s="113" t="str">
        <f>IF(A2996&amp;B2996="","",VLOOKUP(A2996&amp;B2996,INSUMOS!C:G,4,0))</f>
        <v/>
      </c>
      <c r="H2996" s="119" t="str">
        <f t="shared" si="492"/>
        <v/>
      </c>
      <c r="I2996" s="119" t="str">
        <f t="shared" si="493"/>
        <v/>
      </c>
      <c r="J2996" s="115" t="str">
        <f t="shared" si="494"/>
        <v/>
      </c>
      <c r="K2996" s="102" t="str">
        <f>IF(A2996&amp;B2996="","",VLOOKUP(A2996&amp;B2996,INSUMOS!C:G,5,0))</f>
        <v/>
      </c>
    </row>
    <row r="2997" spans="1:17" ht="15" x14ac:dyDescent="0.25">
      <c r="A2997" s="109"/>
      <c r="B2997" s="116"/>
      <c r="C2997" s="518" t="str">
        <f>IF(A2997&amp;B2997="","",VLOOKUP(A2997&amp;B2997,INSUMOS!C:G,2,0))</f>
        <v/>
      </c>
      <c r="D2997" s="519"/>
      <c r="E2997" s="117" t="str">
        <f>IF(A2997&amp;B2997="","",VLOOKUP(A2997&amp;B2997,INSUMOS!C:G,3,0))</f>
        <v/>
      </c>
      <c r="F2997" s="118"/>
      <c r="G2997" s="113" t="str">
        <f>IF(A2997&amp;B2997="","",VLOOKUP(A2997&amp;B2997,INSUMOS!C:G,4,0))</f>
        <v/>
      </c>
      <c r="H2997" s="119" t="str">
        <f t="shared" si="492"/>
        <v/>
      </c>
      <c r="I2997" s="119" t="str">
        <f t="shared" si="493"/>
        <v/>
      </c>
      <c r="J2997" s="115" t="str">
        <f t="shared" si="494"/>
        <v/>
      </c>
      <c r="K2997" s="102" t="str">
        <f>IF(A2997&amp;B2997="","",VLOOKUP(A2997&amp;B2997,INSUMOS!C:G,5,0))</f>
        <v/>
      </c>
    </row>
    <row r="2998" spans="1:17" ht="15" x14ac:dyDescent="0.25">
      <c r="A2998" s="109"/>
      <c r="B2998" s="116"/>
      <c r="C2998" s="518" t="str">
        <f>IF(A2998&amp;B2998="","",VLOOKUP(A2998&amp;B2998,INSUMOS!C:G,2,0))</f>
        <v/>
      </c>
      <c r="D2998" s="519"/>
      <c r="E2998" s="117" t="str">
        <f>IF(A2998&amp;B2998="","",VLOOKUP(A2998&amp;B2998,INSUMOS!C:G,3,0))</f>
        <v/>
      </c>
      <c r="F2998" s="118"/>
      <c r="G2998" s="113" t="str">
        <f>IF(A2998&amp;B2998="","",VLOOKUP(A2998&amp;B2998,INSUMOS!C:G,4,0))</f>
        <v/>
      </c>
      <c r="H2998" s="119" t="str">
        <f t="shared" si="492"/>
        <v/>
      </c>
      <c r="I2998" s="119" t="str">
        <f t="shared" si="493"/>
        <v/>
      </c>
      <c r="J2998" s="115" t="str">
        <f t="shared" si="494"/>
        <v/>
      </c>
      <c r="K2998" s="102" t="str">
        <f>IF(A2998&amp;B2998="","",VLOOKUP(A2998&amp;B2998,INSUMOS!C:G,5,0))</f>
        <v/>
      </c>
    </row>
    <row r="2999" spans="1:17" ht="15" x14ac:dyDescent="0.25">
      <c r="A2999" s="120"/>
      <c r="B2999" s="121"/>
      <c r="C2999" s="518" t="str">
        <f>IF(A2999&amp;B2999="","",VLOOKUP(A2999&amp;B2999,INSUMOS!C:G,2,0))</f>
        <v/>
      </c>
      <c r="D2999" s="519"/>
      <c r="E2999" s="117" t="str">
        <f>IF(A2999&amp;B2999="","",VLOOKUP(A2999&amp;B2999,INSUMOS!C:G,3,0))</f>
        <v/>
      </c>
      <c r="F2999" s="118"/>
      <c r="G2999" s="122" t="str">
        <f>IF(A2999&amp;B2999="","",VLOOKUP(A2999&amp;B2999,INSUMOS!C:G,4,0))</f>
        <v/>
      </c>
      <c r="H2999" s="119" t="str">
        <f t="shared" si="492"/>
        <v/>
      </c>
      <c r="I2999" s="119" t="str">
        <f t="shared" si="493"/>
        <v/>
      </c>
      <c r="J2999" s="115" t="str">
        <f t="shared" si="494"/>
        <v/>
      </c>
      <c r="K2999" s="102" t="str">
        <f>IF(A2999&amp;B2999="","",VLOOKUP(A2999&amp;B2999,INSUMOS!C:G,5,0))</f>
        <v/>
      </c>
    </row>
    <row r="3000" spans="1:17" ht="15" x14ac:dyDescent="0.25">
      <c r="A3000" s="120"/>
      <c r="B3000" s="121"/>
      <c r="C3000" s="518" t="str">
        <f>IF(A3000&amp;B3000="","",VLOOKUP(A3000&amp;B3000,INSUMOS!C:G,2,0))</f>
        <v/>
      </c>
      <c r="D3000" s="519"/>
      <c r="E3000" s="117" t="str">
        <f>IF(A3000&amp;B3000="","",VLOOKUP(A3000&amp;B3000,INSUMOS!C:G,3,0))</f>
        <v/>
      </c>
      <c r="F3000" s="118"/>
      <c r="G3000" s="122" t="str">
        <f>IF(A3000&amp;B3000="","",VLOOKUP(A3000&amp;B3000,INSUMOS!C:G,4,0))</f>
        <v/>
      </c>
      <c r="H3000" s="119" t="str">
        <f t="shared" si="492"/>
        <v/>
      </c>
      <c r="I3000" s="119" t="str">
        <f t="shared" si="493"/>
        <v/>
      </c>
      <c r="J3000" s="115" t="str">
        <f t="shared" si="494"/>
        <v/>
      </c>
      <c r="K3000" s="102" t="str">
        <f>IF(A3000&amp;B3000="","",VLOOKUP(A3000&amp;B3000,INSUMOS!C:G,5,0))</f>
        <v/>
      </c>
    </row>
    <row r="3001" spans="1:17" ht="15" x14ac:dyDescent="0.25">
      <c r="A3001" s="120"/>
      <c r="B3001" s="121"/>
      <c r="C3001" s="518" t="str">
        <f>IF(A3001&amp;B3001="","",VLOOKUP(A3001&amp;B3001,INSUMOS!C:G,2,0))</f>
        <v/>
      </c>
      <c r="D3001" s="519"/>
      <c r="E3001" s="117" t="str">
        <f>IF(A3001&amp;B3001="","",VLOOKUP(A3001&amp;B3001,INSUMOS!C:G,3,0))</f>
        <v/>
      </c>
      <c r="F3001" s="118"/>
      <c r="G3001" s="122" t="str">
        <f>IF(A3001&amp;B3001="","",VLOOKUP(A3001&amp;B3001,INSUMOS!C:G,4,0))</f>
        <v/>
      </c>
      <c r="H3001" s="119" t="str">
        <f t="shared" si="492"/>
        <v/>
      </c>
      <c r="I3001" s="119" t="str">
        <f t="shared" si="493"/>
        <v/>
      </c>
      <c r="J3001" s="115" t="str">
        <f t="shared" si="494"/>
        <v/>
      </c>
      <c r="K3001" s="102" t="str">
        <f>IF(A3001&amp;B3001="","",VLOOKUP(A3001&amp;B3001,INSUMOS!C:G,5,0))</f>
        <v/>
      </c>
    </row>
    <row r="3002" spans="1:17" ht="15" x14ac:dyDescent="0.25">
      <c r="A3002" s="123" t="s">
        <v>4399</v>
      </c>
      <c r="B3002" s="542"/>
      <c r="C3002" s="542"/>
      <c r="D3002" s="542"/>
      <c r="E3002" s="542"/>
      <c r="F3002" s="543"/>
      <c r="G3002" s="124" t="s">
        <v>50</v>
      </c>
      <c r="H3002" s="125">
        <f>SUM(H2989:H3001)</f>
        <v>0</v>
      </c>
      <c r="I3002" s="125">
        <f>SUM(I2989:I3001)</f>
        <v>3409.92</v>
      </c>
      <c r="J3002" s="126">
        <f>SUM(J2989:J3001)</f>
        <v>0</v>
      </c>
    </row>
    <row r="3003" spans="1:17" ht="15" x14ac:dyDescent="0.25">
      <c r="A3003" s="127" t="s">
        <v>4400</v>
      </c>
      <c r="B3003" s="128"/>
      <c r="C3003" s="128"/>
      <c r="D3003" s="127" t="s">
        <v>51</v>
      </c>
      <c r="E3003" s="128"/>
      <c r="F3003" s="129"/>
      <c r="G3003" s="130" t="s">
        <v>55</v>
      </c>
      <c r="H3003" s="131" t="s">
        <v>52</v>
      </c>
      <c r="I3003" s="132"/>
      <c r="J3003" s="125">
        <f>SUM(H3002:J3002)</f>
        <v>3409.92</v>
      </c>
    </row>
    <row r="3004" spans="1:17" ht="15" x14ac:dyDescent="0.25">
      <c r="A3004" s="313" t="str">
        <f>$I$3</f>
        <v>Carlos Wieck</v>
      </c>
      <c r="B3004" s="133"/>
      <c r="C3004" s="133"/>
      <c r="D3004" s="134"/>
      <c r="E3004" s="133"/>
      <c r="F3004" s="135"/>
      <c r="G3004" s="522">
        <f>$J$5</f>
        <v>43040</v>
      </c>
      <c r="H3004" s="136" t="s">
        <v>53</v>
      </c>
      <c r="I3004" s="137"/>
      <c r="J3004" s="125">
        <f>TRUNC(I3004*J3003,2)</f>
        <v>0</v>
      </c>
    </row>
    <row r="3005" spans="1:17" ht="15" x14ac:dyDescent="0.25">
      <c r="A3005" s="314"/>
      <c r="B3005" s="139"/>
      <c r="C3005" s="139"/>
      <c r="D3005" s="138"/>
      <c r="E3005" s="139"/>
      <c r="F3005" s="140"/>
      <c r="G3005" s="523"/>
      <c r="H3005" s="141" t="s">
        <v>54</v>
      </c>
      <c r="I3005" s="142"/>
      <c r="J3005" s="143">
        <f>J3004+J3003</f>
        <v>3409.92</v>
      </c>
      <c r="L3005" s="102" t="str">
        <f>A2986</f>
        <v>COMPOSIÇÃO</v>
      </c>
      <c r="M3005" s="144" t="str">
        <f>B2986</f>
        <v>FF-130</v>
      </c>
      <c r="N3005" s="102" t="str">
        <f>L3005&amp;M3005</f>
        <v>COMPOSIÇÃOFF-130</v>
      </c>
      <c r="O3005" s="103" t="str">
        <f>D2985</f>
        <v>PM 04 - Porta lisa com batente de madeira (pinus tratado autoclavado) L=124,5cm H=240cm e painel fixo de madeira L=20cm H=240cm.</v>
      </c>
      <c r="P3005" s="145" t="str">
        <f>J2986</f>
        <v>un</v>
      </c>
      <c r="Q3005" s="145">
        <f>J3005</f>
        <v>3409.92</v>
      </c>
    </row>
    <row r="3006" spans="1:17" ht="15" customHeight="1" x14ac:dyDescent="0.25">
      <c r="A3006" s="524" t="s">
        <v>40</v>
      </c>
      <c r="B3006" s="525"/>
      <c r="C3006" s="104" t="s">
        <v>41</v>
      </c>
      <c r="D3006" s="526" t="str">
        <f>IF(B3007="","",VLOOKUP(B3007,SERVIÇOS!B:E,3,0))</f>
        <v>PM 05 - Porta lisa com batente de madeira (pinus tratado autoclavado) L=124,5cm H=240cm e painel fixo de madeira L=20cm H=240cm.</v>
      </c>
      <c r="E3006" s="526"/>
      <c r="F3006" s="526"/>
      <c r="G3006" s="526"/>
      <c r="H3006" s="526"/>
      <c r="I3006" s="527"/>
      <c r="J3006" s="105" t="s">
        <v>42</v>
      </c>
    </row>
    <row r="3007" spans="1:17" ht="15" x14ac:dyDescent="0.25">
      <c r="A3007" s="230" t="s">
        <v>4715</v>
      </c>
      <c r="B3007" s="230" t="s">
        <v>5403</v>
      </c>
      <c r="C3007" s="106"/>
      <c r="D3007" s="528"/>
      <c r="E3007" s="528"/>
      <c r="F3007" s="528"/>
      <c r="G3007" s="528"/>
      <c r="H3007" s="528"/>
      <c r="I3007" s="529"/>
      <c r="J3007" s="107" t="str">
        <f>IF(B3007="","",VLOOKUP(B3007,SERVIÇOS!B:E,4,0))</f>
        <v>un</v>
      </c>
    </row>
    <row r="3008" spans="1:17" ht="15" x14ac:dyDescent="0.25">
      <c r="A3008" s="530" t="s">
        <v>4397</v>
      </c>
      <c r="B3008" s="531" t="s">
        <v>11</v>
      </c>
      <c r="C3008" s="533" t="s">
        <v>43</v>
      </c>
      <c r="D3008" s="534"/>
      <c r="E3008" s="530" t="s">
        <v>13</v>
      </c>
      <c r="F3008" s="530" t="s">
        <v>44</v>
      </c>
      <c r="G3008" s="538" t="s">
        <v>45</v>
      </c>
      <c r="H3008" s="108" t="s">
        <v>46</v>
      </c>
      <c r="I3008" s="108"/>
      <c r="J3008" s="108"/>
    </row>
    <row r="3009" spans="1:11" ht="15" x14ac:dyDescent="0.25">
      <c r="A3009" s="530"/>
      <c r="B3009" s="532"/>
      <c r="C3009" s="535"/>
      <c r="D3009" s="536"/>
      <c r="E3009" s="537"/>
      <c r="F3009" s="537"/>
      <c r="G3009" s="539"/>
      <c r="H3009" s="108" t="s">
        <v>47</v>
      </c>
      <c r="I3009" s="108" t="s">
        <v>48</v>
      </c>
      <c r="J3009" s="108" t="s">
        <v>49</v>
      </c>
    </row>
    <row r="3010" spans="1:11" ht="30" customHeight="1" x14ac:dyDescent="0.25">
      <c r="A3010" s="109" t="s">
        <v>4717</v>
      </c>
      <c r="B3010" s="116" t="s">
        <v>4996</v>
      </c>
      <c r="C3010" s="540" t="str">
        <f>IF(A3010&amp;B3010="","",VLOOKUP(A3010&amp;B3010,INSUMOS!C:G,2,0))</f>
        <v>PM 05 - Porta lisa com batente de madeira (pinus tratado autoclavado) L=124,5cm H=240cm e painel fixo de madeira L=20cm H=240cm.</v>
      </c>
      <c r="D3010" s="541"/>
      <c r="E3010" s="111" t="str">
        <f>IF(A3010&amp;B3010="","",VLOOKUP(A3010&amp;B3010,INSUMOS!C:G,3,0))</f>
        <v>un</v>
      </c>
      <c r="F3010" s="112">
        <v>1</v>
      </c>
      <c r="G3010" s="113">
        <f>IF(A3010&amp;B3010="","",VLOOKUP(A3010&amp;B3010,INSUMOS!C:G,4,0))</f>
        <v>2379.01244</v>
      </c>
      <c r="H3010" s="114" t="str">
        <f>IF(K3010="MO",TRUNC(F3010*G3010,2),"")</f>
        <v/>
      </c>
      <c r="I3010" s="114">
        <f>IF(K3010="MT",TRUNC(F3010*G3010,2),"")</f>
        <v>2379.0100000000002</v>
      </c>
      <c r="J3010" s="115" t="str">
        <f>IF(K3010="EQ",TRUNC(F3010*G3010,2),"")</f>
        <v/>
      </c>
      <c r="K3010" s="102" t="str">
        <f>IF(A3010&amp;B3010="","",VLOOKUP(A3010&amp;B3010,INSUMOS!C:G,5,0))</f>
        <v>MT</v>
      </c>
    </row>
    <row r="3011" spans="1:11" ht="15" x14ac:dyDescent="0.25">
      <c r="A3011" s="109"/>
      <c r="B3011" s="116"/>
      <c r="C3011" s="518" t="str">
        <f>IF(A3011&amp;B3011="","",VLOOKUP(A3011&amp;B3011,INSUMOS!C:G,2,0))</f>
        <v/>
      </c>
      <c r="D3011" s="519"/>
      <c r="E3011" s="117" t="str">
        <f>IF(A3011&amp;B3011="","",VLOOKUP(A3011&amp;B3011,INSUMOS!C:G,3,0))</f>
        <v/>
      </c>
      <c r="F3011" s="118"/>
      <c r="G3011" s="113" t="str">
        <f>IF(A3011&amp;B3011="","",VLOOKUP(A3011&amp;B3011,INSUMOS!C:G,4,0))</f>
        <v/>
      </c>
      <c r="H3011" s="119" t="str">
        <f t="shared" ref="H3011:H3022" si="495">IF(K3011="MO",TRUNC(F3011*G3011,2),"")</f>
        <v/>
      </c>
      <c r="I3011" s="119" t="str">
        <f t="shared" ref="I3011:I3022" si="496">IF(K3011="MT",TRUNC(F3011*G3011,2),"")</f>
        <v/>
      </c>
      <c r="J3011" s="115" t="str">
        <f t="shared" ref="J3011:J3022" si="497">IF(K3011="EQ",TRUNC(F3011*G3011,2),"")</f>
        <v/>
      </c>
      <c r="K3011" s="102" t="str">
        <f>IF(A3011&amp;B3011="","",VLOOKUP(A3011&amp;B3011,INSUMOS!C:G,5,0))</f>
        <v/>
      </c>
    </row>
    <row r="3012" spans="1:11" ht="15" x14ac:dyDescent="0.25">
      <c r="A3012" s="109"/>
      <c r="B3012" s="116"/>
      <c r="C3012" s="518" t="str">
        <f>IF(A3012&amp;B3012="","",VLOOKUP(A3012&amp;B3012,INSUMOS!C:G,2,0))</f>
        <v/>
      </c>
      <c r="D3012" s="519"/>
      <c r="E3012" s="117" t="str">
        <f>IF(A3012&amp;B3012="","",VLOOKUP(A3012&amp;B3012,INSUMOS!C:G,3,0))</f>
        <v/>
      </c>
      <c r="F3012" s="118"/>
      <c r="G3012" s="113" t="str">
        <f>IF(A3012&amp;B3012="","",VLOOKUP(A3012&amp;B3012,INSUMOS!C:G,4,0))</f>
        <v/>
      </c>
      <c r="H3012" s="119" t="str">
        <f t="shared" si="495"/>
        <v/>
      </c>
      <c r="I3012" s="119" t="str">
        <f t="shared" si="496"/>
        <v/>
      </c>
      <c r="J3012" s="115" t="str">
        <f t="shared" si="497"/>
        <v/>
      </c>
      <c r="K3012" s="102" t="str">
        <f>IF(A3012&amp;B3012="","",VLOOKUP(A3012&amp;B3012,INSUMOS!C:G,5,0))</f>
        <v/>
      </c>
    </row>
    <row r="3013" spans="1:11" ht="15" x14ac:dyDescent="0.25">
      <c r="A3013" s="109"/>
      <c r="B3013" s="116"/>
      <c r="C3013" s="518" t="str">
        <f>IF(A3013&amp;B3013="","",VLOOKUP(A3013&amp;B3013,INSUMOS!C:G,2,0))</f>
        <v/>
      </c>
      <c r="D3013" s="519"/>
      <c r="E3013" s="117" t="str">
        <f>IF(A3013&amp;B3013="","",VLOOKUP(A3013&amp;B3013,INSUMOS!C:G,3,0))</f>
        <v/>
      </c>
      <c r="F3013" s="118"/>
      <c r="G3013" s="113" t="str">
        <f>IF(A3013&amp;B3013="","",VLOOKUP(A3013&amp;B3013,INSUMOS!C:G,4,0))</f>
        <v/>
      </c>
      <c r="H3013" s="119" t="str">
        <f t="shared" si="495"/>
        <v/>
      </c>
      <c r="I3013" s="119" t="str">
        <f t="shared" si="496"/>
        <v/>
      </c>
      <c r="J3013" s="115" t="str">
        <f t="shared" si="497"/>
        <v/>
      </c>
      <c r="K3013" s="102" t="str">
        <f>IF(A3013&amp;B3013="","",VLOOKUP(A3013&amp;B3013,INSUMOS!C:G,5,0))</f>
        <v/>
      </c>
    </row>
    <row r="3014" spans="1:11" ht="15" x14ac:dyDescent="0.25">
      <c r="A3014" s="109"/>
      <c r="B3014" s="116"/>
      <c r="C3014" s="518" t="str">
        <f>IF(A3014&amp;B3014="","",VLOOKUP(A3014&amp;B3014,INSUMOS!C:G,2,0))</f>
        <v/>
      </c>
      <c r="D3014" s="519"/>
      <c r="E3014" s="117" t="str">
        <f>IF(A3014&amp;B3014="","",VLOOKUP(A3014&amp;B3014,INSUMOS!C:G,3,0))</f>
        <v/>
      </c>
      <c r="F3014" s="118"/>
      <c r="G3014" s="113" t="str">
        <f>IF(A3014&amp;B3014="","",VLOOKUP(A3014&amp;B3014,INSUMOS!C:G,4,0))</f>
        <v/>
      </c>
      <c r="H3014" s="119" t="str">
        <f t="shared" si="495"/>
        <v/>
      </c>
      <c r="I3014" s="119" t="str">
        <f t="shared" si="496"/>
        <v/>
      </c>
      <c r="J3014" s="115" t="str">
        <f t="shared" si="497"/>
        <v/>
      </c>
      <c r="K3014" s="102" t="str">
        <f>IF(A3014&amp;B3014="","",VLOOKUP(A3014&amp;B3014,INSUMOS!C:G,5,0))</f>
        <v/>
      </c>
    </row>
    <row r="3015" spans="1:11" ht="15" x14ac:dyDescent="0.25">
      <c r="A3015" s="109"/>
      <c r="B3015" s="116"/>
      <c r="C3015" s="518" t="str">
        <f>IF(A3015&amp;B3015="","",VLOOKUP(A3015&amp;B3015,INSUMOS!C:G,2,0))</f>
        <v/>
      </c>
      <c r="D3015" s="519"/>
      <c r="E3015" s="117" t="str">
        <f>IF(A3015&amp;B3015="","",VLOOKUP(A3015&amp;B3015,INSUMOS!C:G,3,0))</f>
        <v/>
      </c>
      <c r="F3015" s="118"/>
      <c r="G3015" s="113" t="str">
        <f>IF(A3015&amp;B3015="","",VLOOKUP(A3015&amp;B3015,INSUMOS!C:G,4,0))</f>
        <v/>
      </c>
      <c r="H3015" s="119" t="str">
        <f t="shared" si="495"/>
        <v/>
      </c>
      <c r="I3015" s="119" t="str">
        <f t="shared" si="496"/>
        <v/>
      </c>
      <c r="J3015" s="115" t="str">
        <f t="shared" si="497"/>
        <v/>
      </c>
      <c r="K3015" s="102" t="str">
        <f>IF(A3015&amp;B3015="","",VLOOKUP(A3015&amp;B3015,INSUMOS!C:G,5,0))</f>
        <v/>
      </c>
    </row>
    <row r="3016" spans="1:11" ht="15" x14ac:dyDescent="0.25">
      <c r="A3016" s="109"/>
      <c r="B3016" s="116"/>
      <c r="C3016" s="518" t="str">
        <f>IF(A3016&amp;B3016="","",VLOOKUP(A3016&amp;B3016,INSUMOS!C:G,2,0))</f>
        <v/>
      </c>
      <c r="D3016" s="519"/>
      <c r="E3016" s="117" t="str">
        <f>IF(A3016&amp;B3016="","",VLOOKUP(A3016&amp;B3016,INSUMOS!C:G,3,0))</f>
        <v/>
      </c>
      <c r="F3016" s="118"/>
      <c r="G3016" s="113" t="str">
        <f>IF(A3016&amp;B3016="","",VLOOKUP(A3016&amp;B3016,INSUMOS!C:G,4,0))</f>
        <v/>
      </c>
      <c r="H3016" s="119" t="str">
        <f t="shared" si="495"/>
        <v/>
      </c>
      <c r="I3016" s="119" t="str">
        <f t="shared" si="496"/>
        <v/>
      </c>
      <c r="J3016" s="115" t="str">
        <f t="shared" si="497"/>
        <v/>
      </c>
      <c r="K3016" s="102" t="str">
        <f>IF(A3016&amp;B3016="","",VLOOKUP(A3016&amp;B3016,INSUMOS!C:G,5,0))</f>
        <v/>
      </c>
    </row>
    <row r="3017" spans="1:11" ht="15" x14ac:dyDescent="0.25">
      <c r="A3017" s="109"/>
      <c r="B3017" s="116"/>
      <c r="C3017" s="518" t="str">
        <f>IF(A3017&amp;B3017="","",VLOOKUP(A3017&amp;B3017,INSUMOS!C:G,2,0))</f>
        <v/>
      </c>
      <c r="D3017" s="519"/>
      <c r="E3017" s="117" t="str">
        <f>IF(A3017&amp;B3017="","",VLOOKUP(A3017&amp;B3017,INSUMOS!C:G,3,0))</f>
        <v/>
      </c>
      <c r="F3017" s="118"/>
      <c r="G3017" s="113" t="str">
        <f>IF(A3017&amp;B3017="","",VLOOKUP(A3017&amp;B3017,INSUMOS!C:G,4,0))</f>
        <v/>
      </c>
      <c r="H3017" s="119" t="str">
        <f t="shared" si="495"/>
        <v/>
      </c>
      <c r="I3017" s="119" t="str">
        <f t="shared" si="496"/>
        <v/>
      </c>
      <c r="J3017" s="115" t="str">
        <f t="shared" si="497"/>
        <v/>
      </c>
      <c r="K3017" s="102" t="str">
        <f>IF(A3017&amp;B3017="","",VLOOKUP(A3017&amp;B3017,INSUMOS!C:G,5,0))</f>
        <v/>
      </c>
    </row>
    <row r="3018" spans="1:11" ht="15" x14ac:dyDescent="0.25">
      <c r="A3018" s="109"/>
      <c r="B3018" s="116"/>
      <c r="C3018" s="518" t="str">
        <f>IF(A3018&amp;B3018="","",VLOOKUP(A3018&amp;B3018,INSUMOS!C:G,2,0))</f>
        <v/>
      </c>
      <c r="D3018" s="519"/>
      <c r="E3018" s="117" t="str">
        <f>IF(A3018&amp;B3018="","",VLOOKUP(A3018&amp;B3018,INSUMOS!C:G,3,0))</f>
        <v/>
      </c>
      <c r="F3018" s="118"/>
      <c r="G3018" s="113" t="str">
        <f>IF(A3018&amp;B3018="","",VLOOKUP(A3018&amp;B3018,INSUMOS!C:G,4,0))</f>
        <v/>
      </c>
      <c r="H3018" s="119" t="str">
        <f t="shared" si="495"/>
        <v/>
      </c>
      <c r="I3018" s="119" t="str">
        <f t="shared" si="496"/>
        <v/>
      </c>
      <c r="J3018" s="115" t="str">
        <f t="shared" si="497"/>
        <v/>
      </c>
      <c r="K3018" s="102" t="str">
        <f>IF(A3018&amp;B3018="","",VLOOKUP(A3018&amp;B3018,INSUMOS!C:G,5,0))</f>
        <v/>
      </c>
    </row>
    <row r="3019" spans="1:11" ht="15" x14ac:dyDescent="0.25">
      <c r="A3019" s="109"/>
      <c r="B3019" s="116"/>
      <c r="C3019" s="518" t="str">
        <f>IF(A3019&amp;B3019="","",VLOOKUP(A3019&amp;B3019,INSUMOS!C:G,2,0))</f>
        <v/>
      </c>
      <c r="D3019" s="519"/>
      <c r="E3019" s="117" t="str">
        <f>IF(A3019&amp;B3019="","",VLOOKUP(A3019&amp;B3019,INSUMOS!C:G,3,0))</f>
        <v/>
      </c>
      <c r="F3019" s="118"/>
      <c r="G3019" s="113" t="str">
        <f>IF(A3019&amp;B3019="","",VLOOKUP(A3019&amp;B3019,INSUMOS!C:G,4,0))</f>
        <v/>
      </c>
      <c r="H3019" s="119" t="str">
        <f t="shared" si="495"/>
        <v/>
      </c>
      <c r="I3019" s="119" t="str">
        <f t="shared" si="496"/>
        <v/>
      </c>
      <c r="J3019" s="115" t="str">
        <f t="shared" si="497"/>
        <v/>
      </c>
      <c r="K3019" s="102" t="str">
        <f>IF(A3019&amp;B3019="","",VLOOKUP(A3019&amp;B3019,INSUMOS!C:G,5,0))</f>
        <v/>
      </c>
    </row>
    <row r="3020" spans="1:11" ht="15" x14ac:dyDescent="0.25">
      <c r="A3020" s="120"/>
      <c r="B3020" s="121"/>
      <c r="C3020" s="518" t="str">
        <f>IF(A3020&amp;B3020="","",VLOOKUP(A3020&amp;B3020,INSUMOS!C:G,2,0))</f>
        <v/>
      </c>
      <c r="D3020" s="519"/>
      <c r="E3020" s="117" t="str">
        <f>IF(A3020&amp;B3020="","",VLOOKUP(A3020&amp;B3020,INSUMOS!C:G,3,0))</f>
        <v/>
      </c>
      <c r="F3020" s="118"/>
      <c r="G3020" s="122" t="str">
        <f>IF(A3020&amp;B3020="","",VLOOKUP(A3020&amp;B3020,INSUMOS!C:G,4,0))</f>
        <v/>
      </c>
      <c r="H3020" s="119" t="str">
        <f t="shared" si="495"/>
        <v/>
      </c>
      <c r="I3020" s="119" t="str">
        <f t="shared" si="496"/>
        <v/>
      </c>
      <c r="J3020" s="115" t="str">
        <f t="shared" si="497"/>
        <v/>
      </c>
      <c r="K3020" s="102" t="str">
        <f>IF(A3020&amp;B3020="","",VLOOKUP(A3020&amp;B3020,INSUMOS!C:G,5,0))</f>
        <v/>
      </c>
    </row>
    <row r="3021" spans="1:11" ht="15" x14ac:dyDescent="0.25">
      <c r="A3021" s="120"/>
      <c r="B3021" s="121"/>
      <c r="C3021" s="518" t="str">
        <f>IF(A3021&amp;B3021="","",VLOOKUP(A3021&amp;B3021,INSUMOS!C:G,2,0))</f>
        <v/>
      </c>
      <c r="D3021" s="519"/>
      <c r="E3021" s="117" t="str">
        <f>IF(A3021&amp;B3021="","",VLOOKUP(A3021&amp;B3021,INSUMOS!C:G,3,0))</f>
        <v/>
      </c>
      <c r="F3021" s="118"/>
      <c r="G3021" s="122" t="str">
        <f>IF(A3021&amp;B3021="","",VLOOKUP(A3021&amp;B3021,INSUMOS!C:G,4,0))</f>
        <v/>
      </c>
      <c r="H3021" s="119" t="str">
        <f t="shared" si="495"/>
        <v/>
      </c>
      <c r="I3021" s="119" t="str">
        <f t="shared" si="496"/>
        <v/>
      </c>
      <c r="J3021" s="115" t="str">
        <f t="shared" si="497"/>
        <v/>
      </c>
      <c r="K3021" s="102" t="str">
        <f>IF(A3021&amp;B3021="","",VLOOKUP(A3021&amp;B3021,INSUMOS!C:G,5,0))</f>
        <v/>
      </c>
    </row>
    <row r="3022" spans="1:11" ht="15" x14ac:dyDescent="0.25">
      <c r="A3022" s="120"/>
      <c r="B3022" s="121"/>
      <c r="C3022" s="518" t="str">
        <f>IF(A3022&amp;B3022="","",VLOOKUP(A3022&amp;B3022,INSUMOS!C:G,2,0))</f>
        <v/>
      </c>
      <c r="D3022" s="519"/>
      <c r="E3022" s="117" t="str">
        <f>IF(A3022&amp;B3022="","",VLOOKUP(A3022&amp;B3022,INSUMOS!C:G,3,0))</f>
        <v/>
      </c>
      <c r="F3022" s="118"/>
      <c r="G3022" s="122" t="str">
        <f>IF(A3022&amp;B3022="","",VLOOKUP(A3022&amp;B3022,INSUMOS!C:G,4,0))</f>
        <v/>
      </c>
      <c r="H3022" s="119" t="str">
        <f t="shared" si="495"/>
        <v/>
      </c>
      <c r="I3022" s="119" t="str">
        <f t="shared" si="496"/>
        <v/>
      </c>
      <c r="J3022" s="115" t="str">
        <f t="shared" si="497"/>
        <v/>
      </c>
      <c r="K3022" s="102" t="str">
        <f>IF(A3022&amp;B3022="","",VLOOKUP(A3022&amp;B3022,INSUMOS!C:G,5,0))</f>
        <v/>
      </c>
    </row>
    <row r="3023" spans="1:11" ht="15" x14ac:dyDescent="0.25">
      <c r="A3023" s="123" t="s">
        <v>4399</v>
      </c>
      <c r="B3023" s="542"/>
      <c r="C3023" s="542"/>
      <c r="D3023" s="542"/>
      <c r="E3023" s="542"/>
      <c r="F3023" s="543"/>
      <c r="G3023" s="124" t="s">
        <v>50</v>
      </c>
      <c r="H3023" s="125">
        <f>SUM(H3010:H3022)</f>
        <v>0</v>
      </c>
      <c r="I3023" s="125">
        <f>SUM(I3010:I3022)</f>
        <v>2379.0100000000002</v>
      </c>
      <c r="J3023" s="126">
        <f>SUM(J3010:J3022)</f>
        <v>0</v>
      </c>
    </row>
    <row r="3024" spans="1:11" ht="15" x14ac:dyDescent="0.25">
      <c r="A3024" s="127" t="s">
        <v>4400</v>
      </c>
      <c r="B3024" s="128"/>
      <c r="C3024" s="128"/>
      <c r="D3024" s="127" t="s">
        <v>51</v>
      </c>
      <c r="E3024" s="128"/>
      <c r="F3024" s="129"/>
      <c r="G3024" s="130" t="s">
        <v>55</v>
      </c>
      <c r="H3024" s="131" t="s">
        <v>52</v>
      </c>
      <c r="I3024" s="132"/>
      <c r="J3024" s="125">
        <f>SUM(H3023:J3023)</f>
        <v>2379.0100000000002</v>
      </c>
    </row>
    <row r="3025" spans="1:17" ht="15" x14ac:dyDescent="0.25">
      <c r="A3025" s="313" t="str">
        <f>$I$3</f>
        <v>Carlos Wieck</v>
      </c>
      <c r="B3025" s="133"/>
      <c r="C3025" s="133"/>
      <c r="D3025" s="134"/>
      <c r="E3025" s="133"/>
      <c r="F3025" s="135"/>
      <c r="G3025" s="522">
        <f>$J$5</f>
        <v>43040</v>
      </c>
      <c r="H3025" s="136" t="s">
        <v>53</v>
      </c>
      <c r="I3025" s="137"/>
      <c r="J3025" s="125">
        <f>TRUNC(I3025*J3024,2)</f>
        <v>0</v>
      </c>
    </row>
    <row r="3026" spans="1:17" ht="15" x14ac:dyDescent="0.25">
      <c r="A3026" s="314"/>
      <c r="B3026" s="139"/>
      <c r="C3026" s="139"/>
      <c r="D3026" s="138"/>
      <c r="E3026" s="139"/>
      <c r="F3026" s="140"/>
      <c r="G3026" s="523"/>
      <c r="H3026" s="141" t="s">
        <v>54</v>
      </c>
      <c r="I3026" s="142"/>
      <c r="J3026" s="143">
        <f>J3025+J3024</f>
        <v>2379.0100000000002</v>
      </c>
      <c r="L3026" s="102" t="str">
        <f>A3007</f>
        <v>COMPOSIÇÃO</v>
      </c>
      <c r="M3026" s="144" t="str">
        <f>B3007</f>
        <v>FF-131</v>
      </c>
      <c r="N3026" s="102" t="str">
        <f>L3026&amp;M3026</f>
        <v>COMPOSIÇÃOFF-131</v>
      </c>
      <c r="O3026" s="103" t="str">
        <f>D3006</f>
        <v>PM 05 - Porta lisa com batente de madeira (pinus tratado autoclavado) L=124,5cm H=240cm e painel fixo de madeira L=20cm H=240cm.</v>
      </c>
      <c r="P3026" s="145" t="str">
        <f>J3007</f>
        <v>un</v>
      </c>
      <c r="Q3026" s="145">
        <f>J3026</f>
        <v>2379.0100000000002</v>
      </c>
    </row>
    <row r="3027" spans="1:17" ht="15" customHeight="1" x14ac:dyDescent="0.25">
      <c r="A3027" s="524" t="s">
        <v>40</v>
      </c>
      <c r="B3027" s="525"/>
      <c r="C3027" s="104" t="s">
        <v>41</v>
      </c>
      <c r="D3027" s="526" t="str">
        <f>IF(B3028="","",VLOOKUP(B3028,SERVIÇOS!B:E,3,0))</f>
        <v>Fornecimento e Instalação de Estruturas de Madeira Laminada Colada, conforme projeto (Sede), incluindo ligações metálicas, produtos, acabamentos e frete</v>
      </c>
      <c r="E3027" s="526"/>
      <c r="F3027" s="526"/>
      <c r="G3027" s="526"/>
      <c r="H3027" s="526"/>
      <c r="I3027" s="527"/>
      <c r="J3027" s="105" t="s">
        <v>42</v>
      </c>
    </row>
    <row r="3028" spans="1:17" ht="15" x14ac:dyDescent="0.25">
      <c r="A3028" s="230" t="s">
        <v>4715</v>
      </c>
      <c r="B3028" s="230" t="s">
        <v>5448</v>
      </c>
      <c r="C3028" s="106"/>
      <c r="D3028" s="528"/>
      <c r="E3028" s="528"/>
      <c r="F3028" s="528"/>
      <c r="G3028" s="528"/>
      <c r="H3028" s="528"/>
      <c r="I3028" s="529"/>
      <c r="J3028" s="107" t="str">
        <f>IF(B3028="","",VLOOKUP(B3028,SERVIÇOS!B:E,4,0))</f>
        <v>cj</v>
      </c>
    </row>
    <row r="3029" spans="1:17" ht="15" x14ac:dyDescent="0.25">
      <c r="A3029" s="530" t="s">
        <v>4397</v>
      </c>
      <c r="B3029" s="531" t="s">
        <v>11</v>
      </c>
      <c r="C3029" s="533" t="s">
        <v>43</v>
      </c>
      <c r="D3029" s="534"/>
      <c r="E3029" s="530" t="s">
        <v>13</v>
      </c>
      <c r="F3029" s="530" t="s">
        <v>44</v>
      </c>
      <c r="G3029" s="538" t="s">
        <v>45</v>
      </c>
      <c r="H3029" s="108" t="s">
        <v>46</v>
      </c>
      <c r="I3029" s="108"/>
      <c r="J3029" s="108"/>
    </row>
    <row r="3030" spans="1:17" ht="15" x14ac:dyDescent="0.25">
      <c r="A3030" s="530"/>
      <c r="B3030" s="532"/>
      <c r="C3030" s="535"/>
      <c r="D3030" s="536"/>
      <c r="E3030" s="537"/>
      <c r="F3030" s="537"/>
      <c r="G3030" s="539"/>
      <c r="H3030" s="108" t="s">
        <v>47</v>
      </c>
      <c r="I3030" s="108" t="s">
        <v>48</v>
      </c>
      <c r="J3030" s="108" t="s">
        <v>49</v>
      </c>
    </row>
    <row r="3031" spans="1:17" ht="30" customHeight="1" x14ac:dyDescent="0.25">
      <c r="A3031" s="109" t="s">
        <v>4717</v>
      </c>
      <c r="B3031" s="116" t="s">
        <v>4997</v>
      </c>
      <c r="C3031" s="540" t="str">
        <f>IF(A3031&amp;B3031="","",VLOOKUP(A3031&amp;B3031,INSUMOS!C:G,2,0))</f>
        <v>Fornecimento e Instalação de Estruturas de Madeira Laminada Colada, conforme projeto (Sede), incluindo ligações metálicas, produtos, acabamentos e frete</v>
      </c>
      <c r="D3031" s="541"/>
      <c r="E3031" s="111" t="str">
        <f>IF(A3031&amp;B3031="","",VLOOKUP(A3031&amp;B3031,INSUMOS!C:G,3,0))</f>
        <v>cj</v>
      </c>
      <c r="F3031" s="112">
        <v>1</v>
      </c>
      <c r="G3031" s="113">
        <f>IF(A3031&amp;B3031="","",VLOOKUP(A3031&amp;B3031,INSUMOS!C:G,4,0))</f>
        <v>789035.76599999995</v>
      </c>
      <c r="H3031" s="114" t="str">
        <f>IF(K3031="MO",TRUNC(F3031*G3031,2),"")</f>
        <v/>
      </c>
      <c r="I3031" s="114">
        <f>IF(K3031="MT",TRUNC(F3031*G3031,2),"")</f>
        <v>789035.76</v>
      </c>
      <c r="J3031" s="115" t="str">
        <f>IF(K3031="EQ",TRUNC(F3031*G3031,2),"")</f>
        <v/>
      </c>
      <c r="K3031" s="102" t="str">
        <f>IF(A3031&amp;B3031="","",VLOOKUP(A3031&amp;B3031,INSUMOS!C:G,5,0))</f>
        <v>MT</v>
      </c>
    </row>
    <row r="3032" spans="1:17" ht="15" x14ac:dyDescent="0.25">
      <c r="A3032" s="109"/>
      <c r="B3032" s="116"/>
      <c r="C3032" s="518" t="str">
        <f>IF(A3032&amp;B3032="","",VLOOKUP(A3032&amp;B3032,INSUMOS!C:G,2,0))</f>
        <v/>
      </c>
      <c r="D3032" s="519"/>
      <c r="E3032" s="117" t="str">
        <f>IF(A3032&amp;B3032="","",VLOOKUP(A3032&amp;B3032,INSUMOS!C:G,3,0))</f>
        <v/>
      </c>
      <c r="F3032" s="118"/>
      <c r="G3032" s="113" t="str">
        <f>IF(A3032&amp;B3032="","",VLOOKUP(A3032&amp;B3032,INSUMOS!C:G,4,0))</f>
        <v/>
      </c>
      <c r="H3032" s="119" t="str">
        <f t="shared" ref="H3032:H3043" si="498">IF(K3032="MO",TRUNC(F3032*G3032,2),"")</f>
        <v/>
      </c>
      <c r="I3032" s="119" t="str">
        <f t="shared" ref="I3032:I3043" si="499">IF(K3032="MT",TRUNC(F3032*G3032,2),"")</f>
        <v/>
      </c>
      <c r="J3032" s="115" t="str">
        <f t="shared" ref="J3032:J3043" si="500">IF(K3032="EQ",TRUNC(F3032*G3032,2),"")</f>
        <v/>
      </c>
      <c r="K3032" s="102" t="str">
        <f>IF(A3032&amp;B3032="","",VLOOKUP(A3032&amp;B3032,INSUMOS!C:G,5,0))</f>
        <v/>
      </c>
    </row>
    <row r="3033" spans="1:17" ht="15" x14ac:dyDescent="0.25">
      <c r="A3033" s="109"/>
      <c r="B3033" s="116"/>
      <c r="C3033" s="518" t="str">
        <f>IF(A3033&amp;B3033="","",VLOOKUP(A3033&amp;B3033,INSUMOS!C:G,2,0))</f>
        <v/>
      </c>
      <c r="D3033" s="519"/>
      <c r="E3033" s="117" t="str">
        <f>IF(A3033&amp;B3033="","",VLOOKUP(A3033&amp;B3033,INSUMOS!C:G,3,0))</f>
        <v/>
      </c>
      <c r="F3033" s="118"/>
      <c r="G3033" s="113" t="str">
        <f>IF(A3033&amp;B3033="","",VLOOKUP(A3033&amp;B3033,INSUMOS!C:G,4,0))</f>
        <v/>
      </c>
      <c r="H3033" s="119" t="str">
        <f t="shared" si="498"/>
        <v/>
      </c>
      <c r="I3033" s="119" t="str">
        <f t="shared" si="499"/>
        <v/>
      </c>
      <c r="J3033" s="115" t="str">
        <f t="shared" si="500"/>
        <v/>
      </c>
      <c r="K3033" s="102" t="str">
        <f>IF(A3033&amp;B3033="","",VLOOKUP(A3033&amp;B3033,INSUMOS!C:G,5,0))</f>
        <v/>
      </c>
    </row>
    <row r="3034" spans="1:17" ht="15" x14ac:dyDescent="0.25">
      <c r="A3034" s="109"/>
      <c r="B3034" s="116"/>
      <c r="C3034" s="518" t="str">
        <f>IF(A3034&amp;B3034="","",VLOOKUP(A3034&amp;B3034,INSUMOS!C:G,2,0))</f>
        <v/>
      </c>
      <c r="D3034" s="519"/>
      <c r="E3034" s="117" t="str">
        <f>IF(A3034&amp;B3034="","",VLOOKUP(A3034&amp;B3034,INSUMOS!C:G,3,0))</f>
        <v/>
      </c>
      <c r="F3034" s="118"/>
      <c r="G3034" s="113" t="str">
        <f>IF(A3034&amp;B3034="","",VLOOKUP(A3034&amp;B3034,INSUMOS!C:G,4,0))</f>
        <v/>
      </c>
      <c r="H3034" s="119" t="str">
        <f t="shared" si="498"/>
        <v/>
      </c>
      <c r="I3034" s="119" t="str">
        <f t="shared" si="499"/>
        <v/>
      </c>
      <c r="J3034" s="115" t="str">
        <f t="shared" si="500"/>
        <v/>
      </c>
      <c r="K3034" s="102" t="str">
        <f>IF(A3034&amp;B3034="","",VLOOKUP(A3034&amp;B3034,INSUMOS!C:G,5,0))</f>
        <v/>
      </c>
    </row>
    <row r="3035" spans="1:17" ht="15" x14ac:dyDescent="0.25">
      <c r="A3035" s="109"/>
      <c r="B3035" s="116"/>
      <c r="C3035" s="518" t="str">
        <f>IF(A3035&amp;B3035="","",VLOOKUP(A3035&amp;B3035,INSUMOS!C:G,2,0))</f>
        <v/>
      </c>
      <c r="D3035" s="519"/>
      <c r="E3035" s="117" t="str">
        <f>IF(A3035&amp;B3035="","",VLOOKUP(A3035&amp;B3035,INSUMOS!C:G,3,0))</f>
        <v/>
      </c>
      <c r="F3035" s="118"/>
      <c r="G3035" s="113" t="str">
        <f>IF(A3035&amp;B3035="","",VLOOKUP(A3035&amp;B3035,INSUMOS!C:G,4,0))</f>
        <v/>
      </c>
      <c r="H3035" s="119" t="str">
        <f t="shared" si="498"/>
        <v/>
      </c>
      <c r="I3035" s="119" t="str">
        <f t="shared" si="499"/>
        <v/>
      </c>
      <c r="J3035" s="115" t="str">
        <f t="shared" si="500"/>
        <v/>
      </c>
      <c r="K3035" s="102" t="str">
        <f>IF(A3035&amp;B3035="","",VLOOKUP(A3035&amp;B3035,INSUMOS!C:G,5,0))</f>
        <v/>
      </c>
    </row>
    <row r="3036" spans="1:17" ht="15" x14ac:dyDescent="0.25">
      <c r="A3036" s="109"/>
      <c r="B3036" s="116"/>
      <c r="C3036" s="518" t="str">
        <f>IF(A3036&amp;B3036="","",VLOOKUP(A3036&amp;B3036,INSUMOS!C:G,2,0))</f>
        <v/>
      </c>
      <c r="D3036" s="519"/>
      <c r="E3036" s="117" t="str">
        <f>IF(A3036&amp;B3036="","",VLOOKUP(A3036&amp;B3036,INSUMOS!C:G,3,0))</f>
        <v/>
      </c>
      <c r="F3036" s="118"/>
      <c r="G3036" s="113" t="str">
        <f>IF(A3036&amp;B3036="","",VLOOKUP(A3036&amp;B3036,INSUMOS!C:G,4,0))</f>
        <v/>
      </c>
      <c r="H3036" s="119" t="str">
        <f t="shared" si="498"/>
        <v/>
      </c>
      <c r="I3036" s="119" t="str">
        <f t="shared" si="499"/>
        <v/>
      </c>
      <c r="J3036" s="115" t="str">
        <f t="shared" si="500"/>
        <v/>
      </c>
      <c r="K3036" s="102" t="str">
        <f>IF(A3036&amp;B3036="","",VLOOKUP(A3036&amp;B3036,INSUMOS!C:G,5,0))</f>
        <v/>
      </c>
    </row>
    <row r="3037" spans="1:17" ht="15" x14ac:dyDescent="0.25">
      <c r="A3037" s="109"/>
      <c r="B3037" s="116"/>
      <c r="C3037" s="518" t="str">
        <f>IF(A3037&amp;B3037="","",VLOOKUP(A3037&amp;B3037,INSUMOS!C:G,2,0))</f>
        <v/>
      </c>
      <c r="D3037" s="519"/>
      <c r="E3037" s="117" t="str">
        <f>IF(A3037&amp;B3037="","",VLOOKUP(A3037&amp;B3037,INSUMOS!C:G,3,0))</f>
        <v/>
      </c>
      <c r="F3037" s="118"/>
      <c r="G3037" s="113" t="str">
        <f>IF(A3037&amp;B3037="","",VLOOKUP(A3037&amp;B3037,INSUMOS!C:G,4,0))</f>
        <v/>
      </c>
      <c r="H3037" s="119" t="str">
        <f t="shared" si="498"/>
        <v/>
      </c>
      <c r="I3037" s="119" t="str">
        <f t="shared" si="499"/>
        <v/>
      </c>
      <c r="J3037" s="115" t="str">
        <f t="shared" si="500"/>
        <v/>
      </c>
      <c r="K3037" s="102" t="str">
        <f>IF(A3037&amp;B3037="","",VLOOKUP(A3037&amp;B3037,INSUMOS!C:G,5,0))</f>
        <v/>
      </c>
    </row>
    <row r="3038" spans="1:17" ht="15" x14ac:dyDescent="0.25">
      <c r="A3038" s="109"/>
      <c r="B3038" s="116"/>
      <c r="C3038" s="518" t="str">
        <f>IF(A3038&amp;B3038="","",VLOOKUP(A3038&amp;B3038,INSUMOS!C:G,2,0))</f>
        <v/>
      </c>
      <c r="D3038" s="519"/>
      <c r="E3038" s="117" t="str">
        <f>IF(A3038&amp;B3038="","",VLOOKUP(A3038&amp;B3038,INSUMOS!C:G,3,0))</f>
        <v/>
      </c>
      <c r="F3038" s="118"/>
      <c r="G3038" s="113" t="str">
        <f>IF(A3038&amp;B3038="","",VLOOKUP(A3038&amp;B3038,INSUMOS!C:G,4,0))</f>
        <v/>
      </c>
      <c r="H3038" s="119" t="str">
        <f t="shared" si="498"/>
        <v/>
      </c>
      <c r="I3038" s="119" t="str">
        <f t="shared" si="499"/>
        <v/>
      </c>
      <c r="J3038" s="115" t="str">
        <f t="shared" si="500"/>
        <v/>
      </c>
      <c r="K3038" s="102" t="str">
        <f>IF(A3038&amp;B3038="","",VLOOKUP(A3038&amp;B3038,INSUMOS!C:G,5,0))</f>
        <v/>
      </c>
    </row>
    <row r="3039" spans="1:17" ht="15" x14ac:dyDescent="0.25">
      <c r="A3039" s="109"/>
      <c r="B3039" s="116"/>
      <c r="C3039" s="518" t="str">
        <f>IF(A3039&amp;B3039="","",VLOOKUP(A3039&amp;B3039,INSUMOS!C:G,2,0))</f>
        <v/>
      </c>
      <c r="D3039" s="519"/>
      <c r="E3039" s="117" t="str">
        <f>IF(A3039&amp;B3039="","",VLOOKUP(A3039&amp;B3039,INSUMOS!C:G,3,0))</f>
        <v/>
      </c>
      <c r="F3039" s="118"/>
      <c r="G3039" s="113" t="str">
        <f>IF(A3039&amp;B3039="","",VLOOKUP(A3039&amp;B3039,INSUMOS!C:G,4,0))</f>
        <v/>
      </c>
      <c r="H3039" s="119" t="str">
        <f t="shared" si="498"/>
        <v/>
      </c>
      <c r="I3039" s="119" t="str">
        <f t="shared" si="499"/>
        <v/>
      </c>
      <c r="J3039" s="115" t="str">
        <f t="shared" si="500"/>
        <v/>
      </c>
      <c r="K3039" s="102" t="str">
        <f>IF(A3039&amp;B3039="","",VLOOKUP(A3039&amp;B3039,INSUMOS!C:G,5,0))</f>
        <v/>
      </c>
    </row>
    <row r="3040" spans="1:17" ht="15" x14ac:dyDescent="0.25">
      <c r="A3040" s="109"/>
      <c r="B3040" s="116"/>
      <c r="C3040" s="518" t="str">
        <f>IF(A3040&amp;B3040="","",VLOOKUP(A3040&amp;B3040,INSUMOS!C:G,2,0))</f>
        <v/>
      </c>
      <c r="D3040" s="519"/>
      <c r="E3040" s="117" t="str">
        <f>IF(A3040&amp;B3040="","",VLOOKUP(A3040&amp;B3040,INSUMOS!C:G,3,0))</f>
        <v/>
      </c>
      <c r="F3040" s="118"/>
      <c r="G3040" s="113" t="str">
        <f>IF(A3040&amp;B3040="","",VLOOKUP(A3040&amp;B3040,INSUMOS!C:G,4,0))</f>
        <v/>
      </c>
      <c r="H3040" s="119" t="str">
        <f t="shared" si="498"/>
        <v/>
      </c>
      <c r="I3040" s="119" t="str">
        <f t="shared" si="499"/>
        <v/>
      </c>
      <c r="J3040" s="115" t="str">
        <f t="shared" si="500"/>
        <v/>
      </c>
      <c r="K3040" s="102" t="str">
        <f>IF(A3040&amp;B3040="","",VLOOKUP(A3040&amp;B3040,INSUMOS!C:G,5,0))</f>
        <v/>
      </c>
    </row>
    <row r="3041" spans="1:17" ht="15" x14ac:dyDescent="0.25">
      <c r="A3041" s="120"/>
      <c r="B3041" s="121"/>
      <c r="C3041" s="518" t="str">
        <f>IF(A3041&amp;B3041="","",VLOOKUP(A3041&amp;B3041,INSUMOS!C:G,2,0))</f>
        <v/>
      </c>
      <c r="D3041" s="519"/>
      <c r="E3041" s="117" t="str">
        <f>IF(A3041&amp;B3041="","",VLOOKUP(A3041&amp;B3041,INSUMOS!C:G,3,0))</f>
        <v/>
      </c>
      <c r="F3041" s="118"/>
      <c r="G3041" s="122" t="str">
        <f>IF(A3041&amp;B3041="","",VLOOKUP(A3041&amp;B3041,INSUMOS!C:G,4,0))</f>
        <v/>
      </c>
      <c r="H3041" s="119" t="str">
        <f t="shared" si="498"/>
        <v/>
      </c>
      <c r="I3041" s="119" t="str">
        <f t="shared" si="499"/>
        <v/>
      </c>
      <c r="J3041" s="115" t="str">
        <f t="shared" si="500"/>
        <v/>
      </c>
      <c r="K3041" s="102" t="str">
        <f>IF(A3041&amp;B3041="","",VLOOKUP(A3041&amp;B3041,INSUMOS!C:G,5,0))</f>
        <v/>
      </c>
    </row>
    <row r="3042" spans="1:17" ht="15" x14ac:dyDescent="0.25">
      <c r="A3042" s="120"/>
      <c r="B3042" s="121"/>
      <c r="C3042" s="518" t="str">
        <f>IF(A3042&amp;B3042="","",VLOOKUP(A3042&amp;B3042,INSUMOS!C:G,2,0))</f>
        <v/>
      </c>
      <c r="D3042" s="519"/>
      <c r="E3042" s="117" t="str">
        <f>IF(A3042&amp;B3042="","",VLOOKUP(A3042&amp;B3042,INSUMOS!C:G,3,0))</f>
        <v/>
      </c>
      <c r="F3042" s="118"/>
      <c r="G3042" s="122" t="str">
        <f>IF(A3042&amp;B3042="","",VLOOKUP(A3042&amp;B3042,INSUMOS!C:G,4,0))</f>
        <v/>
      </c>
      <c r="H3042" s="119" t="str">
        <f t="shared" si="498"/>
        <v/>
      </c>
      <c r="I3042" s="119" t="str">
        <f t="shared" si="499"/>
        <v/>
      </c>
      <c r="J3042" s="115" t="str">
        <f t="shared" si="500"/>
        <v/>
      </c>
      <c r="K3042" s="102" t="str">
        <f>IF(A3042&amp;B3042="","",VLOOKUP(A3042&amp;B3042,INSUMOS!C:G,5,0))</f>
        <v/>
      </c>
    </row>
    <row r="3043" spans="1:17" ht="15" x14ac:dyDescent="0.25">
      <c r="A3043" s="120"/>
      <c r="B3043" s="121"/>
      <c r="C3043" s="518" t="str">
        <f>IF(A3043&amp;B3043="","",VLOOKUP(A3043&amp;B3043,INSUMOS!C:G,2,0))</f>
        <v/>
      </c>
      <c r="D3043" s="519"/>
      <c r="E3043" s="117" t="str">
        <f>IF(A3043&amp;B3043="","",VLOOKUP(A3043&amp;B3043,INSUMOS!C:G,3,0))</f>
        <v/>
      </c>
      <c r="F3043" s="118"/>
      <c r="G3043" s="122" t="str">
        <f>IF(A3043&amp;B3043="","",VLOOKUP(A3043&amp;B3043,INSUMOS!C:G,4,0))</f>
        <v/>
      </c>
      <c r="H3043" s="119" t="str">
        <f t="shared" si="498"/>
        <v/>
      </c>
      <c r="I3043" s="119" t="str">
        <f t="shared" si="499"/>
        <v/>
      </c>
      <c r="J3043" s="115" t="str">
        <f t="shared" si="500"/>
        <v/>
      </c>
      <c r="K3043" s="102" t="str">
        <f>IF(A3043&amp;B3043="","",VLOOKUP(A3043&amp;B3043,INSUMOS!C:G,5,0))</f>
        <v/>
      </c>
    </row>
    <row r="3044" spans="1:17" ht="15" x14ac:dyDescent="0.25">
      <c r="A3044" s="123" t="s">
        <v>4399</v>
      </c>
      <c r="B3044" s="542"/>
      <c r="C3044" s="542"/>
      <c r="D3044" s="542"/>
      <c r="E3044" s="542"/>
      <c r="F3044" s="543"/>
      <c r="G3044" s="124" t="s">
        <v>50</v>
      </c>
      <c r="H3044" s="125">
        <f>SUM(H3031:H3043)</f>
        <v>0</v>
      </c>
      <c r="I3044" s="125">
        <f>SUM(I3031:I3043)</f>
        <v>789035.76</v>
      </c>
      <c r="J3044" s="126">
        <f>SUM(J3031:J3043)</f>
        <v>0</v>
      </c>
    </row>
    <row r="3045" spans="1:17" ht="15" x14ac:dyDescent="0.25">
      <c r="A3045" s="127" t="s">
        <v>4400</v>
      </c>
      <c r="B3045" s="128"/>
      <c r="C3045" s="128"/>
      <c r="D3045" s="127" t="s">
        <v>51</v>
      </c>
      <c r="E3045" s="128"/>
      <c r="F3045" s="129"/>
      <c r="G3045" s="130" t="s">
        <v>55</v>
      </c>
      <c r="H3045" s="131" t="s">
        <v>52</v>
      </c>
      <c r="I3045" s="132"/>
      <c r="J3045" s="125">
        <f>SUM(H3044:J3044)</f>
        <v>789035.76</v>
      </c>
    </row>
    <row r="3046" spans="1:17" ht="15" x14ac:dyDescent="0.25">
      <c r="A3046" s="313" t="str">
        <f>$I$3</f>
        <v>Carlos Wieck</v>
      </c>
      <c r="B3046" s="133"/>
      <c r="C3046" s="133"/>
      <c r="D3046" s="134"/>
      <c r="E3046" s="133"/>
      <c r="F3046" s="135"/>
      <c r="G3046" s="522">
        <f>$J$5</f>
        <v>43040</v>
      </c>
      <c r="H3046" s="136" t="s">
        <v>53</v>
      </c>
      <c r="I3046" s="137"/>
      <c r="J3046" s="125">
        <f>TRUNC(I3046*J3045,2)</f>
        <v>0</v>
      </c>
    </row>
    <row r="3047" spans="1:17" ht="15" x14ac:dyDescent="0.25">
      <c r="A3047" s="314"/>
      <c r="B3047" s="139"/>
      <c r="C3047" s="139"/>
      <c r="D3047" s="138"/>
      <c r="E3047" s="139"/>
      <c r="F3047" s="140"/>
      <c r="G3047" s="523"/>
      <c r="H3047" s="141" t="s">
        <v>54</v>
      </c>
      <c r="I3047" s="142"/>
      <c r="J3047" s="143">
        <f>J3046+J3045</f>
        <v>789035.76</v>
      </c>
      <c r="L3047" s="102" t="str">
        <f>A3028</f>
        <v>COMPOSIÇÃO</v>
      </c>
      <c r="M3047" s="144" t="str">
        <f>B3028</f>
        <v>FF-132</v>
      </c>
      <c r="N3047" s="102" t="str">
        <f>L3047&amp;M3047</f>
        <v>COMPOSIÇÃOFF-132</v>
      </c>
      <c r="O3047" s="103" t="str">
        <f>D3027</f>
        <v>Fornecimento e Instalação de Estruturas de Madeira Laminada Colada, conforme projeto (Sede), incluindo ligações metálicas, produtos, acabamentos e frete</v>
      </c>
      <c r="P3047" s="145" t="str">
        <f>J3028</f>
        <v>cj</v>
      </c>
      <c r="Q3047" s="145">
        <f>J3047</f>
        <v>789035.76</v>
      </c>
    </row>
    <row r="3048" spans="1:17" ht="15" customHeight="1" x14ac:dyDescent="0.25">
      <c r="A3048" s="524" t="s">
        <v>40</v>
      </c>
      <c r="B3048" s="525"/>
      <c r="C3048" s="104" t="s">
        <v>41</v>
      </c>
      <c r="D3048" s="526" t="str">
        <f>IF(B3049="","",VLOOKUP(B3049,SERVIÇOS!B:E,3,0))</f>
        <v>Fornecimento e Instalação de Estruturas de Madeira Laminada Colada, conforme projeto (Una), incluindo ligações metálicas, produtos, acabamentos e frete</v>
      </c>
      <c r="E3048" s="526"/>
      <c r="F3048" s="526"/>
      <c r="G3048" s="526"/>
      <c r="H3048" s="526"/>
      <c r="I3048" s="527"/>
      <c r="J3048" s="105" t="s">
        <v>42</v>
      </c>
    </row>
    <row r="3049" spans="1:17" ht="15" x14ac:dyDescent="0.25">
      <c r="A3049" s="230" t="s">
        <v>4715</v>
      </c>
      <c r="B3049" s="230" t="s">
        <v>5449</v>
      </c>
      <c r="C3049" s="106"/>
      <c r="D3049" s="528"/>
      <c r="E3049" s="528"/>
      <c r="F3049" s="528"/>
      <c r="G3049" s="528"/>
      <c r="H3049" s="528"/>
      <c r="I3049" s="529"/>
      <c r="J3049" s="107" t="str">
        <f>IF(B3049="","",VLOOKUP(B3049,SERVIÇOS!B:E,4,0))</f>
        <v>cj</v>
      </c>
    </row>
    <row r="3050" spans="1:17" ht="15" x14ac:dyDescent="0.25">
      <c r="A3050" s="530" t="s">
        <v>4397</v>
      </c>
      <c r="B3050" s="531" t="s">
        <v>11</v>
      </c>
      <c r="C3050" s="533" t="s">
        <v>43</v>
      </c>
      <c r="D3050" s="534"/>
      <c r="E3050" s="530" t="s">
        <v>13</v>
      </c>
      <c r="F3050" s="530" t="s">
        <v>44</v>
      </c>
      <c r="G3050" s="538" t="s">
        <v>45</v>
      </c>
      <c r="H3050" s="108" t="s">
        <v>46</v>
      </c>
      <c r="I3050" s="108"/>
      <c r="J3050" s="108"/>
    </row>
    <row r="3051" spans="1:17" ht="15" x14ac:dyDescent="0.25">
      <c r="A3051" s="530"/>
      <c r="B3051" s="532"/>
      <c r="C3051" s="535"/>
      <c r="D3051" s="536"/>
      <c r="E3051" s="537"/>
      <c r="F3051" s="537"/>
      <c r="G3051" s="539"/>
      <c r="H3051" s="108" t="s">
        <v>47</v>
      </c>
      <c r="I3051" s="108" t="s">
        <v>48</v>
      </c>
      <c r="J3051" s="108" t="s">
        <v>49</v>
      </c>
    </row>
    <row r="3052" spans="1:17" ht="30" customHeight="1" x14ac:dyDescent="0.25">
      <c r="A3052" s="109" t="s">
        <v>4717</v>
      </c>
      <c r="B3052" s="116" t="s">
        <v>4998</v>
      </c>
      <c r="C3052" s="540" t="str">
        <f>IF(A3052&amp;B3052="","",VLOOKUP(A3052&amp;B3052,INSUMOS!C:G,2,0))</f>
        <v>Fornecimento e Instalação de Estruturas de Madeira Laminada Colada, conforme projeto (Una), incluindo ligações metálicas, produtos, acabamentos e frete</v>
      </c>
      <c r="D3052" s="541"/>
      <c r="E3052" s="111" t="str">
        <f>IF(A3052&amp;B3052="","",VLOOKUP(A3052&amp;B3052,INSUMOS!C:G,3,0))</f>
        <v>cj</v>
      </c>
      <c r="F3052" s="112">
        <v>1</v>
      </c>
      <c r="G3052" s="113">
        <f>IF(A3052&amp;B3052="","",VLOOKUP(A3052&amp;B3052,INSUMOS!C:G,4,0))</f>
        <v>489718.6</v>
      </c>
      <c r="H3052" s="114" t="str">
        <f>IF(K3052="MO",TRUNC(F3052*G3052,2),"")</f>
        <v/>
      </c>
      <c r="I3052" s="114">
        <f>IF(K3052="MT",TRUNC(F3052*G3052,2),"")</f>
        <v>489718.6</v>
      </c>
      <c r="J3052" s="115" t="str">
        <f>IF(K3052="EQ",TRUNC(F3052*G3052,2),"")</f>
        <v/>
      </c>
      <c r="K3052" s="102" t="str">
        <f>IF(A3052&amp;B3052="","",VLOOKUP(A3052&amp;B3052,INSUMOS!C:G,5,0))</f>
        <v>MT</v>
      </c>
    </row>
    <row r="3053" spans="1:17" ht="15" x14ac:dyDescent="0.25">
      <c r="A3053" s="109"/>
      <c r="B3053" s="116"/>
      <c r="C3053" s="518" t="str">
        <f>IF(A3053&amp;B3053="","",VLOOKUP(A3053&amp;B3053,INSUMOS!C:G,2,0))</f>
        <v/>
      </c>
      <c r="D3053" s="519"/>
      <c r="E3053" s="117" t="str">
        <f>IF(A3053&amp;B3053="","",VLOOKUP(A3053&amp;B3053,INSUMOS!C:G,3,0))</f>
        <v/>
      </c>
      <c r="F3053" s="118"/>
      <c r="G3053" s="113" t="str">
        <f>IF(A3053&amp;B3053="","",VLOOKUP(A3053&amp;B3053,INSUMOS!C:G,4,0))</f>
        <v/>
      </c>
      <c r="H3053" s="119" t="str">
        <f t="shared" ref="H3053:H3064" si="501">IF(K3053="MO",TRUNC(F3053*G3053,2),"")</f>
        <v/>
      </c>
      <c r="I3053" s="119" t="str">
        <f t="shared" ref="I3053:I3064" si="502">IF(K3053="MT",TRUNC(F3053*G3053,2),"")</f>
        <v/>
      </c>
      <c r="J3053" s="115" t="str">
        <f t="shared" ref="J3053:J3064" si="503">IF(K3053="EQ",TRUNC(F3053*G3053,2),"")</f>
        <v/>
      </c>
      <c r="K3053" s="102" t="str">
        <f>IF(A3053&amp;B3053="","",VLOOKUP(A3053&amp;B3053,INSUMOS!C:G,5,0))</f>
        <v/>
      </c>
    </row>
    <row r="3054" spans="1:17" ht="15" x14ac:dyDescent="0.25">
      <c r="A3054" s="109"/>
      <c r="B3054" s="116"/>
      <c r="C3054" s="518" t="str">
        <f>IF(A3054&amp;B3054="","",VLOOKUP(A3054&amp;B3054,INSUMOS!C:G,2,0))</f>
        <v/>
      </c>
      <c r="D3054" s="519"/>
      <c r="E3054" s="117" t="str">
        <f>IF(A3054&amp;B3054="","",VLOOKUP(A3054&amp;B3054,INSUMOS!C:G,3,0))</f>
        <v/>
      </c>
      <c r="F3054" s="118"/>
      <c r="G3054" s="113" t="str">
        <f>IF(A3054&amp;B3054="","",VLOOKUP(A3054&amp;B3054,INSUMOS!C:G,4,0))</f>
        <v/>
      </c>
      <c r="H3054" s="119" t="str">
        <f t="shared" si="501"/>
        <v/>
      </c>
      <c r="I3054" s="119" t="str">
        <f t="shared" si="502"/>
        <v/>
      </c>
      <c r="J3054" s="115" t="str">
        <f t="shared" si="503"/>
        <v/>
      </c>
      <c r="K3054" s="102" t="str">
        <f>IF(A3054&amp;B3054="","",VLOOKUP(A3054&amp;B3054,INSUMOS!C:G,5,0))</f>
        <v/>
      </c>
    </row>
    <row r="3055" spans="1:17" ht="15" x14ac:dyDescent="0.25">
      <c r="A3055" s="109"/>
      <c r="B3055" s="116"/>
      <c r="C3055" s="518" t="str">
        <f>IF(A3055&amp;B3055="","",VLOOKUP(A3055&amp;B3055,INSUMOS!C:G,2,0))</f>
        <v/>
      </c>
      <c r="D3055" s="519"/>
      <c r="E3055" s="117" t="str">
        <f>IF(A3055&amp;B3055="","",VLOOKUP(A3055&amp;B3055,INSUMOS!C:G,3,0))</f>
        <v/>
      </c>
      <c r="F3055" s="118"/>
      <c r="G3055" s="113" t="str">
        <f>IF(A3055&amp;B3055="","",VLOOKUP(A3055&amp;B3055,INSUMOS!C:G,4,0))</f>
        <v/>
      </c>
      <c r="H3055" s="119" t="str">
        <f t="shared" si="501"/>
        <v/>
      </c>
      <c r="I3055" s="119" t="str">
        <f t="shared" si="502"/>
        <v/>
      </c>
      <c r="J3055" s="115" t="str">
        <f t="shared" si="503"/>
        <v/>
      </c>
      <c r="K3055" s="102" t="str">
        <f>IF(A3055&amp;B3055="","",VLOOKUP(A3055&amp;B3055,INSUMOS!C:G,5,0))</f>
        <v/>
      </c>
    </row>
    <row r="3056" spans="1:17" ht="15" x14ac:dyDescent="0.25">
      <c r="A3056" s="109"/>
      <c r="B3056" s="116"/>
      <c r="C3056" s="518" t="str">
        <f>IF(A3056&amp;B3056="","",VLOOKUP(A3056&amp;B3056,INSUMOS!C:G,2,0))</f>
        <v/>
      </c>
      <c r="D3056" s="519"/>
      <c r="E3056" s="117" t="str">
        <f>IF(A3056&amp;B3056="","",VLOOKUP(A3056&amp;B3056,INSUMOS!C:G,3,0))</f>
        <v/>
      </c>
      <c r="F3056" s="118"/>
      <c r="G3056" s="113" t="str">
        <f>IF(A3056&amp;B3056="","",VLOOKUP(A3056&amp;B3056,INSUMOS!C:G,4,0))</f>
        <v/>
      </c>
      <c r="H3056" s="119" t="str">
        <f t="shared" si="501"/>
        <v/>
      </c>
      <c r="I3056" s="119" t="str">
        <f t="shared" si="502"/>
        <v/>
      </c>
      <c r="J3056" s="115" t="str">
        <f t="shared" si="503"/>
        <v/>
      </c>
      <c r="K3056" s="102" t="str">
        <f>IF(A3056&amp;B3056="","",VLOOKUP(A3056&amp;B3056,INSUMOS!C:G,5,0))</f>
        <v/>
      </c>
    </row>
    <row r="3057" spans="1:17" ht="15" x14ac:dyDescent="0.25">
      <c r="A3057" s="109"/>
      <c r="B3057" s="116"/>
      <c r="C3057" s="518" t="str">
        <f>IF(A3057&amp;B3057="","",VLOOKUP(A3057&amp;B3057,INSUMOS!C:G,2,0))</f>
        <v/>
      </c>
      <c r="D3057" s="519"/>
      <c r="E3057" s="117" t="str">
        <f>IF(A3057&amp;B3057="","",VLOOKUP(A3057&amp;B3057,INSUMOS!C:G,3,0))</f>
        <v/>
      </c>
      <c r="F3057" s="118"/>
      <c r="G3057" s="113" t="str">
        <f>IF(A3057&amp;B3057="","",VLOOKUP(A3057&amp;B3057,INSUMOS!C:G,4,0))</f>
        <v/>
      </c>
      <c r="H3057" s="119" t="str">
        <f t="shared" si="501"/>
        <v/>
      </c>
      <c r="I3057" s="119" t="str">
        <f t="shared" si="502"/>
        <v/>
      </c>
      <c r="J3057" s="115" t="str">
        <f t="shared" si="503"/>
        <v/>
      </c>
      <c r="K3057" s="102" t="str">
        <f>IF(A3057&amp;B3057="","",VLOOKUP(A3057&amp;B3057,INSUMOS!C:G,5,0))</f>
        <v/>
      </c>
    </row>
    <row r="3058" spans="1:17" ht="15" x14ac:dyDescent="0.25">
      <c r="A3058" s="109"/>
      <c r="B3058" s="116"/>
      <c r="C3058" s="518" t="str">
        <f>IF(A3058&amp;B3058="","",VLOOKUP(A3058&amp;B3058,INSUMOS!C:G,2,0))</f>
        <v/>
      </c>
      <c r="D3058" s="519"/>
      <c r="E3058" s="117" t="str">
        <f>IF(A3058&amp;B3058="","",VLOOKUP(A3058&amp;B3058,INSUMOS!C:G,3,0))</f>
        <v/>
      </c>
      <c r="F3058" s="118"/>
      <c r="G3058" s="113" t="str">
        <f>IF(A3058&amp;B3058="","",VLOOKUP(A3058&amp;B3058,INSUMOS!C:G,4,0))</f>
        <v/>
      </c>
      <c r="H3058" s="119" t="str">
        <f t="shared" si="501"/>
        <v/>
      </c>
      <c r="I3058" s="119" t="str">
        <f t="shared" si="502"/>
        <v/>
      </c>
      <c r="J3058" s="115" t="str">
        <f t="shared" si="503"/>
        <v/>
      </c>
      <c r="K3058" s="102" t="str">
        <f>IF(A3058&amp;B3058="","",VLOOKUP(A3058&amp;B3058,INSUMOS!C:G,5,0))</f>
        <v/>
      </c>
    </row>
    <row r="3059" spans="1:17" ht="15" x14ac:dyDescent="0.25">
      <c r="A3059" s="109"/>
      <c r="B3059" s="116"/>
      <c r="C3059" s="518" t="str">
        <f>IF(A3059&amp;B3059="","",VLOOKUP(A3059&amp;B3059,INSUMOS!C:G,2,0))</f>
        <v/>
      </c>
      <c r="D3059" s="519"/>
      <c r="E3059" s="117" t="str">
        <f>IF(A3059&amp;B3059="","",VLOOKUP(A3059&amp;B3059,INSUMOS!C:G,3,0))</f>
        <v/>
      </c>
      <c r="F3059" s="118"/>
      <c r="G3059" s="113" t="str">
        <f>IF(A3059&amp;B3059="","",VLOOKUP(A3059&amp;B3059,INSUMOS!C:G,4,0))</f>
        <v/>
      </c>
      <c r="H3059" s="119" t="str">
        <f t="shared" si="501"/>
        <v/>
      </c>
      <c r="I3059" s="119" t="str">
        <f t="shared" si="502"/>
        <v/>
      </c>
      <c r="J3059" s="115" t="str">
        <f t="shared" si="503"/>
        <v/>
      </c>
      <c r="K3059" s="102" t="str">
        <f>IF(A3059&amp;B3059="","",VLOOKUP(A3059&amp;B3059,INSUMOS!C:G,5,0))</f>
        <v/>
      </c>
    </row>
    <row r="3060" spans="1:17" ht="15" x14ac:dyDescent="0.25">
      <c r="A3060" s="109"/>
      <c r="B3060" s="116"/>
      <c r="C3060" s="518" t="str">
        <f>IF(A3060&amp;B3060="","",VLOOKUP(A3060&amp;B3060,INSUMOS!C:G,2,0))</f>
        <v/>
      </c>
      <c r="D3060" s="519"/>
      <c r="E3060" s="117" t="str">
        <f>IF(A3060&amp;B3060="","",VLOOKUP(A3060&amp;B3060,INSUMOS!C:G,3,0))</f>
        <v/>
      </c>
      <c r="F3060" s="118"/>
      <c r="G3060" s="113" t="str">
        <f>IF(A3060&amp;B3060="","",VLOOKUP(A3060&amp;B3060,INSUMOS!C:G,4,0))</f>
        <v/>
      </c>
      <c r="H3060" s="119" t="str">
        <f t="shared" si="501"/>
        <v/>
      </c>
      <c r="I3060" s="119" t="str">
        <f t="shared" si="502"/>
        <v/>
      </c>
      <c r="J3060" s="115" t="str">
        <f t="shared" si="503"/>
        <v/>
      </c>
      <c r="K3060" s="102" t="str">
        <f>IF(A3060&amp;B3060="","",VLOOKUP(A3060&amp;B3060,INSUMOS!C:G,5,0))</f>
        <v/>
      </c>
    </row>
    <row r="3061" spans="1:17" ht="15" x14ac:dyDescent="0.25">
      <c r="A3061" s="109"/>
      <c r="B3061" s="116"/>
      <c r="C3061" s="518" t="str">
        <f>IF(A3061&amp;B3061="","",VLOOKUP(A3061&amp;B3061,INSUMOS!C:G,2,0))</f>
        <v/>
      </c>
      <c r="D3061" s="519"/>
      <c r="E3061" s="117" t="str">
        <f>IF(A3061&amp;B3061="","",VLOOKUP(A3061&amp;B3061,INSUMOS!C:G,3,0))</f>
        <v/>
      </c>
      <c r="F3061" s="118"/>
      <c r="G3061" s="113" t="str">
        <f>IF(A3061&amp;B3061="","",VLOOKUP(A3061&amp;B3061,INSUMOS!C:G,4,0))</f>
        <v/>
      </c>
      <c r="H3061" s="119" t="str">
        <f t="shared" si="501"/>
        <v/>
      </c>
      <c r="I3061" s="119" t="str">
        <f t="shared" si="502"/>
        <v/>
      </c>
      <c r="J3061" s="115" t="str">
        <f t="shared" si="503"/>
        <v/>
      </c>
      <c r="K3061" s="102" t="str">
        <f>IF(A3061&amp;B3061="","",VLOOKUP(A3061&amp;B3061,INSUMOS!C:G,5,0))</f>
        <v/>
      </c>
    </row>
    <row r="3062" spans="1:17" ht="15" x14ac:dyDescent="0.25">
      <c r="A3062" s="120"/>
      <c r="B3062" s="121"/>
      <c r="C3062" s="518" t="str">
        <f>IF(A3062&amp;B3062="","",VLOOKUP(A3062&amp;B3062,INSUMOS!C:G,2,0))</f>
        <v/>
      </c>
      <c r="D3062" s="519"/>
      <c r="E3062" s="117" t="str">
        <f>IF(A3062&amp;B3062="","",VLOOKUP(A3062&amp;B3062,INSUMOS!C:G,3,0))</f>
        <v/>
      </c>
      <c r="F3062" s="118"/>
      <c r="G3062" s="122" t="str">
        <f>IF(A3062&amp;B3062="","",VLOOKUP(A3062&amp;B3062,INSUMOS!C:G,4,0))</f>
        <v/>
      </c>
      <c r="H3062" s="119" t="str">
        <f t="shared" si="501"/>
        <v/>
      </c>
      <c r="I3062" s="119" t="str">
        <f t="shared" si="502"/>
        <v/>
      </c>
      <c r="J3062" s="115" t="str">
        <f t="shared" si="503"/>
        <v/>
      </c>
      <c r="K3062" s="102" t="str">
        <f>IF(A3062&amp;B3062="","",VLOOKUP(A3062&amp;B3062,INSUMOS!C:G,5,0))</f>
        <v/>
      </c>
    </row>
    <row r="3063" spans="1:17" ht="15" x14ac:dyDescent="0.25">
      <c r="A3063" s="120"/>
      <c r="B3063" s="121"/>
      <c r="C3063" s="518" t="str">
        <f>IF(A3063&amp;B3063="","",VLOOKUP(A3063&amp;B3063,INSUMOS!C:G,2,0))</f>
        <v/>
      </c>
      <c r="D3063" s="519"/>
      <c r="E3063" s="117" t="str">
        <f>IF(A3063&amp;B3063="","",VLOOKUP(A3063&amp;B3063,INSUMOS!C:G,3,0))</f>
        <v/>
      </c>
      <c r="F3063" s="118"/>
      <c r="G3063" s="122" t="str">
        <f>IF(A3063&amp;B3063="","",VLOOKUP(A3063&amp;B3063,INSUMOS!C:G,4,0))</f>
        <v/>
      </c>
      <c r="H3063" s="119" t="str">
        <f t="shared" si="501"/>
        <v/>
      </c>
      <c r="I3063" s="119" t="str">
        <f t="shared" si="502"/>
        <v/>
      </c>
      <c r="J3063" s="115" t="str">
        <f t="shared" si="503"/>
        <v/>
      </c>
      <c r="K3063" s="102" t="str">
        <f>IF(A3063&amp;B3063="","",VLOOKUP(A3063&amp;B3063,INSUMOS!C:G,5,0))</f>
        <v/>
      </c>
    </row>
    <row r="3064" spans="1:17" ht="15" x14ac:dyDescent="0.25">
      <c r="A3064" s="120"/>
      <c r="B3064" s="121"/>
      <c r="C3064" s="518" t="str">
        <f>IF(A3064&amp;B3064="","",VLOOKUP(A3064&amp;B3064,INSUMOS!C:G,2,0))</f>
        <v/>
      </c>
      <c r="D3064" s="519"/>
      <c r="E3064" s="117" t="str">
        <f>IF(A3064&amp;B3064="","",VLOOKUP(A3064&amp;B3064,INSUMOS!C:G,3,0))</f>
        <v/>
      </c>
      <c r="F3064" s="118"/>
      <c r="G3064" s="122" t="str">
        <f>IF(A3064&amp;B3064="","",VLOOKUP(A3064&amp;B3064,INSUMOS!C:G,4,0))</f>
        <v/>
      </c>
      <c r="H3064" s="119" t="str">
        <f t="shared" si="501"/>
        <v/>
      </c>
      <c r="I3064" s="119" t="str">
        <f t="shared" si="502"/>
        <v/>
      </c>
      <c r="J3064" s="115" t="str">
        <f t="shared" si="503"/>
        <v/>
      </c>
      <c r="K3064" s="102" t="str">
        <f>IF(A3064&amp;B3064="","",VLOOKUP(A3064&amp;B3064,INSUMOS!C:G,5,0))</f>
        <v/>
      </c>
    </row>
    <row r="3065" spans="1:17" ht="15" x14ac:dyDescent="0.25">
      <c r="A3065" s="123" t="s">
        <v>4399</v>
      </c>
      <c r="B3065" s="542"/>
      <c r="C3065" s="542"/>
      <c r="D3065" s="542"/>
      <c r="E3065" s="542"/>
      <c r="F3065" s="543"/>
      <c r="G3065" s="124" t="s">
        <v>50</v>
      </c>
      <c r="H3065" s="125">
        <f>SUM(H3052:H3064)</f>
        <v>0</v>
      </c>
      <c r="I3065" s="125">
        <f>SUM(I3052:I3064)</f>
        <v>489718.6</v>
      </c>
      <c r="J3065" s="126">
        <f>SUM(J3052:J3064)</f>
        <v>0</v>
      </c>
    </row>
    <row r="3066" spans="1:17" ht="15" x14ac:dyDescent="0.25">
      <c r="A3066" s="127" t="s">
        <v>4400</v>
      </c>
      <c r="B3066" s="128"/>
      <c r="C3066" s="128"/>
      <c r="D3066" s="127" t="s">
        <v>51</v>
      </c>
      <c r="E3066" s="128"/>
      <c r="F3066" s="129"/>
      <c r="G3066" s="130" t="s">
        <v>55</v>
      </c>
      <c r="H3066" s="131" t="s">
        <v>52</v>
      </c>
      <c r="I3066" s="132"/>
      <c r="J3066" s="125">
        <f>SUM(H3065:J3065)</f>
        <v>489718.6</v>
      </c>
    </row>
    <row r="3067" spans="1:17" ht="15" x14ac:dyDescent="0.25">
      <c r="A3067" s="313" t="str">
        <f>$I$3</f>
        <v>Carlos Wieck</v>
      </c>
      <c r="B3067" s="133"/>
      <c r="C3067" s="133"/>
      <c r="D3067" s="134"/>
      <c r="E3067" s="133"/>
      <c r="F3067" s="135"/>
      <c r="G3067" s="522">
        <f>$J$5</f>
        <v>43040</v>
      </c>
      <c r="H3067" s="136" t="s">
        <v>53</v>
      </c>
      <c r="I3067" s="137"/>
      <c r="J3067" s="125">
        <f>TRUNC(I3067*J3066,2)</f>
        <v>0</v>
      </c>
    </row>
    <row r="3068" spans="1:17" ht="15" x14ac:dyDescent="0.25">
      <c r="A3068" s="314"/>
      <c r="B3068" s="139"/>
      <c r="C3068" s="139"/>
      <c r="D3068" s="138"/>
      <c r="E3068" s="139"/>
      <c r="F3068" s="140"/>
      <c r="G3068" s="523"/>
      <c r="H3068" s="141" t="s">
        <v>54</v>
      </c>
      <c r="I3068" s="142"/>
      <c r="J3068" s="143">
        <f>J3067+J3066</f>
        <v>489718.6</v>
      </c>
      <c r="L3068" s="102" t="str">
        <f>A3049</f>
        <v>COMPOSIÇÃO</v>
      </c>
      <c r="M3068" s="144" t="str">
        <f>B3049</f>
        <v>FF-133</v>
      </c>
      <c r="N3068" s="102" t="str">
        <f>L3068&amp;M3068</f>
        <v>COMPOSIÇÃOFF-133</v>
      </c>
      <c r="O3068" s="103" t="str">
        <f>D3048</f>
        <v>Fornecimento e Instalação de Estruturas de Madeira Laminada Colada, conforme projeto (Una), incluindo ligações metálicas, produtos, acabamentos e frete</v>
      </c>
      <c r="P3068" s="145" t="str">
        <f>J3049</f>
        <v>cj</v>
      </c>
      <c r="Q3068" s="145">
        <f>J3068</f>
        <v>489718.6</v>
      </c>
    </row>
    <row r="3069" spans="1:17" ht="15" customHeight="1" x14ac:dyDescent="0.25">
      <c r="A3069" s="524" t="s">
        <v>40</v>
      </c>
      <c r="B3069" s="525"/>
      <c r="C3069" s="104" t="s">
        <v>41</v>
      </c>
      <c r="D3069" s="526" t="str">
        <f>IF(B3070="","",VLOOKUP(B3070,SERVIÇOS!B:E,3,0))</f>
        <v>Fornecimento e Instalação de Estruturas de Madeira Laminada Colada, conforme projeto (Despraiado), incluindo ligações metálicas, produtos, acabamentos e frete</v>
      </c>
      <c r="E3069" s="526"/>
      <c r="F3069" s="526"/>
      <c r="G3069" s="526"/>
      <c r="H3069" s="526"/>
      <c r="I3069" s="527"/>
      <c r="J3069" s="105" t="s">
        <v>42</v>
      </c>
    </row>
    <row r="3070" spans="1:17" ht="15" x14ac:dyDescent="0.25">
      <c r="A3070" s="230" t="s">
        <v>4715</v>
      </c>
      <c r="B3070" s="230" t="s">
        <v>5450</v>
      </c>
      <c r="C3070" s="106"/>
      <c r="D3070" s="528"/>
      <c r="E3070" s="528"/>
      <c r="F3070" s="528"/>
      <c r="G3070" s="528"/>
      <c r="H3070" s="528"/>
      <c r="I3070" s="529"/>
      <c r="J3070" s="107" t="str">
        <f>IF(B3070="","",VLOOKUP(B3070,SERVIÇOS!B:E,4,0))</f>
        <v>cj</v>
      </c>
    </row>
    <row r="3071" spans="1:17" ht="15" x14ac:dyDescent="0.25">
      <c r="A3071" s="530" t="s">
        <v>4397</v>
      </c>
      <c r="B3071" s="531" t="s">
        <v>11</v>
      </c>
      <c r="C3071" s="533" t="s">
        <v>43</v>
      </c>
      <c r="D3071" s="534"/>
      <c r="E3071" s="530" t="s">
        <v>13</v>
      </c>
      <c r="F3071" s="530" t="s">
        <v>44</v>
      </c>
      <c r="G3071" s="538" t="s">
        <v>45</v>
      </c>
      <c r="H3071" s="108" t="s">
        <v>46</v>
      </c>
      <c r="I3071" s="108"/>
      <c r="J3071" s="108"/>
    </row>
    <row r="3072" spans="1:17" ht="15" x14ac:dyDescent="0.25">
      <c r="A3072" s="530"/>
      <c r="B3072" s="532"/>
      <c r="C3072" s="535"/>
      <c r="D3072" s="536"/>
      <c r="E3072" s="537"/>
      <c r="F3072" s="537"/>
      <c r="G3072" s="539"/>
      <c r="H3072" s="108" t="s">
        <v>47</v>
      </c>
      <c r="I3072" s="108" t="s">
        <v>48</v>
      </c>
      <c r="J3072" s="108" t="s">
        <v>49</v>
      </c>
    </row>
    <row r="3073" spans="1:11" ht="30" customHeight="1" x14ac:dyDescent="0.25">
      <c r="A3073" s="109" t="s">
        <v>4717</v>
      </c>
      <c r="B3073" s="116" t="s">
        <v>4999</v>
      </c>
      <c r="C3073" s="540" t="str">
        <f>IF(A3073&amp;B3073="","",VLOOKUP(A3073&amp;B3073,INSUMOS!C:G,2,0))</f>
        <v>Fornecimento e Instalação de Estruturas de Madeira Laminada Colada, conforme projeto (Despraiado), incluindo ligações metálicas, produtos, acabamentos e frete</v>
      </c>
      <c r="D3073" s="541"/>
      <c r="E3073" s="111" t="str">
        <f>IF(A3073&amp;B3073="","",VLOOKUP(A3073&amp;B3073,INSUMOS!C:G,3,0))</f>
        <v>cj</v>
      </c>
      <c r="F3073" s="112">
        <v>1</v>
      </c>
      <c r="G3073" s="113">
        <f>IF(A3073&amp;B3073="","",VLOOKUP(A3073&amp;B3073,INSUMOS!C:G,4,0))</f>
        <v>489718.6</v>
      </c>
      <c r="H3073" s="114" t="str">
        <f>IF(K3073="MO",TRUNC(F3073*G3073,2),"")</f>
        <v/>
      </c>
      <c r="I3073" s="114">
        <f>IF(K3073="MT",TRUNC(F3073*G3073,2),"")</f>
        <v>489718.6</v>
      </c>
      <c r="J3073" s="115" t="str">
        <f>IF(K3073="EQ",TRUNC(F3073*G3073,2),"")</f>
        <v/>
      </c>
      <c r="K3073" s="102" t="str">
        <f>IF(A3073&amp;B3073="","",VLOOKUP(A3073&amp;B3073,INSUMOS!C:G,5,0))</f>
        <v>MT</v>
      </c>
    </row>
    <row r="3074" spans="1:11" ht="15" x14ac:dyDescent="0.25">
      <c r="A3074" s="109"/>
      <c r="B3074" s="116"/>
      <c r="C3074" s="518" t="str">
        <f>IF(A3074&amp;B3074="","",VLOOKUP(A3074&amp;B3074,INSUMOS!C:G,2,0))</f>
        <v/>
      </c>
      <c r="D3074" s="519"/>
      <c r="E3074" s="117" t="str">
        <f>IF(A3074&amp;B3074="","",VLOOKUP(A3074&amp;B3074,INSUMOS!C:G,3,0))</f>
        <v/>
      </c>
      <c r="F3074" s="118"/>
      <c r="G3074" s="113" t="str">
        <f>IF(A3074&amp;B3074="","",VLOOKUP(A3074&amp;B3074,INSUMOS!C:G,4,0))</f>
        <v/>
      </c>
      <c r="H3074" s="119" t="str">
        <f t="shared" ref="H3074:H3085" si="504">IF(K3074="MO",TRUNC(F3074*G3074,2),"")</f>
        <v/>
      </c>
      <c r="I3074" s="119" t="str">
        <f t="shared" ref="I3074:I3085" si="505">IF(K3074="MT",TRUNC(F3074*G3074,2),"")</f>
        <v/>
      </c>
      <c r="J3074" s="115" t="str">
        <f t="shared" ref="J3074:J3085" si="506">IF(K3074="EQ",TRUNC(F3074*G3074,2),"")</f>
        <v/>
      </c>
      <c r="K3074" s="102" t="str">
        <f>IF(A3074&amp;B3074="","",VLOOKUP(A3074&amp;B3074,INSUMOS!C:G,5,0))</f>
        <v/>
      </c>
    </row>
    <row r="3075" spans="1:11" ht="15" x14ac:dyDescent="0.25">
      <c r="A3075" s="109"/>
      <c r="B3075" s="116"/>
      <c r="C3075" s="518" t="str">
        <f>IF(A3075&amp;B3075="","",VLOOKUP(A3075&amp;B3075,INSUMOS!C:G,2,0))</f>
        <v/>
      </c>
      <c r="D3075" s="519"/>
      <c r="E3075" s="117" t="str">
        <f>IF(A3075&amp;B3075="","",VLOOKUP(A3075&amp;B3075,INSUMOS!C:G,3,0))</f>
        <v/>
      </c>
      <c r="F3075" s="118"/>
      <c r="G3075" s="113" t="str">
        <f>IF(A3075&amp;B3075="","",VLOOKUP(A3075&amp;B3075,INSUMOS!C:G,4,0))</f>
        <v/>
      </c>
      <c r="H3075" s="119" t="str">
        <f t="shared" si="504"/>
        <v/>
      </c>
      <c r="I3075" s="119" t="str">
        <f t="shared" si="505"/>
        <v/>
      </c>
      <c r="J3075" s="115" t="str">
        <f t="shared" si="506"/>
        <v/>
      </c>
      <c r="K3075" s="102" t="str">
        <f>IF(A3075&amp;B3075="","",VLOOKUP(A3075&amp;B3075,INSUMOS!C:G,5,0))</f>
        <v/>
      </c>
    </row>
    <row r="3076" spans="1:11" ht="15" x14ac:dyDescent="0.25">
      <c r="A3076" s="109"/>
      <c r="B3076" s="116"/>
      <c r="C3076" s="518" t="str">
        <f>IF(A3076&amp;B3076="","",VLOOKUP(A3076&amp;B3076,INSUMOS!C:G,2,0))</f>
        <v/>
      </c>
      <c r="D3076" s="519"/>
      <c r="E3076" s="117" t="str">
        <f>IF(A3076&amp;B3076="","",VLOOKUP(A3076&amp;B3076,INSUMOS!C:G,3,0))</f>
        <v/>
      </c>
      <c r="F3076" s="118"/>
      <c r="G3076" s="113" t="str">
        <f>IF(A3076&amp;B3076="","",VLOOKUP(A3076&amp;B3076,INSUMOS!C:G,4,0))</f>
        <v/>
      </c>
      <c r="H3076" s="119" t="str">
        <f t="shared" si="504"/>
        <v/>
      </c>
      <c r="I3076" s="119" t="str">
        <f t="shared" si="505"/>
        <v/>
      </c>
      <c r="J3076" s="115" t="str">
        <f t="shared" si="506"/>
        <v/>
      </c>
      <c r="K3076" s="102" t="str">
        <f>IF(A3076&amp;B3076="","",VLOOKUP(A3076&amp;B3076,INSUMOS!C:G,5,0))</f>
        <v/>
      </c>
    </row>
    <row r="3077" spans="1:11" ht="15" x14ac:dyDescent="0.25">
      <c r="A3077" s="109"/>
      <c r="B3077" s="116"/>
      <c r="C3077" s="518" t="str">
        <f>IF(A3077&amp;B3077="","",VLOOKUP(A3077&amp;B3077,INSUMOS!C:G,2,0))</f>
        <v/>
      </c>
      <c r="D3077" s="519"/>
      <c r="E3077" s="117" t="str">
        <f>IF(A3077&amp;B3077="","",VLOOKUP(A3077&amp;B3077,INSUMOS!C:G,3,0))</f>
        <v/>
      </c>
      <c r="F3077" s="118"/>
      <c r="G3077" s="113" t="str">
        <f>IF(A3077&amp;B3077="","",VLOOKUP(A3077&amp;B3077,INSUMOS!C:G,4,0))</f>
        <v/>
      </c>
      <c r="H3077" s="119" t="str">
        <f t="shared" si="504"/>
        <v/>
      </c>
      <c r="I3077" s="119" t="str">
        <f t="shared" si="505"/>
        <v/>
      </c>
      <c r="J3077" s="115" t="str">
        <f t="shared" si="506"/>
        <v/>
      </c>
      <c r="K3077" s="102" t="str">
        <f>IF(A3077&amp;B3077="","",VLOOKUP(A3077&amp;B3077,INSUMOS!C:G,5,0))</f>
        <v/>
      </c>
    </row>
    <row r="3078" spans="1:11" ht="15" x14ac:dyDescent="0.25">
      <c r="A3078" s="109"/>
      <c r="B3078" s="116"/>
      <c r="C3078" s="518" t="str">
        <f>IF(A3078&amp;B3078="","",VLOOKUP(A3078&amp;B3078,INSUMOS!C:G,2,0))</f>
        <v/>
      </c>
      <c r="D3078" s="519"/>
      <c r="E3078" s="117" t="str">
        <f>IF(A3078&amp;B3078="","",VLOOKUP(A3078&amp;B3078,INSUMOS!C:G,3,0))</f>
        <v/>
      </c>
      <c r="F3078" s="118"/>
      <c r="G3078" s="113" t="str">
        <f>IF(A3078&amp;B3078="","",VLOOKUP(A3078&amp;B3078,INSUMOS!C:G,4,0))</f>
        <v/>
      </c>
      <c r="H3078" s="119" t="str">
        <f t="shared" si="504"/>
        <v/>
      </c>
      <c r="I3078" s="119" t="str">
        <f t="shared" si="505"/>
        <v/>
      </c>
      <c r="J3078" s="115" t="str">
        <f t="shared" si="506"/>
        <v/>
      </c>
      <c r="K3078" s="102" t="str">
        <f>IF(A3078&amp;B3078="","",VLOOKUP(A3078&amp;B3078,INSUMOS!C:G,5,0))</f>
        <v/>
      </c>
    </row>
    <row r="3079" spans="1:11" ht="15" x14ac:dyDescent="0.25">
      <c r="A3079" s="109"/>
      <c r="B3079" s="116"/>
      <c r="C3079" s="518" t="str">
        <f>IF(A3079&amp;B3079="","",VLOOKUP(A3079&amp;B3079,INSUMOS!C:G,2,0))</f>
        <v/>
      </c>
      <c r="D3079" s="519"/>
      <c r="E3079" s="117" t="str">
        <f>IF(A3079&amp;B3079="","",VLOOKUP(A3079&amp;B3079,INSUMOS!C:G,3,0))</f>
        <v/>
      </c>
      <c r="F3079" s="118"/>
      <c r="G3079" s="113" t="str">
        <f>IF(A3079&amp;B3079="","",VLOOKUP(A3079&amp;B3079,INSUMOS!C:G,4,0))</f>
        <v/>
      </c>
      <c r="H3079" s="119" t="str">
        <f t="shared" si="504"/>
        <v/>
      </c>
      <c r="I3079" s="119" t="str">
        <f t="shared" si="505"/>
        <v/>
      </c>
      <c r="J3079" s="115" t="str">
        <f t="shared" si="506"/>
        <v/>
      </c>
      <c r="K3079" s="102" t="str">
        <f>IF(A3079&amp;B3079="","",VLOOKUP(A3079&amp;B3079,INSUMOS!C:G,5,0))</f>
        <v/>
      </c>
    </row>
    <row r="3080" spans="1:11" ht="15" x14ac:dyDescent="0.25">
      <c r="A3080" s="109"/>
      <c r="B3080" s="116"/>
      <c r="C3080" s="518" t="str">
        <f>IF(A3080&amp;B3080="","",VLOOKUP(A3080&amp;B3080,INSUMOS!C:G,2,0))</f>
        <v/>
      </c>
      <c r="D3080" s="519"/>
      <c r="E3080" s="117" t="str">
        <f>IF(A3080&amp;B3080="","",VLOOKUP(A3080&amp;B3080,INSUMOS!C:G,3,0))</f>
        <v/>
      </c>
      <c r="F3080" s="118"/>
      <c r="G3080" s="113" t="str">
        <f>IF(A3080&amp;B3080="","",VLOOKUP(A3080&amp;B3080,INSUMOS!C:G,4,0))</f>
        <v/>
      </c>
      <c r="H3080" s="119" t="str">
        <f t="shared" si="504"/>
        <v/>
      </c>
      <c r="I3080" s="119" t="str">
        <f t="shared" si="505"/>
        <v/>
      </c>
      <c r="J3080" s="115" t="str">
        <f t="shared" si="506"/>
        <v/>
      </c>
      <c r="K3080" s="102" t="str">
        <f>IF(A3080&amp;B3080="","",VLOOKUP(A3080&amp;B3080,INSUMOS!C:G,5,0))</f>
        <v/>
      </c>
    </row>
    <row r="3081" spans="1:11" ht="15" x14ac:dyDescent="0.25">
      <c r="A3081" s="109"/>
      <c r="B3081" s="116"/>
      <c r="C3081" s="518" t="str">
        <f>IF(A3081&amp;B3081="","",VLOOKUP(A3081&amp;B3081,INSUMOS!C:G,2,0))</f>
        <v/>
      </c>
      <c r="D3081" s="519"/>
      <c r="E3081" s="117" t="str">
        <f>IF(A3081&amp;B3081="","",VLOOKUP(A3081&amp;B3081,INSUMOS!C:G,3,0))</f>
        <v/>
      </c>
      <c r="F3081" s="118"/>
      <c r="G3081" s="113" t="str">
        <f>IF(A3081&amp;B3081="","",VLOOKUP(A3081&amp;B3081,INSUMOS!C:G,4,0))</f>
        <v/>
      </c>
      <c r="H3081" s="119" t="str">
        <f t="shared" si="504"/>
        <v/>
      </c>
      <c r="I3081" s="119" t="str">
        <f t="shared" si="505"/>
        <v/>
      </c>
      <c r="J3081" s="115" t="str">
        <f t="shared" si="506"/>
        <v/>
      </c>
      <c r="K3081" s="102" t="str">
        <f>IF(A3081&amp;B3081="","",VLOOKUP(A3081&amp;B3081,INSUMOS!C:G,5,0))</f>
        <v/>
      </c>
    </row>
    <row r="3082" spans="1:11" ht="15" x14ac:dyDescent="0.25">
      <c r="A3082" s="109"/>
      <c r="B3082" s="116"/>
      <c r="C3082" s="518" t="str">
        <f>IF(A3082&amp;B3082="","",VLOOKUP(A3082&amp;B3082,INSUMOS!C:G,2,0))</f>
        <v/>
      </c>
      <c r="D3082" s="519"/>
      <c r="E3082" s="117" t="str">
        <f>IF(A3082&amp;B3082="","",VLOOKUP(A3082&amp;B3082,INSUMOS!C:G,3,0))</f>
        <v/>
      </c>
      <c r="F3082" s="118"/>
      <c r="G3082" s="113" t="str">
        <f>IF(A3082&amp;B3082="","",VLOOKUP(A3082&amp;B3082,INSUMOS!C:G,4,0))</f>
        <v/>
      </c>
      <c r="H3082" s="119" t="str">
        <f t="shared" si="504"/>
        <v/>
      </c>
      <c r="I3082" s="119" t="str">
        <f t="shared" si="505"/>
        <v/>
      </c>
      <c r="J3082" s="115" t="str">
        <f t="shared" si="506"/>
        <v/>
      </c>
      <c r="K3082" s="102" t="str">
        <f>IF(A3082&amp;B3082="","",VLOOKUP(A3082&amp;B3082,INSUMOS!C:G,5,0))</f>
        <v/>
      </c>
    </row>
    <row r="3083" spans="1:11" ht="15" x14ac:dyDescent="0.25">
      <c r="A3083" s="120"/>
      <c r="B3083" s="121"/>
      <c r="C3083" s="518" t="str">
        <f>IF(A3083&amp;B3083="","",VLOOKUP(A3083&amp;B3083,INSUMOS!C:G,2,0))</f>
        <v/>
      </c>
      <c r="D3083" s="519"/>
      <c r="E3083" s="117" t="str">
        <f>IF(A3083&amp;B3083="","",VLOOKUP(A3083&amp;B3083,INSUMOS!C:G,3,0))</f>
        <v/>
      </c>
      <c r="F3083" s="118"/>
      <c r="G3083" s="122" t="str">
        <f>IF(A3083&amp;B3083="","",VLOOKUP(A3083&amp;B3083,INSUMOS!C:G,4,0))</f>
        <v/>
      </c>
      <c r="H3083" s="119" t="str">
        <f t="shared" si="504"/>
        <v/>
      </c>
      <c r="I3083" s="119" t="str">
        <f t="shared" si="505"/>
        <v/>
      </c>
      <c r="J3083" s="115" t="str">
        <f t="shared" si="506"/>
        <v/>
      </c>
      <c r="K3083" s="102" t="str">
        <f>IF(A3083&amp;B3083="","",VLOOKUP(A3083&amp;B3083,INSUMOS!C:G,5,0))</f>
        <v/>
      </c>
    </row>
    <row r="3084" spans="1:11" ht="15" x14ac:dyDescent="0.25">
      <c r="A3084" s="120"/>
      <c r="B3084" s="121"/>
      <c r="C3084" s="518" t="str">
        <f>IF(A3084&amp;B3084="","",VLOOKUP(A3084&amp;B3084,INSUMOS!C:G,2,0))</f>
        <v/>
      </c>
      <c r="D3084" s="519"/>
      <c r="E3084" s="117" t="str">
        <f>IF(A3084&amp;B3084="","",VLOOKUP(A3084&amp;B3084,INSUMOS!C:G,3,0))</f>
        <v/>
      </c>
      <c r="F3084" s="118"/>
      <c r="G3084" s="122" t="str">
        <f>IF(A3084&amp;B3084="","",VLOOKUP(A3084&amp;B3084,INSUMOS!C:G,4,0))</f>
        <v/>
      </c>
      <c r="H3084" s="119" t="str">
        <f t="shared" si="504"/>
        <v/>
      </c>
      <c r="I3084" s="119" t="str">
        <f t="shared" si="505"/>
        <v/>
      </c>
      <c r="J3084" s="115" t="str">
        <f t="shared" si="506"/>
        <v/>
      </c>
      <c r="K3084" s="102" t="str">
        <f>IF(A3084&amp;B3084="","",VLOOKUP(A3084&amp;B3084,INSUMOS!C:G,5,0))</f>
        <v/>
      </c>
    </row>
    <row r="3085" spans="1:11" ht="15" x14ac:dyDescent="0.25">
      <c r="A3085" s="120"/>
      <c r="B3085" s="121"/>
      <c r="C3085" s="518" t="str">
        <f>IF(A3085&amp;B3085="","",VLOOKUP(A3085&amp;B3085,INSUMOS!C:G,2,0))</f>
        <v/>
      </c>
      <c r="D3085" s="519"/>
      <c r="E3085" s="117" t="str">
        <f>IF(A3085&amp;B3085="","",VLOOKUP(A3085&amp;B3085,INSUMOS!C:G,3,0))</f>
        <v/>
      </c>
      <c r="F3085" s="118"/>
      <c r="G3085" s="122" t="str">
        <f>IF(A3085&amp;B3085="","",VLOOKUP(A3085&amp;B3085,INSUMOS!C:G,4,0))</f>
        <v/>
      </c>
      <c r="H3085" s="119" t="str">
        <f t="shared" si="504"/>
        <v/>
      </c>
      <c r="I3085" s="119" t="str">
        <f t="shared" si="505"/>
        <v/>
      </c>
      <c r="J3085" s="115" t="str">
        <f t="shared" si="506"/>
        <v/>
      </c>
      <c r="K3085" s="102" t="str">
        <f>IF(A3085&amp;B3085="","",VLOOKUP(A3085&amp;B3085,INSUMOS!C:G,5,0))</f>
        <v/>
      </c>
    </row>
    <row r="3086" spans="1:11" ht="15" x14ac:dyDescent="0.25">
      <c r="A3086" s="123" t="s">
        <v>4399</v>
      </c>
      <c r="B3086" s="542"/>
      <c r="C3086" s="542"/>
      <c r="D3086" s="542"/>
      <c r="E3086" s="542"/>
      <c r="F3086" s="543"/>
      <c r="G3086" s="124" t="s">
        <v>50</v>
      </c>
      <c r="H3086" s="125">
        <f>SUM(H3073:H3085)</f>
        <v>0</v>
      </c>
      <c r="I3086" s="125">
        <f>SUM(I3073:I3085)</f>
        <v>489718.6</v>
      </c>
      <c r="J3086" s="126">
        <f>SUM(J3073:J3085)</f>
        <v>0</v>
      </c>
    </row>
    <row r="3087" spans="1:11" ht="15" x14ac:dyDescent="0.25">
      <c r="A3087" s="127" t="s">
        <v>4400</v>
      </c>
      <c r="B3087" s="128"/>
      <c r="C3087" s="128"/>
      <c r="D3087" s="127" t="s">
        <v>51</v>
      </c>
      <c r="E3087" s="128"/>
      <c r="F3087" s="129"/>
      <c r="G3087" s="130" t="s">
        <v>55</v>
      </c>
      <c r="H3087" s="131" t="s">
        <v>52</v>
      </c>
      <c r="I3087" s="132"/>
      <c r="J3087" s="125">
        <f>SUM(H3086:J3086)</f>
        <v>489718.6</v>
      </c>
    </row>
    <row r="3088" spans="1:11" ht="15" x14ac:dyDescent="0.25">
      <c r="A3088" s="313" t="str">
        <f>$I$3</f>
        <v>Carlos Wieck</v>
      </c>
      <c r="B3088" s="133"/>
      <c r="C3088" s="133"/>
      <c r="D3088" s="134"/>
      <c r="E3088" s="133"/>
      <c r="F3088" s="135"/>
      <c r="G3088" s="522">
        <f>$J$5</f>
        <v>43040</v>
      </c>
      <c r="H3088" s="136" t="s">
        <v>53</v>
      </c>
      <c r="I3088" s="137"/>
      <c r="J3088" s="125">
        <f>TRUNC(I3088*J3087,2)</f>
        <v>0</v>
      </c>
    </row>
    <row r="3089" spans="1:17" ht="15" x14ac:dyDescent="0.25">
      <c r="A3089" s="314"/>
      <c r="B3089" s="139"/>
      <c r="C3089" s="139"/>
      <c r="D3089" s="138"/>
      <c r="E3089" s="139"/>
      <c r="F3089" s="140"/>
      <c r="G3089" s="523"/>
      <c r="H3089" s="141" t="s">
        <v>54</v>
      </c>
      <c r="I3089" s="142"/>
      <c r="J3089" s="143">
        <f>J3088+J3087</f>
        <v>489718.6</v>
      </c>
      <c r="L3089" s="102" t="str">
        <f>A3070</f>
        <v>COMPOSIÇÃO</v>
      </c>
      <c r="M3089" s="144" t="str">
        <f>B3070</f>
        <v>FF-134</v>
      </c>
      <c r="N3089" s="102" t="str">
        <f>L3089&amp;M3089</f>
        <v>COMPOSIÇÃOFF-134</v>
      </c>
      <c r="O3089" s="103" t="str">
        <f>D3069</f>
        <v>Fornecimento e Instalação de Estruturas de Madeira Laminada Colada, conforme projeto (Despraiado), incluindo ligações metálicas, produtos, acabamentos e frete</v>
      </c>
      <c r="P3089" s="145" t="str">
        <f>J3070</f>
        <v>cj</v>
      </c>
      <c r="Q3089" s="145">
        <f>J3089</f>
        <v>489718.6</v>
      </c>
    </row>
    <row r="3090" spans="1:17" ht="15" customHeight="1" x14ac:dyDescent="0.25">
      <c r="A3090" s="524" t="s">
        <v>40</v>
      </c>
      <c r="B3090" s="525"/>
      <c r="C3090" s="104" t="s">
        <v>41</v>
      </c>
      <c r="D3090" s="526" t="str">
        <f>IF(B3091="","",VLOOKUP(B3091,SERVIÇOS!B:E,3,0))</f>
        <v>Fornecimento e Instalação de Estruturas de Madeira Laminada Colada, conforme projeto (Prelado), incluindo ligações metálicas, produtos, acabamentos e frete</v>
      </c>
      <c r="E3090" s="526"/>
      <c r="F3090" s="526"/>
      <c r="G3090" s="526"/>
      <c r="H3090" s="526"/>
      <c r="I3090" s="527"/>
      <c r="J3090" s="105" t="s">
        <v>42</v>
      </c>
    </row>
    <row r="3091" spans="1:17" ht="15" x14ac:dyDescent="0.25">
      <c r="A3091" s="230" t="s">
        <v>4715</v>
      </c>
      <c r="B3091" s="230" t="s">
        <v>5451</v>
      </c>
      <c r="C3091" s="106"/>
      <c r="D3091" s="528"/>
      <c r="E3091" s="528"/>
      <c r="F3091" s="528"/>
      <c r="G3091" s="528"/>
      <c r="H3091" s="528"/>
      <c r="I3091" s="529"/>
      <c r="J3091" s="107" t="str">
        <f>IF(B3091="","",VLOOKUP(B3091,SERVIÇOS!B:E,4,0))</f>
        <v>cj</v>
      </c>
    </row>
    <row r="3092" spans="1:17" ht="15" x14ac:dyDescent="0.25">
      <c r="A3092" s="530" t="s">
        <v>4397</v>
      </c>
      <c r="B3092" s="531" t="s">
        <v>11</v>
      </c>
      <c r="C3092" s="533" t="s">
        <v>43</v>
      </c>
      <c r="D3092" s="534"/>
      <c r="E3092" s="530" t="s">
        <v>13</v>
      </c>
      <c r="F3092" s="530" t="s">
        <v>44</v>
      </c>
      <c r="G3092" s="538" t="s">
        <v>45</v>
      </c>
      <c r="H3092" s="108" t="s">
        <v>46</v>
      </c>
      <c r="I3092" s="108"/>
      <c r="J3092" s="108"/>
    </row>
    <row r="3093" spans="1:17" ht="15" x14ac:dyDescent="0.25">
      <c r="A3093" s="530"/>
      <c r="B3093" s="532"/>
      <c r="C3093" s="535"/>
      <c r="D3093" s="536"/>
      <c r="E3093" s="537"/>
      <c r="F3093" s="537"/>
      <c r="G3093" s="539"/>
      <c r="H3093" s="108" t="s">
        <v>47</v>
      </c>
      <c r="I3093" s="108" t="s">
        <v>48</v>
      </c>
      <c r="J3093" s="108" t="s">
        <v>49</v>
      </c>
    </row>
    <row r="3094" spans="1:17" ht="30" customHeight="1" x14ac:dyDescent="0.25">
      <c r="A3094" s="109" t="s">
        <v>4717</v>
      </c>
      <c r="B3094" s="116" t="s">
        <v>5000</v>
      </c>
      <c r="C3094" s="540" t="str">
        <f>IF(A3094&amp;B3094="","",VLOOKUP(A3094&amp;B3094,INSUMOS!C:G,2,0))</f>
        <v>Fornecimento e Instalação de Estruturas de Madeira Laminada Colada, conforme projeto (Prelado), incluindo ligações metálicas, produtos, acabamentos e frete</v>
      </c>
      <c r="D3094" s="541"/>
      <c r="E3094" s="111" t="str">
        <f>IF(A3094&amp;B3094="","",VLOOKUP(A3094&amp;B3094,INSUMOS!C:G,3,0))</f>
        <v>cj</v>
      </c>
      <c r="F3094" s="112">
        <v>1</v>
      </c>
      <c r="G3094" s="113">
        <f>IF(A3094&amp;B3094="","",VLOOKUP(A3094&amp;B3094,INSUMOS!C:G,4,0))</f>
        <v>489718.6</v>
      </c>
      <c r="H3094" s="114" t="str">
        <f>IF(K3094="MO",TRUNC(F3094*G3094,2),"")</f>
        <v/>
      </c>
      <c r="I3094" s="114">
        <f>IF(K3094="MT",TRUNC(F3094*G3094,2),"")</f>
        <v>489718.6</v>
      </c>
      <c r="J3094" s="115" t="str">
        <f>IF(K3094="EQ",TRUNC(F3094*G3094,2),"")</f>
        <v/>
      </c>
      <c r="K3094" s="102" t="str">
        <f>IF(A3094&amp;B3094="","",VLOOKUP(A3094&amp;B3094,INSUMOS!C:G,5,0))</f>
        <v>MT</v>
      </c>
    </row>
    <row r="3095" spans="1:17" ht="15" x14ac:dyDescent="0.25">
      <c r="A3095" s="109"/>
      <c r="B3095" s="116"/>
      <c r="C3095" s="518" t="str">
        <f>IF(A3095&amp;B3095="","",VLOOKUP(A3095&amp;B3095,INSUMOS!C:G,2,0))</f>
        <v/>
      </c>
      <c r="D3095" s="519"/>
      <c r="E3095" s="117" t="str">
        <f>IF(A3095&amp;B3095="","",VLOOKUP(A3095&amp;B3095,INSUMOS!C:G,3,0))</f>
        <v/>
      </c>
      <c r="F3095" s="118"/>
      <c r="G3095" s="113" t="str">
        <f>IF(A3095&amp;B3095="","",VLOOKUP(A3095&amp;B3095,INSUMOS!C:G,4,0))</f>
        <v/>
      </c>
      <c r="H3095" s="119" t="str">
        <f t="shared" ref="H3095:H3106" si="507">IF(K3095="MO",TRUNC(F3095*G3095,2),"")</f>
        <v/>
      </c>
      <c r="I3095" s="119" t="str">
        <f t="shared" ref="I3095:I3106" si="508">IF(K3095="MT",TRUNC(F3095*G3095,2),"")</f>
        <v/>
      </c>
      <c r="J3095" s="115" t="str">
        <f t="shared" ref="J3095:J3106" si="509">IF(K3095="EQ",TRUNC(F3095*G3095,2),"")</f>
        <v/>
      </c>
      <c r="K3095" s="102" t="str">
        <f>IF(A3095&amp;B3095="","",VLOOKUP(A3095&amp;B3095,INSUMOS!C:G,5,0))</f>
        <v/>
      </c>
    </row>
    <row r="3096" spans="1:17" ht="15" x14ac:dyDescent="0.25">
      <c r="A3096" s="109"/>
      <c r="B3096" s="116"/>
      <c r="C3096" s="518" t="str">
        <f>IF(A3096&amp;B3096="","",VLOOKUP(A3096&amp;B3096,INSUMOS!C:G,2,0))</f>
        <v/>
      </c>
      <c r="D3096" s="519"/>
      <c r="E3096" s="117" t="str">
        <f>IF(A3096&amp;B3096="","",VLOOKUP(A3096&amp;B3096,INSUMOS!C:G,3,0))</f>
        <v/>
      </c>
      <c r="F3096" s="118"/>
      <c r="G3096" s="113" t="str">
        <f>IF(A3096&amp;B3096="","",VLOOKUP(A3096&amp;B3096,INSUMOS!C:G,4,0))</f>
        <v/>
      </c>
      <c r="H3096" s="119" t="str">
        <f t="shared" si="507"/>
        <v/>
      </c>
      <c r="I3096" s="119" t="str">
        <f t="shared" si="508"/>
        <v/>
      </c>
      <c r="J3096" s="115" t="str">
        <f t="shared" si="509"/>
        <v/>
      </c>
      <c r="K3096" s="102" t="str">
        <f>IF(A3096&amp;B3096="","",VLOOKUP(A3096&amp;B3096,INSUMOS!C:G,5,0))</f>
        <v/>
      </c>
    </row>
    <row r="3097" spans="1:17" ht="15" x14ac:dyDescent="0.25">
      <c r="A3097" s="109"/>
      <c r="B3097" s="116"/>
      <c r="C3097" s="518" t="str">
        <f>IF(A3097&amp;B3097="","",VLOOKUP(A3097&amp;B3097,INSUMOS!C:G,2,0))</f>
        <v/>
      </c>
      <c r="D3097" s="519"/>
      <c r="E3097" s="117" t="str">
        <f>IF(A3097&amp;B3097="","",VLOOKUP(A3097&amp;B3097,INSUMOS!C:G,3,0))</f>
        <v/>
      </c>
      <c r="F3097" s="118"/>
      <c r="G3097" s="113" t="str">
        <f>IF(A3097&amp;B3097="","",VLOOKUP(A3097&amp;B3097,INSUMOS!C:G,4,0))</f>
        <v/>
      </c>
      <c r="H3097" s="119" t="str">
        <f t="shared" si="507"/>
        <v/>
      </c>
      <c r="I3097" s="119" t="str">
        <f t="shared" si="508"/>
        <v/>
      </c>
      <c r="J3097" s="115" t="str">
        <f t="shared" si="509"/>
        <v/>
      </c>
      <c r="K3097" s="102" t="str">
        <f>IF(A3097&amp;B3097="","",VLOOKUP(A3097&amp;B3097,INSUMOS!C:G,5,0))</f>
        <v/>
      </c>
    </row>
    <row r="3098" spans="1:17" ht="15" x14ac:dyDescent="0.25">
      <c r="A3098" s="109"/>
      <c r="B3098" s="116"/>
      <c r="C3098" s="518" t="str">
        <f>IF(A3098&amp;B3098="","",VLOOKUP(A3098&amp;B3098,INSUMOS!C:G,2,0))</f>
        <v/>
      </c>
      <c r="D3098" s="519"/>
      <c r="E3098" s="117" t="str">
        <f>IF(A3098&amp;B3098="","",VLOOKUP(A3098&amp;B3098,INSUMOS!C:G,3,0))</f>
        <v/>
      </c>
      <c r="F3098" s="118"/>
      <c r="G3098" s="113" t="str">
        <f>IF(A3098&amp;B3098="","",VLOOKUP(A3098&amp;B3098,INSUMOS!C:G,4,0))</f>
        <v/>
      </c>
      <c r="H3098" s="119" t="str">
        <f t="shared" si="507"/>
        <v/>
      </c>
      <c r="I3098" s="119" t="str">
        <f t="shared" si="508"/>
        <v/>
      </c>
      <c r="J3098" s="115" t="str">
        <f t="shared" si="509"/>
        <v/>
      </c>
      <c r="K3098" s="102" t="str">
        <f>IF(A3098&amp;B3098="","",VLOOKUP(A3098&amp;B3098,INSUMOS!C:G,5,0))</f>
        <v/>
      </c>
    </row>
    <row r="3099" spans="1:17" ht="15" x14ac:dyDescent="0.25">
      <c r="A3099" s="109"/>
      <c r="B3099" s="116"/>
      <c r="C3099" s="518" t="str">
        <f>IF(A3099&amp;B3099="","",VLOOKUP(A3099&amp;B3099,INSUMOS!C:G,2,0))</f>
        <v/>
      </c>
      <c r="D3099" s="519"/>
      <c r="E3099" s="117" t="str">
        <f>IF(A3099&amp;B3099="","",VLOOKUP(A3099&amp;B3099,INSUMOS!C:G,3,0))</f>
        <v/>
      </c>
      <c r="F3099" s="118"/>
      <c r="G3099" s="113" t="str">
        <f>IF(A3099&amp;B3099="","",VLOOKUP(A3099&amp;B3099,INSUMOS!C:G,4,0))</f>
        <v/>
      </c>
      <c r="H3099" s="119" t="str">
        <f t="shared" si="507"/>
        <v/>
      </c>
      <c r="I3099" s="119" t="str">
        <f t="shared" si="508"/>
        <v/>
      </c>
      <c r="J3099" s="115" t="str">
        <f t="shared" si="509"/>
        <v/>
      </c>
      <c r="K3099" s="102" t="str">
        <f>IF(A3099&amp;B3099="","",VLOOKUP(A3099&amp;B3099,INSUMOS!C:G,5,0))</f>
        <v/>
      </c>
    </row>
    <row r="3100" spans="1:17" ht="15" x14ac:dyDescent="0.25">
      <c r="A3100" s="109"/>
      <c r="B3100" s="116"/>
      <c r="C3100" s="518" t="str">
        <f>IF(A3100&amp;B3100="","",VLOOKUP(A3100&amp;B3100,INSUMOS!C:G,2,0))</f>
        <v/>
      </c>
      <c r="D3100" s="519"/>
      <c r="E3100" s="117" t="str">
        <f>IF(A3100&amp;B3100="","",VLOOKUP(A3100&amp;B3100,INSUMOS!C:G,3,0))</f>
        <v/>
      </c>
      <c r="F3100" s="118"/>
      <c r="G3100" s="113" t="str">
        <f>IF(A3100&amp;B3100="","",VLOOKUP(A3100&amp;B3100,INSUMOS!C:G,4,0))</f>
        <v/>
      </c>
      <c r="H3100" s="119" t="str">
        <f t="shared" si="507"/>
        <v/>
      </c>
      <c r="I3100" s="119" t="str">
        <f t="shared" si="508"/>
        <v/>
      </c>
      <c r="J3100" s="115" t="str">
        <f t="shared" si="509"/>
        <v/>
      </c>
      <c r="K3100" s="102" t="str">
        <f>IF(A3100&amp;B3100="","",VLOOKUP(A3100&amp;B3100,INSUMOS!C:G,5,0))</f>
        <v/>
      </c>
    </row>
    <row r="3101" spans="1:17" ht="15" x14ac:dyDescent="0.25">
      <c r="A3101" s="109"/>
      <c r="B3101" s="116"/>
      <c r="C3101" s="518" t="str">
        <f>IF(A3101&amp;B3101="","",VLOOKUP(A3101&amp;B3101,INSUMOS!C:G,2,0))</f>
        <v/>
      </c>
      <c r="D3101" s="519"/>
      <c r="E3101" s="117" t="str">
        <f>IF(A3101&amp;B3101="","",VLOOKUP(A3101&amp;B3101,INSUMOS!C:G,3,0))</f>
        <v/>
      </c>
      <c r="F3101" s="118"/>
      <c r="G3101" s="113" t="str">
        <f>IF(A3101&amp;B3101="","",VLOOKUP(A3101&amp;B3101,INSUMOS!C:G,4,0))</f>
        <v/>
      </c>
      <c r="H3101" s="119" t="str">
        <f t="shared" si="507"/>
        <v/>
      </c>
      <c r="I3101" s="119" t="str">
        <f t="shared" si="508"/>
        <v/>
      </c>
      <c r="J3101" s="115" t="str">
        <f t="shared" si="509"/>
        <v/>
      </c>
      <c r="K3101" s="102" t="str">
        <f>IF(A3101&amp;B3101="","",VLOOKUP(A3101&amp;B3101,INSUMOS!C:G,5,0))</f>
        <v/>
      </c>
    </row>
    <row r="3102" spans="1:17" ht="15" x14ac:dyDescent="0.25">
      <c r="A3102" s="109"/>
      <c r="B3102" s="116"/>
      <c r="C3102" s="518" t="str">
        <f>IF(A3102&amp;B3102="","",VLOOKUP(A3102&amp;B3102,INSUMOS!C:G,2,0))</f>
        <v/>
      </c>
      <c r="D3102" s="519"/>
      <c r="E3102" s="117" t="str">
        <f>IF(A3102&amp;B3102="","",VLOOKUP(A3102&amp;B3102,INSUMOS!C:G,3,0))</f>
        <v/>
      </c>
      <c r="F3102" s="118"/>
      <c r="G3102" s="113" t="str">
        <f>IF(A3102&amp;B3102="","",VLOOKUP(A3102&amp;B3102,INSUMOS!C:G,4,0))</f>
        <v/>
      </c>
      <c r="H3102" s="119" t="str">
        <f t="shared" si="507"/>
        <v/>
      </c>
      <c r="I3102" s="119" t="str">
        <f t="shared" si="508"/>
        <v/>
      </c>
      <c r="J3102" s="115" t="str">
        <f t="shared" si="509"/>
        <v/>
      </c>
      <c r="K3102" s="102" t="str">
        <f>IF(A3102&amp;B3102="","",VLOOKUP(A3102&amp;B3102,INSUMOS!C:G,5,0))</f>
        <v/>
      </c>
    </row>
    <row r="3103" spans="1:17" ht="15" x14ac:dyDescent="0.25">
      <c r="A3103" s="109"/>
      <c r="B3103" s="116"/>
      <c r="C3103" s="518" t="str">
        <f>IF(A3103&amp;B3103="","",VLOOKUP(A3103&amp;B3103,INSUMOS!C:G,2,0))</f>
        <v/>
      </c>
      <c r="D3103" s="519"/>
      <c r="E3103" s="117" t="str">
        <f>IF(A3103&amp;B3103="","",VLOOKUP(A3103&amp;B3103,INSUMOS!C:G,3,0))</f>
        <v/>
      </c>
      <c r="F3103" s="118"/>
      <c r="G3103" s="113" t="str">
        <f>IF(A3103&amp;B3103="","",VLOOKUP(A3103&amp;B3103,INSUMOS!C:G,4,0))</f>
        <v/>
      </c>
      <c r="H3103" s="119" t="str">
        <f t="shared" si="507"/>
        <v/>
      </c>
      <c r="I3103" s="119" t="str">
        <f t="shared" si="508"/>
        <v/>
      </c>
      <c r="J3103" s="115" t="str">
        <f t="shared" si="509"/>
        <v/>
      </c>
      <c r="K3103" s="102" t="str">
        <f>IF(A3103&amp;B3103="","",VLOOKUP(A3103&amp;B3103,INSUMOS!C:G,5,0))</f>
        <v/>
      </c>
    </row>
    <row r="3104" spans="1:17" ht="15" x14ac:dyDescent="0.25">
      <c r="A3104" s="120"/>
      <c r="B3104" s="121"/>
      <c r="C3104" s="518" t="str">
        <f>IF(A3104&amp;B3104="","",VLOOKUP(A3104&amp;B3104,INSUMOS!C:G,2,0))</f>
        <v/>
      </c>
      <c r="D3104" s="519"/>
      <c r="E3104" s="117" t="str">
        <f>IF(A3104&amp;B3104="","",VLOOKUP(A3104&amp;B3104,INSUMOS!C:G,3,0))</f>
        <v/>
      </c>
      <c r="F3104" s="118"/>
      <c r="G3104" s="122" t="str">
        <f>IF(A3104&amp;B3104="","",VLOOKUP(A3104&amp;B3104,INSUMOS!C:G,4,0))</f>
        <v/>
      </c>
      <c r="H3104" s="119" t="str">
        <f t="shared" si="507"/>
        <v/>
      </c>
      <c r="I3104" s="119" t="str">
        <f t="shared" si="508"/>
        <v/>
      </c>
      <c r="J3104" s="115" t="str">
        <f t="shared" si="509"/>
        <v/>
      </c>
      <c r="K3104" s="102" t="str">
        <f>IF(A3104&amp;B3104="","",VLOOKUP(A3104&amp;B3104,INSUMOS!C:G,5,0))</f>
        <v/>
      </c>
    </row>
    <row r="3105" spans="1:17" ht="15" x14ac:dyDescent="0.25">
      <c r="A3105" s="120"/>
      <c r="B3105" s="121"/>
      <c r="C3105" s="518" t="str">
        <f>IF(A3105&amp;B3105="","",VLOOKUP(A3105&amp;B3105,INSUMOS!C:G,2,0))</f>
        <v/>
      </c>
      <c r="D3105" s="519"/>
      <c r="E3105" s="117" t="str">
        <f>IF(A3105&amp;B3105="","",VLOOKUP(A3105&amp;B3105,INSUMOS!C:G,3,0))</f>
        <v/>
      </c>
      <c r="F3105" s="118"/>
      <c r="G3105" s="122" t="str">
        <f>IF(A3105&amp;B3105="","",VLOOKUP(A3105&amp;B3105,INSUMOS!C:G,4,0))</f>
        <v/>
      </c>
      <c r="H3105" s="119" t="str">
        <f t="shared" si="507"/>
        <v/>
      </c>
      <c r="I3105" s="119" t="str">
        <f t="shared" si="508"/>
        <v/>
      </c>
      <c r="J3105" s="115" t="str">
        <f t="shared" si="509"/>
        <v/>
      </c>
      <c r="K3105" s="102" t="str">
        <f>IF(A3105&amp;B3105="","",VLOOKUP(A3105&amp;B3105,INSUMOS!C:G,5,0))</f>
        <v/>
      </c>
    </row>
    <row r="3106" spans="1:17" ht="15" x14ac:dyDescent="0.25">
      <c r="A3106" s="120"/>
      <c r="B3106" s="121"/>
      <c r="C3106" s="518" t="str">
        <f>IF(A3106&amp;B3106="","",VLOOKUP(A3106&amp;B3106,INSUMOS!C:G,2,0))</f>
        <v/>
      </c>
      <c r="D3106" s="519"/>
      <c r="E3106" s="117" t="str">
        <f>IF(A3106&amp;B3106="","",VLOOKUP(A3106&amp;B3106,INSUMOS!C:G,3,0))</f>
        <v/>
      </c>
      <c r="F3106" s="118"/>
      <c r="G3106" s="122" t="str">
        <f>IF(A3106&amp;B3106="","",VLOOKUP(A3106&amp;B3106,INSUMOS!C:G,4,0))</f>
        <v/>
      </c>
      <c r="H3106" s="119" t="str">
        <f t="shared" si="507"/>
        <v/>
      </c>
      <c r="I3106" s="119" t="str">
        <f t="shared" si="508"/>
        <v/>
      </c>
      <c r="J3106" s="115" t="str">
        <f t="shared" si="509"/>
        <v/>
      </c>
      <c r="K3106" s="102" t="str">
        <f>IF(A3106&amp;B3106="","",VLOOKUP(A3106&amp;B3106,INSUMOS!C:G,5,0))</f>
        <v/>
      </c>
    </row>
    <row r="3107" spans="1:17" ht="15" x14ac:dyDescent="0.25">
      <c r="A3107" s="123" t="s">
        <v>4399</v>
      </c>
      <c r="B3107" s="542"/>
      <c r="C3107" s="542"/>
      <c r="D3107" s="542"/>
      <c r="E3107" s="542"/>
      <c r="F3107" s="543"/>
      <c r="G3107" s="124" t="s">
        <v>50</v>
      </c>
      <c r="H3107" s="125">
        <f>SUM(H3094:H3106)</f>
        <v>0</v>
      </c>
      <c r="I3107" s="125">
        <f>SUM(I3094:I3106)</f>
        <v>489718.6</v>
      </c>
      <c r="J3107" s="126">
        <f>SUM(J3094:J3106)</f>
        <v>0</v>
      </c>
    </row>
    <row r="3108" spans="1:17" ht="15" x14ac:dyDescent="0.25">
      <c r="A3108" s="127" t="s">
        <v>4400</v>
      </c>
      <c r="B3108" s="128"/>
      <c r="C3108" s="128"/>
      <c r="D3108" s="127" t="s">
        <v>51</v>
      </c>
      <c r="E3108" s="128"/>
      <c r="F3108" s="129"/>
      <c r="G3108" s="130" t="s">
        <v>55</v>
      </c>
      <c r="H3108" s="131" t="s">
        <v>52</v>
      </c>
      <c r="I3108" s="132"/>
      <c r="J3108" s="125">
        <f>SUM(H3107:J3107)</f>
        <v>489718.6</v>
      </c>
    </row>
    <row r="3109" spans="1:17" ht="15" x14ac:dyDescent="0.25">
      <c r="A3109" s="313" t="str">
        <f>$I$3</f>
        <v>Carlos Wieck</v>
      </c>
      <c r="B3109" s="133"/>
      <c r="C3109" s="133"/>
      <c r="D3109" s="134"/>
      <c r="E3109" s="133"/>
      <c r="F3109" s="135"/>
      <c r="G3109" s="522">
        <f>$J$5</f>
        <v>43040</v>
      </c>
      <c r="H3109" s="136" t="s">
        <v>53</v>
      </c>
      <c r="I3109" s="137"/>
      <c r="J3109" s="125">
        <f>TRUNC(I3109*J3108,2)</f>
        <v>0</v>
      </c>
    </row>
    <row r="3110" spans="1:17" ht="15" x14ac:dyDescent="0.25">
      <c r="A3110" s="314"/>
      <c r="B3110" s="139"/>
      <c r="C3110" s="139"/>
      <c r="D3110" s="138"/>
      <c r="E3110" s="139"/>
      <c r="F3110" s="140"/>
      <c r="G3110" s="523"/>
      <c r="H3110" s="141" t="s">
        <v>54</v>
      </c>
      <c r="I3110" s="142"/>
      <c r="J3110" s="143">
        <f>J3109+J3108</f>
        <v>489718.6</v>
      </c>
      <c r="L3110" s="102" t="str">
        <f>A3091</f>
        <v>COMPOSIÇÃO</v>
      </c>
      <c r="M3110" s="144" t="str">
        <f>B3091</f>
        <v>FF-135</v>
      </c>
      <c r="N3110" s="102" t="str">
        <f>L3110&amp;M3110</f>
        <v>COMPOSIÇÃOFF-135</v>
      </c>
      <c r="O3110" s="103" t="str">
        <f>D3090</f>
        <v>Fornecimento e Instalação de Estruturas de Madeira Laminada Colada, conforme projeto (Prelado), incluindo ligações metálicas, produtos, acabamentos e frete</v>
      </c>
      <c r="P3110" s="145" t="str">
        <f>J3091</f>
        <v>cj</v>
      </c>
      <c r="Q3110" s="145">
        <f>J3110</f>
        <v>489718.6</v>
      </c>
    </row>
    <row r="3111" spans="1:17" ht="15" x14ac:dyDescent="0.25">
      <c r="A3111" s="524" t="s">
        <v>40</v>
      </c>
      <c r="B3111" s="525"/>
      <c r="C3111" s="104" t="s">
        <v>41</v>
      </c>
      <c r="D3111" s="526" t="str">
        <f>IF(B3112="","",VLOOKUP(B3112,SERVIÇOS!B:E,3,0))</f>
        <v>Quadro de distribuição de luz e força do tipo de sobrepor com barramento interno 3F + N + T, proteção geral de 15 kA e disjuntores parciais de 5kA, placa de fixação independente, fechadura com chave Yale de acordo com ABNT 60439-1 - ref. GIMI ou equivalente, conforme diagramas de projeto (sede)</v>
      </c>
      <c r="E3111" s="526"/>
      <c r="F3111" s="526"/>
      <c r="G3111" s="526"/>
      <c r="H3111" s="526"/>
      <c r="I3111" s="527"/>
      <c r="J3111" s="105" t="s">
        <v>42</v>
      </c>
    </row>
    <row r="3112" spans="1:17" ht="15" x14ac:dyDescent="0.25">
      <c r="A3112" s="230" t="s">
        <v>4715</v>
      </c>
      <c r="B3112" s="230" t="s">
        <v>5471</v>
      </c>
      <c r="C3112" s="106"/>
      <c r="D3112" s="528"/>
      <c r="E3112" s="528"/>
      <c r="F3112" s="528"/>
      <c r="G3112" s="528"/>
      <c r="H3112" s="528"/>
      <c r="I3112" s="529"/>
      <c r="J3112" s="107" t="str">
        <f>IF(B3112="","",VLOOKUP(B3112,SERVIÇOS!B:E,4,0))</f>
        <v>cj</v>
      </c>
    </row>
    <row r="3113" spans="1:17" ht="15" x14ac:dyDescent="0.25">
      <c r="A3113" s="530" t="s">
        <v>4397</v>
      </c>
      <c r="B3113" s="531" t="s">
        <v>11</v>
      </c>
      <c r="C3113" s="533" t="s">
        <v>43</v>
      </c>
      <c r="D3113" s="534"/>
      <c r="E3113" s="530" t="s">
        <v>13</v>
      </c>
      <c r="F3113" s="530" t="s">
        <v>44</v>
      </c>
      <c r="G3113" s="538" t="s">
        <v>45</v>
      </c>
      <c r="H3113" s="108" t="s">
        <v>46</v>
      </c>
      <c r="I3113" s="108"/>
      <c r="J3113" s="108"/>
    </row>
    <row r="3114" spans="1:17" ht="15" x14ac:dyDescent="0.25">
      <c r="A3114" s="530"/>
      <c r="B3114" s="532"/>
      <c r="C3114" s="535"/>
      <c r="D3114" s="536"/>
      <c r="E3114" s="537"/>
      <c r="F3114" s="537"/>
      <c r="G3114" s="539"/>
      <c r="H3114" s="108" t="s">
        <v>47</v>
      </c>
      <c r="I3114" s="108" t="s">
        <v>48</v>
      </c>
      <c r="J3114" s="108" t="s">
        <v>49</v>
      </c>
    </row>
    <row r="3115" spans="1:17" ht="60" customHeight="1" x14ac:dyDescent="0.25">
      <c r="A3115" s="109" t="s">
        <v>4717</v>
      </c>
      <c r="B3115" s="116" t="s">
        <v>5001</v>
      </c>
      <c r="C3115" s="540" t="str">
        <f>IF(A3115&amp;B3115="","",VLOOKUP(A3115&amp;B3115,INSUMOS!C:G,2,0))</f>
        <v>Quadro de distribuição de luz e força do tipo de sobrepor com barramento interno 3F + N + T, proteção geral de 15 kA e disjuntores parciais de 5kA, placa de fixação independente, fechadura com chave Yale de acordo com ABNT 60439-1 - ref. GIMI ou equivalente, conforme diagramas de projeto (sede)</v>
      </c>
      <c r="D3115" s="541"/>
      <c r="E3115" s="111" t="str">
        <f>IF(A3115&amp;B3115="","",VLOOKUP(A3115&amp;B3115,INSUMOS!C:G,3,0))</f>
        <v>un</v>
      </c>
      <c r="F3115" s="112">
        <v>1</v>
      </c>
      <c r="G3115" s="113">
        <f>IF(A3115&amp;B3115="","",VLOOKUP(A3115&amp;B3115,INSUMOS!C:G,4,0))</f>
        <v>5444.00018</v>
      </c>
      <c r="H3115" s="114" t="str">
        <f>IF(K3115="MO",TRUNC(F3115*G3115,2),"")</f>
        <v/>
      </c>
      <c r="I3115" s="114">
        <f>IF(K3115="MT",TRUNC(F3115*G3115,2),"")</f>
        <v>5444</v>
      </c>
      <c r="J3115" s="115" t="str">
        <f>IF(K3115="EQ",TRUNC(F3115*G3115,2),"")</f>
        <v/>
      </c>
      <c r="K3115" s="102" t="str">
        <f>IF(A3115&amp;B3115="","",VLOOKUP(A3115&amp;B3115,INSUMOS!C:G,5,0))</f>
        <v>MT</v>
      </c>
    </row>
    <row r="3116" spans="1:17" ht="15" x14ac:dyDescent="0.25">
      <c r="A3116" s="109"/>
      <c r="B3116" s="116"/>
      <c r="C3116" s="518" t="str">
        <f>IF(A3116&amp;B3116="","",VLOOKUP(A3116&amp;B3116,INSUMOS!C:G,2,0))</f>
        <v/>
      </c>
      <c r="D3116" s="519"/>
      <c r="E3116" s="117" t="str">
        <f>IF(A3116&amp;B3116="","",VLOOKUP(A3116&amp;B3116,INSUMOS!C:G,3,0))</f>
        <v/>
      </c>
      <c r="F3116" s="118"/>
      <c r="G3116" s="113" t="str">
        <f>IF(A3116&amp;B3116="","",VLOOKUP(A3116&amp;B3116,INSUMOS!C:G,4,0))</f>
        <v/>
      </c>
      <c r="H3116" s="119" t="str">
        <f t="shared" ref="H3116" si="510">IF(K3116="MO",TRUNC(F3116*G3116,2),"")</f>
        <v/>
      </c>
      <c r="I3116" s="119" t="str">
        <f t="shared" ref="I3116" si="511">IF(K3116="MT",TRUNC(F3116*G3116,2),"")</f>
        <v/>
      </c>
      <c r="J3116" s="115" t="str">
        <f t="shared" ref="J3116" si="512">IF(K3116="EQ",TRUNC(F3116*G3116,2),"")</f>
        <v/>
      </c>
      <c r="K3116" s="102" t="str">
        <f>IF(A3116&amp;B3116="","",VLOOKUP(A3116&amp;B3116,INSUMOS!C:G,5,0))</f>
        <v/>
      </c>
    </row>
    <row r="3117" spans="1:17" ht="15" x14ac:dyDescent="0.25">
      <c r="A3117" s="109"/>
      <c r="B3117" s="116"/>
      <c r="C3117" s="518" t="str">
        <f>IF(A3117&amp;B3117="","",VLOOKUP(A3117&amp;B3117,INSUMOS!C:G,2,0))</f>
        <v/>
      </c>
      <c r="D3117" s="519"/>
      <c r="E3117" s="117" t="str">
        <f>IF(A3117&amp;B3117="","",VLOOKUP(A3117&amp;B3117,INSUMOS!C:G,3,0))</f>
        <v/>
      </c>
      <c r="F3117" s="118"/>
      <c r="G3117" s="113" t="str">
        <f>IF(A3117&amp;B3117="","",VLOOKUP(A3117&amp;B3117,INSUMOS!C:G,4,0))</f>
        <v/>
      </c>
      <c r="H3117" s="119" t="str">
        <f>IF(K3117="MO",TRUNC(F3117*G3117,2),"")</f>
        <v/>
      </c>
      <c r="I3117" s="119" t="str">
        <f>IF(K3117="MT",TRUNC(F3117*G3117,2),"")</f>
        <v/>
      </c>
      <c r="J3117" s="115" t="str">
        <f>IF(K3117="EQ",TRUNC(F3117*G3117,2),"")</f>
        <v/>
      </c>
      <c r="K3117" s="102" t="str">
        <f>IF(A3117&amp;B3117="","",VLOOKUP(A3117&amp;B3117,INSUMOS!C:G,5,0))</f>
        <v/>
      </c>
    </row>
    <row r="3118" spans="1:17" ht="15" x14ac:dyDescent="0.25">
      <c r="A3118" s="109"/>
      <c r="B3118" s="116"/>
      <c r="C3118" s="518" t="str">
        <f>IF(A3118&amp;B3118="","",VLOOKUP(A3118&amp;B3118,INSUMOS!C:G,2,0))</f>
        <v/>
      </c>
      <c r="D3118" s="519"/>
      <c r="E3118" s="117" t="str">
        <f>IF(A3118&amp;B3118="","",VLOOKUP(A3118&amp;B3118,INSUMOS!C:G,3,0))</f>
        <v/>
      </c>
      <c r="F3118" s="118"/>
      <c r="G3118" s="113" t="str">
        <f>IF(A3118&amp;B3118="","",VLOOKUP(A3118&amp;B3118,INSUMOS!C:G,4,0))</f>
        <v/>
      </c>
      <c r="H3118" s="119" t="str">
        <f>IF(K3118="MO",TRUNC(F3118*G3118,2),"")</f>
        <v/>
      </c>
      <c r="I3118" s="119" t="str">
        <f>IF(K3118="MT",TRUNC(F3118*G3118,2),"")</f>
        <v/>
      </c>
      <c r="J3118" s="115" t="str">
        <f>IF(K3118="EQ",TRUNC(F3118*G3118,2),"")</f>
        <v/>
      </c>
      <c r="K3118" s="102" t="str">
        <f>IF(A3118&amp;B3118="","",VLOOKUP(A3118&amp;B3118,INSUMOS!C:G,5,0))</f>
        <v/>
      </c>
    </row>
    <row r="3119" spans="1:17" ht="15" x14ac:dyDescent="0.25">
      <c r="A3119" s="109"/>
      <c r="B3119" s="116"/>
      <c r="C3119" s="518" t="str">
        <f>IF(A3119&amp;B3119="","",VLOOKUP(A3119&amp;B3119,INSUMOS!C:G,2,0))</f>
        <v/>
      </c>
      <c r="D3119" s="519"/>
      <c r="E3119" s="117" t="str">
        <f>IF(A3119&amp;B3119="","",VLOOKUP(A3119&amp;B3119,INSUMOS!C:G,3,0))</f>
        <v/>
      </c>
      <c r="F3119" s="118"/>
      <c r="G3119" s="113" t="str">
        <f>IF(A3119&amp;B3119="","",VLOOKUP(A3119&amp;B3119,INSUMOS!C:G,4,0))</f>
        <v/>
      </c>
      <c r="H3119" s="119" t="str">
        <f t="shared" ref="H3119:H3126" si="513">IF(K3119="MO",TRUNC(F3119*G3119,2),"")</f>
        <v/>
      </c>
      <c r="I3119" s="119" t="str">
        <f t="shared" ref="I3119:I3126" si="514">IF(K3119="MT",TRUNC(F3119*G3119,2),"")</f>
        <v/>
      </c>
      <c r="J3119" s="115" t="str">
        <f t="shared" ref="J3119:J3126" si="515">IF(K3119="EQ",TRUNC(F3119*G3119,2),"")</f>
        <v/>
      </c>
      <c r="K3119" s="102" t="str">
        <f>IF(A3119&amp;B3119="","",VLOOKUP(A3119&amp;B3119,INSUMOS!C:G,5,0))</f>
        <v/>
      </c>
    </row>
    <row r="3120" spans="1:17" ht="15" x14ac:dyDescent="0.25">
      <c r="A3120" s="109"/>
      <c r="B3120" s="116"/>
      <c r="C3120" s="518" t="str">
        <f>IF(A3120&amp;B3120="","",VLOOKUP(A3120&amp;B3120,INSUMOS!C:G,2,0))</f>
        <v/>
      </c>
      <c r="D3120" s="519"/>
      <c r="E3120" s="117" t="str">
        <f>IF(A3120&amp;B3120="","",VLOOKUP(A3120&amp;B3120,INSUMOS!C:G,3,0))</f>
        <v/>
      </c>
      <c r="F3120" s="118"/>
      <c r="G3120" s="113" t="str">
        <f>IF(A3120&amp;B3120="","",VLOOKUP(A3120&amp;B3120,INSUMOS!C:G,4,0))</f>
        <v/>
      </c>
      <c r="H3120" s="119" t="str">
        <f t="shared" si="513"/>
        <v/>
      </c>
      <c r="I3120" s="119" t="str">
        <f t="shared" si="514"/>
        <v/>
      </c>
      <c r="J3120" s="115" t="str">
        <f t="shared" si="515"/>
        <v/>
      </c>
      <c r="K3120" s="102" t="str">
        <f>IF(A3120&amp;B3120="","",VLOOKUP(A3120&amp;B3120,INSUMOS!C:G,5,0))</f>
        <v/>
      </c>
    </row>
    <row r="3121" spans="1:17" ht="15" x14ac:dyDescent="0.25">
      <c r="A3121" s="109"/>
      <c r="B3121" s="116"/>
      <c r="C3121" s="518" t="str">
        <f>IF(A3121&amp;B3121="","",VLOOKUP(A3121&amp;B3121,INSUMOS!C:G,2,0))</f>
        <v/>
      </c>
      <c r="D3121" s="519"/>
      <c r="E3121" s="117" t="str">
        <f>IF(A3121&amp;B3121="","",VLOOKUP(A3121&amp;B3121,INSUMOS!C:G,3,0))</f>
        <v/>
      </c>
      <c r="F3121" s="118"/>
      <c r="G3121" s="113" t="str">
        <f>IF(A3121&amp;B3121="","",VLOOKUP(A3121&amp;B3121,INSUMOS!C:G,4,0))</f>
        <v/>
      </c>
      <c r="H3121" s="119" t="str">
        <f t="shared" si="513"/>
        <v/>
      </c>
      <c r="I3121" s="119" t="str">
        <f t="shared" si="514"/>
        <v/>
      </c>
      <c r="J3121" s="115" t="str">
        <f t="shared" si="515"/>
        <v/>
      </c>
      <c r="K3121" s="102" t="str">
        <f>IF(A3121&amp;B3121="","",VLOOKUP(A3121&amp;B3121,INSUMOS!C:G,5,0))</f>
        <v/>
      </c>
    </row>
    <row r="3122" spans="1:17" ht="15" x14ac:dyDescent="0.25">
      <c r="A3122" s="109"/>
      <c r="B3122" s="116"/>
      <c r="C3122" s="518" t="str">
        <f>IF(A3122&amp;B3122="","",VLOOKUP(A3122&amp;B3122,INSUMOS!C:G,2,0))</f>
        <v/>
      </c>
      <c r="D3122" s="519"/>
      <c r="E3122" s="117" t="str">
        <f>IF(A3122&amp;B3122="","",VLOOKUP(A3122&amp;B3122,INSUMOS!C:G,3,0))</f>
        <v/>
      </c>
      <c r="F3122" s="118"/>
      <c r="G3122" s="113" t="str">
        <f>IF(A3122&amp;B3122="","",VLOOKUP(A3122&amp;B3122,INSUMOS!C:G,4,0))</f>
        <v/>
      </c>
      <c r="H3122" s="119" t="str">
        <f t="shared" si="513"/>
        <v/>
      </c>
      <c r="I3122" s="119" t="str">
        <f t="shared" si="514"/>
        <v/>
      </c>
      <c r="J3122" s="115" t="str">
        <f t="shared" si="515"/>
        <v/>
      </c>
      <c r="K3122" s="102" t="str">
        <f>IF(A3122&amp;B3122="","",VLOOKUP(A3122&amp;B3122,INSUMOS!C:G,5,0))</f>
        <v/>
      </c>
    </row>
    <row r="3123" spans="1:17" ht="15" x14ac:dyDescent="0.25">
      <c r="A3123" s="109"/>
      <c r="B3123" s="116"/>
      <c r="C3123" s="518" t="str">
        <f>IF(A3123&amp;B3123="","",VLOOKUP(A3123&amp;B3123,INSUMOS!C:G,2,0))</f>
        <v/>
      </c>
      <c r="D3123" s="519"/>
      <c r="E3123" s="117" t="str">
        <f>IF(A3123&amp;B3123="","",VLOOKUP(A3123&amp;B3123,INSUMOS!C:G,3,0))</f>
        <v/>
      </c>
      <c r="F3123" s="118"/>
      <c r="G3123" s="113" t="str">
        <f>IF(A3123&amp;B3123="","",VLOOKUP(A3123&amp;B3123,INSUMOS!C:G,4,0))</f>
        <v/>
      </c>
      <c r="H3123" s="119" t="str">
        <f t="shared" si="513"/>
        <v/>
      </c>
      <c r="I3123" s="119" t="str">
        <f t="shared" si="514"/>
        <v/>
      </c>
      <c r="J3123" s="115" t="str">
        <f t="shared" si="515"/>
        <v/>
      </c>
      <c r="K3123" s="102" t="str">
        <f>IF(A3123&amp;B3123="","",VLOOKUP(A3123&amp;B3123,INSUMOS!C:G,5,0))</f>
        <v/>
      </c>
    </row>
    <row r="3124" spans="1:17" ht="15" x14ac:dyDescent="0.25">
      <c r="A3124" s="120"/>
      <c r="B3124" s="121"/>
      <c r="C3124" s="518" t="str">
        <f>IF(A3124&amp;B3124="","",VLOOKUP(A3124&amp;B3124,INSUMOS!C:G,2,0))</f>
        <v/>
      </c>
      <c r="D3124" s="519"/>
      <c r="E3124" s="117" t="str">
        <f>IF(A3124&amp;B3124="","",VLOOKUP(A3124&amp;B3124,INSUMOS!C:G,3,0))</f>
        <v/>
      </c>
      <c r="F3124" s="118"/>
      <c r="G3124" s="122" t="str">
        <f>IF(A3124&amp;B3124="","",VLOOKUP(A3124&amp;B3124,INSUMOS!C:G,4,0))</f>
        <v/>
      </c>
      <c r="H3124" s="119" t="str">
        <f t="shared" si="513"/>
        <v/>
      </c>
      <c r="I3124" s="119" t="str">
        <f t="shared" si="514"/>
        <v/>
      </c>
      <c r="J3124" s="115" t="str">
        <f t="shared" si="515"/>
        <v/>
      </c>
      <c r="K3124" s="102" t="str">
        <f>IF(A3124&amp;B3124="","",VLOOKUP(A3124&amp;B3124,INSUMOS!C:G,5,0))</f>
        <v/>
      </c>
    </row>
    <row r="3125" spans="1:17" ht="15" x14ac:dyDescent="0.25">
      <c r="A3125" s="120"/>
      <c r="B3125" s="121"/>
      <c r="C3125" s="518" t="str">
        <f>IF(A3125&amp;B3125="","",VLOOKUP(A3125&amp;B3125,INSUMOS!C:G,2,0))</f>
        <v/>
      </c>
      <c r="D3125" s="519"/>
      <c r="E3125" s="117" t="str">
        <f>IF(A3125&amp;B3125="","",VLOOKUP(A3125&amp;B3125,INSUMOS!C:G,3,0))</f>
        <v/>
      </c>
      <c r="F3125" s="118"/>
      <c r="G3125" s="122" t="str">
        <f>IF(A3125&amp;B3125="","",VLOOKUP(A3125&amp;B3125,INSUMOS!C:G,4,0))</f>
        <v/>
      </c>
      <c r="H3125" s="119" t="str">
        <f t="shared" si="513"/>
        <v/>
      </c>
      <c r="I3125" s="119" t="str">
        <f t="shared" si="514"/>
        <v/>
      </c>
      <c r="J3125" s="115" t="str">
        <f t="shared" si="515"/>
        <v/>
      </c>
      <c r="K3125" s="102" t="str">
        <f>IF(A3125&amp;B3125="","",VLOOKUP(A3125&amp;B3125,INSUMOS!C:G,5,0))</f>
        <v/>
      </c>
    </row>
    <row r="3126" spans="1:17" ht="15" x14ac:dyDescent="0.25">
      <c r="A3126" s="120"/>
      <c r="B3126" s="121"/>
      <c r="C3126" s="518" t="str">
        <f>IF(A3126&amp;B3126="","",VLOOKUP(A3126&amp;B3126,INSUMOS!C:G,2,0))</f>
        <v/>
      </c>
      <c r="D3126" s="519"/>
      <c r="E3126" s="117" t="str">
        <f>IF(A3126&amp;B3126="","",VLOOKUP(A3126&amp;B3126,INSUMOS!C:G,3,0))</f>
        <v/>
      </c>
      <c r="F3126" s="118"/>
      <c r="G3126" s="122" t="str">
        <f>IF(A3126&amp;B3126="","",VLOOKUP(A3126&amp;B3126,INSUMOS!C:G,4,0))</f>
        <v/>
      </c>
      <c r="H3126" s="119" t="str">
        <f t="shared" si="513"/>
        <v/>
      </c>
      <c r="I3126" s="119" t="str">
        <f t="shared" si="514"/>
        <v/>
      </c>
      <c r="J3126" s="115" t="str">
        <f t="shared" si="515"/>
        <v/>
      </c>
      <c r="K3126" s="102" t="str">
        <f>IF(A3126&amp;B3126="","",VLOOKUP(A3126&amp;B3126,INSUMOS!C:G,5,0))</f>
        <v/>
      </c>
    </row>
    <row r="3127" spans="1:17" ht="15" x14ac:dyDescent="0.25">
      <c r="A3127" s="123" t="s">
        <v>4399</v>
      </c>
      <c r="B3127" s="520"/>
      <c r="C3127" s="520"/>
      <c r="D3127" s="520"/>
      <c r="E3127" s="520"/>
      <c r="F3127" s="521"/>
      <c r="G3127" s="124" t="s">
        <v>50</v>
      </c>
      <c r="H3127" s="125">
        <f>SUM(H3115:H3126)</f>
        <v>0</v>
      </c>
      <c r="I3127" s="125">
        <f>SUM(I3115:I3126)</f>
        <v>5444</v>
      </c>
      <c r="J3127" s="126">
        <f>SUM(J3115:J3126)</f>
        <v>0</v>
      </c>
    </row>
    <row r="3128" spans="1:17" ht="15" x14ac:dyDescent="0.25">
      <c r="A3128" s="127" t="s">
        <v>4400</v>
      </c>
      <c r="B3128" s="128"/>
      <c r="C3128" s="128"/>
      <c r="D3128" s="127" t="s">
        <v>51</v>
      </c>
      <c r="E3128" s="128"/>
      <c r="F3128" s="129"/>
      <c r="G3128" s="130" t="s">
        <v>55</v>
      </c>
      <c r="H3128" s="131" t="s">
        <v>52</v>
      </c>
      <c r="I3128" s="132"/>
      <c r="J3128" s="125">
        <f>SUM(H3127:J3127)</f>
        <v>5444</v>
      </c>
    </row>
    <row r="3129" spans="1:17" ht="15" x14ac:dyDescent="0.25">
      <c r="A3129" s="313" t="str">
        <f>$I$3</f>
        <v>Carlos Wieck</v>
      </c>
      <c r="B3129" s="133"/>
      <c r="C3129" s="133"/>
      <c r="D3129" s="134"/>
      <c r="E3129" s="133"/>
      <c r="F3129" s="135"/>
      <c r="G3129" s="522">
        <f>$J$5</f>
        <v>43040</v>
      </c>
      <c r="H3129" s="136" t="s">
        <v>53</v>
      </c>
      <c r="I3129" s="137"/>
      <c r="J3129" s="125">
        <f>TRUNC(I3129*J3128,2)</f>
        <v>0</v>
      </c>
    </row>
    <row r="3130" spans="1:17" ht="15" x14ac:dyDescent="0.25">
      <c r="A3130" s="138"/>
      <c r="B3130" s="139"/>
      <c r="C3130" s="139"/>
      <c r="D3130" s="138"/>
      <c r="E3130" s="139"/>
      <c r="F3130" s="140"/>
      <c r="G3130" s="523"/>
      <c r="H3130" s="141" t="s">
        <v>54</v>
      </c>
      <c r="I3130" s="142"/>
      <c r="J3130" s="143">
        <f>J3129+J3128</f>
        <v>5444</v>
      </c>
      <c r="L3130" s="102" t="str">
        <f>A3112</f>
        <v>COMPOSIÇÃO</v>
      </c>
      <c r="M3130" s="144" t="str">
        <f>B3112</f>
        <v>FF-136</v>
      </c>
      <c r="N3130" s="102" t="str">
        <f>L3130&amp;M3130</f>
        <v>COMPOSIÇÃOFF-136</v>
      </c>
      <c r="O3130" s="103" t="str">
        <f>D3111</f>
        <v>Quadro de distribuição de luz e força do tipo de sobrepor com barramento interno 3F + N + T, proteção geral de 15 kA e disjuntores parciais de 5kA, placa de fixação independente, fechadura com chave Yale de acordo com ABNT 60439-1 - ref. GIMI ou equivalente, conforme diagramas de projeto (sede)</v>
      </c>
      <c r="P3130" s="145" t="str">
        <f>J3112</f>
        <v>cj</v>
      </c>
      <c r="Q3130" s="145">
        <f>J3130</f>
        <v>5444</v>
      </c>
    </row>
    <row r="3131" spans="1:17" ht="15" x14ac:dyDescent="0.25">
      <c r="A3131" s="524" t="s">
        <v>40</v>
      </c>
      <c r="B3131" s="525"/>
      <c r="C3131" s="104" t="s">
        <v>41</v>
      </c>
      <c r="D3131" s="526" t="str">
        <f>IF(B3132="","",VLOOKUP(B3132,SERVIÇOS!B:E,3,0))</f>
        <v>Espelho colado sobre suporte de madeira e =2cm</v>
      </c>
      <c r="E3131" s="526"/>
      <c r="F3131" s="526"/>
      <c r="G3131" s="526"/>
      <c r="H3131" s="526"/>
      <c r="I3131" s="527"/>
      <c r="J3131" s="105" t="s">
        <v>42</v>
      </c>
    </row>
    <row r="3132" spans="1:17" ht="15" x14ac:dyDescent="0.25">
      <c r="A3132" s="230" t="s">
        <v>4715</v>
      </c>
      <c r="B3132" s="230" t="s">
        <v>5482</v>
      </c>
      <c r="C3132" s="106"/>
      <c r="D3132" s="528"/>
      <c r="E3132" s="528"/>
      <c r="F3132" s="528"/>
      <c r="G3132" s="528"/>
      <c r="H3132" s="528"/>
      <c r="I3132" s="529"/>
      <c r="J3132" s="107" t="str">
        <f>IF(B3132="","",VLOOKUP(B3132,SERVIÇOS!B:E,4,0))</f>
        <v>m²</v>
      </c>
    </row>
    <row r="3133" spans="1:17" ht="15" x14ac:dyDescent="0.25">
      <c r="A3133" s="530" t="s">
        <v>4397</v>
      </c>
      <c r="B3133" s="531" t="s">
        <v>11</v>
      </c>
      <c r="C3133" s="533" t="s">
        <v>43</v>
      </c>
      <c r="D3133" s="534"/>
      <c r="E3133" s="530" t="s">
        <v>13</v>
      </c>
      <c r="F3133" s="530" t="s">
        <v>44</v>
      </c>
      <c r="G3133" s="538" t="s">
        <v>45</v>
      </c>
      <c r="H3133" s="108" t="s">
        <v>46</v>
      </c>
      <c r="I3133" s="108"/>
      <c r="J3133" s="108"/>
    </row>
    <row r="3134" spans="1:17" ht="15" x14ac:dyDescent="0.25">
      <c r="A3134" s="530"/>
      <c r="B3134" s="532"/>
      <c r="C3134" s="535"/>
      <c r="D3134" s="536"/>
      <c r="E3134" s="537"/>
      <c r="F3134" s="537"/>
      <c r="G3134" s="539"/>
      <c r="H3134" s="108" t="s">
        <v>47</v>
      </c>
      <c r="I3134" s="108" t="s">
        <v>48</v>
      </c>
      <c r="J3134" s="108" t="s">
        <v>49</v>
      </c>
    </row>
    <row r="3135" spans="1:17" ht="15" x14ac:dyDescent="0.25">
      <c r="A3135" s="109" t="s">
        <v>4398</v>
      </c>
      <c r="B3135" s="116">
        <v>260401</v>
      </c>
      <c r="C3135" s="540" t="str">
        <f>IF(A3135&amp;B3135="","",VLOOKUP(A3135&amp;B3135,INSUMOS!C:G,2,0))</f>
        <v>Espelho em vidro cristal liso, espessura de 4 mm, colocado sobre a parede</v>
      </c>
      <c r="D3135" s="541"/>
      <c r="E3135" s="111" t="str">
        <f>IF(A3135&amp;B3135="","",VLOOKUP(A3135&amp;B3135,INSUMOS!C:G,3,0))</f>
        <v>m²</v>
      </c>
      <c r="F3135" s="112">
        <v>1.1000000000000001</v>
      </c>
      <c r="G3135" s="113">
        <f>IF(A3135&amp;B3135="","",VLOOKUP(A3135&amp;B3135,INSUMOS!C:G,4,0))</f>
        <v>265</v>
      </c>
      <c r="H3135" s="114" t="str">
        <f>IF(K3135="MO",TRUNC(F3135*G3135,2),"")</f>
        <v/>
      </c>
      <c r="I3135" s="114">
        <f>IF(K3135="MT",TRUNC(F3135*G3135,2),"")</f>
        <v>291.5</v>
      </c>
      <c r="J3135" s="115" t="str">
        <f>IF(K3135="EQ",TRUNC(F3135*G3135,2),"")</f>
        <v/>
      </c>
      <c r="K3135" s="102" t="str">
        <f>IF(A3135&amp;B3135="","",VLOOKUP(A3135&amp;B3135,INSUMOS!C:G,5,0))</f>
        <v>MT</v>
      </c>
    </row>
    <row r="3136" spans="1:17" ht="15" x14ac:dyDescent="0.25">
      <c r="A3136" s="109" t="s">
        <v>4810</v>
      </c>
      <c r="B3136" s="116">
        <v>34675</v>
      </c>
      <c r="C3136" s="518" t="str">
        <f>IF(A3136&amp;B3136="","",VLOOKUP(A3136&amp;B3136,INSUMOS!C:G,2,0))</f>
        <v>Chapa de MDF cru, E = 25 mm, de *2,75 x 1,85* m</v>
      </c>
      <c r="D3136" s="519"/>
      <c r="E3136" s="117" t="str">
        <f>IF(A3136&amp;B3136="","",VLOOKUP(A3136&amp;B3136,INSUMOS!C:G,3,0))</f>
        <v>m²</v>
      </c>
      <c r="F3136" s="118">
        <v>1.1000000000000001</v>
      </c>
      <c r="G3136" s="113">
        <f>IF(A3136&amp;B3136="","",VLOOKUP(A3136&amp;B3136,INSUMOS!C:G,4,0))</f>
        <v>29.01</v>
      </c>
      <c r="H3136" s="119" t="str">
        <f t="shared" ref="H3136" si="516">IF(K3136="MO",TRUNC(F3136*G3136,2),"")</f>
        <v/>
      </c>
      <c r="I3136" s="119">
        <f t="shared" ref="I3136" si="517">IF(K3136="MT",TRUNC(F3136*G3136,2),"")</f>
        <v>31.91</v>
      </c>
      <c r="J3136" s="115" t="str">
        <f t="shared" ref="J3136" si="518">IF(K3136="EQ",TRUNC(F3136*G3136,2),"")</f>
        <v/>
      </c>
      <c r="K3136" s="102" t="str">
        <f>IF(A3136&amp;B3136="","",VLOOKUP(A3136&amp;B3136,INSUMOS!C:G,5,0))</f>
        <v>MT</v>
      </c>
    </row>
    <row r="3137" spans="1:17" ht="15" x14ac:dyDescent="0.25">
      <c r="A3137" s="109" t="s">
        <v>4398</v>
      </c>
      <c r="B3137" s="116">
        <v>10186</v>
      </c>
      <c r="C3137" s="518" t="str">
        <f>IF(A3137&amp;B3137="","",VLOOKUP(A3137&amp;B3137,INSUMOS!C:G,2,0))</f>
        <v>Vidraceiro</v>
      </c>
      <c r="D3137" s="519"/>
      <c r="E3137" s="117" t="str">
        <f>IF(A3137&amp;B3137="","",VLOOKUP(A3137&amp;B3137,INSUMOS!C:G,3,0))</f>
        <v>h</v>
      </c>
      <c r="F3137" s="118">
        <v>0.3</v>
      </c>
      <c r="G3137" s="113">
        <f>IF(A3137&amp;B3137="","",VLOOKUP(A3137&amp;B3137,INSUMOS!C:G,4,0))</f>
        <v>16.399633999999999</v>
      </c>
      <c r="H3137" s="119">
        <f>IF(K3137="MO",TRUNC(F3137*G3137,2),"")</f>
        <v>4.91</v>
      </c>
      <c r="I3137" s="119" t="str">
        <f>IF(K3137="MT",TRUNC(F3137*G3137,2),"")</f>
        <v/>
      </c>
      <c r="J3137" s="115" t="str">
        <f>IF(K3137="EQ",TRUNC(F3137*G3137,2),"")</f>
        <v/>
      </c>
      <c r="K3137" s="102" t="str">
        <f>IF(A3137&amp;B3137="","",VLOOKUP(A3137&amp;B3137,INSUMOS!C:G,5,0))</f>
        <v>MO</v>
      </c>
    </row>
    <row r="3138" spans="1:17" ht="15" x14ac:dyDescent="0.25">
      <c r="A3138" s="109" t="s">
        <v>4398</v>
      </c>
      <c r="B3138" s="116">
        <v>10101</v>
      </c>
      <c r="C3138" s="518" t="str">
        <f>IF(A3138&amp;B3138="","",VLOOKUP(A3138&amp;B3138,INSUMOS!C:G,2,0))</f>
        <v>Ajudante geral</v>
      </c>
      <c r="D3138" s="519"/>
      <c r="E3138" s="117" t="str">
        <f>IF(A3138&amp;B3138="","",VLOOKUP(A3138&amp;B3138,INSUMOS!C:G,3,0))</f>
        <v>h</v>
      </c>
      <c r="F3138" s="118">
        <v>0.15</v>
      </c>
      <c r="G3138" s="113">
        <f>IF(A3138&amp;B3138="","",VLOOKUP(A3138&amp;B3138,INSUMOS!C:G,4,0))</f>
        <v>11.238228999999999</v>
      </c>
      <c r="H3138" s="119">
        <f>IF(K3138="MO",TRUNC(F3138*G3138,2),"")</f>
        <v>1.68</v>
      </c>
      <c r="I3138" s="119" t="str">
        <f>IF(K3138="MT",TRUNC(F3138*G3138,2),"")</f>
        <v/>
      </c>
      <c r="J3138" s="115" t="str">
        <f>IF(K3138="EQ",TRUNC(F3138*G3138,2),"")</f>
        <v/>
      </c>
      <c r="K3138" s="102" t="str">
        <f>IF(A3138&amp;B3138="","",VLOOKUP(A3138&amp;B3138,INSUMOS!C:G,5,0))</f>
        <v>MO</v>
      </c>
    </row>
    <row r="3139" spans="1:17" ht="15" x14ac:dyDescent="0.25">
      <c r="A3139" s="109"/>
      <c r="B3139" s="116"/>
      <c r="C3139" s="518" t="str">
        <f>IF(A3139&amp;B3139="","",VLOOKUP(A3139&amp;B3139,INSUMOS!C:G,2,0))</f>
        <v/>
      </c>
      <c r="D3139" s="519"/>
      <c r="E3139" s="117" t="str">
        <f>IF(A3139&amp;B3139="","",VLOOKUP(A3139&amp;B3139,INSUMOS!C:G,3,0))</f>
        <v/>
      </c>
      <c r="F3139" s="118"/>
      <c r="G3139" s="113" t="str">
        <f>IF(A3139&amp;B3139="","",VLOOKUP(A3139&amp;B3139,INSUMOS!C:G,4,0))</f>
        <v/>
      </c>
      <c r="H3139" s="119" t="str">
        <f t="shared" ref="H3139:H3146" si="519">IF(K3139="MO",TRUNC(F3139*G3139,2),"")</f>
        <v/>
      </c>
      <c r="I3139" s="119" t="str">
        <f t="shared" ref="I3139:I3146" si="520">IF(K3139="MT",TRUNC(F3139*G3139,2),"")</f>
        <v/>
      </c>
      <c r="J3139" s="115" t="str">
        <f t="shared" ref="J3139:J3146" si="521">IF(K3139="EQ",TRUNC(F3139*G3139,2),"")</f>
        <v/>
      </c>
      <c r="K3139" s="102" t="str">
        <f>IF(A3139&amp;B3139="","",VLOOKUP(A3139&amp;B3139,INSUMOS!C:G,5,0))</f>
        <v/>
      </c>
    </row>
    <row r="3140" spans="1:17" ht="15" x14ac:dyDescent="0.25">
      <c r="A3140" s="109"/>
      <c r="B3140" s="116"/>
      <c r="C3140" s="518" t="str">
        <f>IF(A3140&amp;B3140="","",VLOOKUP(A3140&amp;B3140,INSUMOS!C:G,2,0))</f>
        <v/>
      </c>
      <c r="D3140" s="519"/>
      <c r="E3140" s="117" t="str">
        <f>IF(A3140&amp;B3140="","",VLOOKUP(A3140&amp;B3140,INSUMOS!C:G,3,0))</f>
        <v/>
      </c>
      <c r="F3140" s="118"/>
      <c r="G3140" s="113" t="str">
        <f>IF(A3140&amp;B3140="","",VLOOKUP(A3140&amp;B3140,INSUMOS!C:G,4,0))</f>
        <v/>
      </c>
      <c r="H3140" s="119" t="str">
        <f t="shared" si="519"/>
        <v/>
      </c>
      <c r="I3140" s="119" t="str">
        <f t="shared" si="520"/>
        <v/>
      </c>
      <c r="J3140" s="115" t="str">
        <f t="shared" si="521"/>
        <v/>
      </c>
      <c r="K3140" s="102" t="str">
        <f>IF(A3140&amp;B3140="","",VLOOKUP(A3140&amp;B3140,INSUMOS!C:G,5,0))</f>
        <v/>
      </c>
    </row>
    <row r="3141" spans="1:17" ht="15" x14ac:dyDescent="0.25">
      <c r="A3141" s="109"/>
      <c r="B3141" s="116"/>
      <c r="C3141" s="518" t="str">
        <f>IF(A3141&amp;B3141="","",VLOOKUP(A3141&amp;B3141,INSUMOS!C:G,2,0))</f>
        <v/>
      </c>
      <c r="D3141" s="519"/>
      <c r="E3141" s="117" t="str">
        <f>IF(A3141&amp;B3141="","",VLOOKUP(A3141&amp;B3141,INSUMOS!C:G,3,0))</f>
        <v/>
      </c>
      <c r="F3141" s="118"/>
      <c r="G3141" s="113" t="str">
        <f>IF(A3141&amp;B3141="","",VLOOKUP(A3141&amp;B3141,INSUMOS!C:G,4,0))</f>
        <v/>
      </c>
      <c r="H3141" s="119" t="str">
        <f t="shared" si="519"/>
        <v/>
      </c>
      <c r="I3141" s="119" t="str">
        <f t="shared" si="520"/>
        <v/>
      </c>
      <c r="J3141" s="115" t="str">
        <f t="shared" si="521"/>
        <v/>
      </c>
      <c r="K3141" s="102" t="str">
        <f>IF(A3141&amp;B3141="","",VLOOKUP(A3141&amp;B3141,INSUMOS!C:G,5,0))</f>
        <v/>
      </c>
    </row>
    <row r="3142" spans="1:17" ht="15" x14ac:dyDescent="0.25">
      <c r="A3142" s="109"/>
      <c r="B3142" s="116"/>
      <c r="C3142" s="518" t="str">
        <f>IF(A3142&amp;B3142="","",VLOOKUP(A3142&amp;B3142,INSUMOS!C:G,2,0))</f>
        <v/>
      </c>
      <c r="D3142" s="519"/>
      <c r="E3142" s="117" t="str">
        <f>IF(A3142&amp;B3142="","",VLOOKUP(A3142&amp;B3142,INSUMOS!C:G,3,0))</f>
        <v/>
      </c>
      <c r="F3142" s="118"/>
      <c r="G3142" s="113" t="str">
        <f>IF(A3142&amp;B3142="","",VLOOKUP(A3142&amp;B3142,INSUMOS!C:G,4,0))</f>
        <v/>
      </c>
      <c r="H3142" s="119" t="str">
        <f t="shared" si="519"/>
        <v/>
      </c>
      <c r="I3142" s="119" t="str">
        <f t="shared" si="520"/>
        <v/>
      </c>
      <c r="J3142" s="115" t="str">
        <f t="shared" si="521"/>
        <v/>
      </c>
      <c r="K3142" s="102" t="str">
        <f>IF(A3142&amp;B3142="","",VLOOKUP(A3142&amp;B3142,INSUMOS!C:G,5,0))</f>
        <v/>
      </c>
    </row>
    <row r="3143" spans="1:17" ht="15" x14ac:dyDescent="0.25">
      <c r="A3143" s="109"/>
      <c r="B3143" s="116"/>
      <c r="C3143" s="518" t="str">
        <f>IF(A3143&amp;B3143="","",VLOOKUP(A3143&amp;B3143,INSUMOS!C:G,2,0))</f>
        <v/>
      </c>
      <c r="D3143" s="519"/>
      <c r="E3143" s="117" t="str">
        <f>IF(A3143&amp;B3143="","",VLOOKUP(A3143&amp;B3143,INSUMOS!C:G,3,0))</f>
        <v/>
      </c>
      <c r="F3143" s="118"/>
      <c r="G3143" s="113" t="str">
        <f>IF(A3143&amp;B3143="","",VLOOKUP(A3143&amp;B3143,INSUMOS!C:G,4,0))</f>
        <v/>
      </c>
      <c r="H3143" s="119" t="str">
        <f t="shared" si="519"/>
        <v/>
      </c>
      <c r="I3143" s="119" t="str">
        <f t="shared" si="520"/>
        <v/>
      </c>
      <c r="J3143" s="115" t="str">
        <f t="shared" si="521"/>
        <v/>
      </c>
      <c r="K3143" s="102" t="str">
        <f>IF(A3143&amp;B3143="","",VLOOKUP(A3143&amp;B3143,INSUMOS!C:G,5,0))</f>
        <v/>
      </c>
    </row>
    <row r="3144" spans="1:17" ht="15" x14ac:dyDescent="0.25">
      <c r="A3144" s="120"/>
      <c r="B3144" s="121"/>
      <c r="C3144" s="518" t="str">
        <f>IF(A3144&amp;B3144="","",VLOOKUP(A3144&amp;B3144,INSUMOS!C:G,2,0))</f>
        <v/>
      </c>
      <c r="D3144" s="519"/>
      <c r="E3144" s="117" t="str">
        <f>IF(A3144&amp;B3144="","",VLOOKUP(A3144&amp;B3144,INSUMOS!C:G,3,0))</f>
        <v/>
      </c>
      <c r="F3144" s="118"/>
      <c r="G3144" s="122" t="str">
        <f>IF(A3144&amp;B3144="","",VLOOKUP(A3144&amp;B3144,INSUMOS!C:G,4,0))</f>
        <v/>
      </c>
      <c r="H3144" s="119" t="str">
        <f t="shared" si="519"/>
        <v/>
      </c>
      <c r="I3144" s="119" t="str">
        <f t="shared" si="520"/>
        <v/>
      </c>
      <c r="J3144" s="115" t="str">
        <f t="shared" si="521"/>
        <v/>
      </c>
      <c r="K3144" s="102" t="str">
        <f>IF(A3144&amp;B3144="","",VLOOKUP(A3144&amp;B3144,INSUMOS!C:G,5,0))</f>
        <v/>
      </c>
    </row>
    <row r="3145" spans="1:17" ht="15" x14ac:dyDescent="0.25">
      <c r="A3145" s="120"/>
      <c r="B3145" s="121"/>
      <c r="C3145" s="518" t="str">
        <f>IF(A3145&amp;B3145="","",VLOOKUP(A3145&amp;B3145,INSUMOS!C:G,2,0))</f>
        <v/>
      </c>
      <c r="D3145" s="519"/>
      <c r="E3145" s="117" t="str">
        <f>IF(A3145&amp;B3145="","",VLOOKUP(A3145&amp;B3145,INSUMOS!C:G,3,0))</f>
        <v/>
      </c>
      <c r="F3145" s="118"/>
      <c r="G3145" s="122" t="str">
        <f>IF(A3145&amp;B3145="","",VLOOKUP(A3145&amp;B3145,INSUMOS!C:G,4,0))</f>
        <v/>
      </c>
      <c r="H3145" s="119" t="str">
        <f t="shared" si="519"/>
        <v/>
      </c>
      <c r="I3145" s="119" t="str">
        <f t="shared" si="520"/>
        <v/>
      </c>
      <c r="J3145" s="115" t="str">
        <f t="shared" si="521"/>
        <v/>
      </c>
      <c r="K3145" s="102" t="str">
        <f>IF(A3145&amp;B3145="","",VLOOKUP(A3145&amp;B3145,INSUMOS!C:G,5,0))</f>
        <v/>
      </c>
    </row>
    <row r="3146" spans="1:17" ht="15" x14ac:dyDescent="0.25">
      <c r="A3146" s="120"/>
      <c r="B3146" s="121"/>
      <c r="C3146" s="518" t="str">
        <f>IF(A3146&amp;B3146="","",VLOOKUP(A3146&amp;B3146,INSUMOS!C:G,2,0))</f>
        <v/>
      </c>
      <c r="D3146" s="519"/>
      <c r="E3146" s="117" t="str">
        <f>IF(A3146&amp;B3146="","",VLOOKUP(A3146&amp;B3146,INSUMOS!C:G,3,0))</f>
        <v/>
      </c>
      <c r="F3146" s="118"/>
      <c r="G3146" s="122" t="str">
        <f>IF(A3146&amp;B3146="","",VLOOKUP(A3146&amp;B3146,INSUMOS!C:G,4,0))</f>
        <v/>
      </c>
      <c r="H3146" s="119" t="str">
        <f t="shared" si="519"/>
        <v/>
      </c>
      <c r="I3146" s="119" t="str">
        <f t="shared" si="520"/>
        <v/>
      </c>
      <c r="J3146" s="115" t="str">
        <f t="shared" si="521"/>
        <v/>
      </c>
      <c r="K3146" s="102" t="str">
        <f>IF(A3146&amp;B3146="","",VLOOKUP(A3146&amp;B3146,INSUMOS!C:G,5,0))</f>
        <v/>
      </c>
    </row>
    <row r="3147" spans="1:17" ht="15" x14ac:dyDescent="0.25">
      <c r="A3147" s="123" t="s">
        <v>4399</v>
      </c>
      <c r="B3147" s="520"/>
      <c r="C3147" s="520"/>
      <c r="D3147" s="520"/>
      <c r="E3147" s="520"/>
      <c r="F3147" s="521"/>
      <c r="G3147" s="124" t="s">
        <v>50</v>
      </c>
      <c r="H3147" s="125">
        <f>SUM(H3135:H3146)</f>
        <v>6.59</v>
      </c>
      <c r="I3147" s="125">
        <f>SUM(I3135:I3146)</f>
        <v>323.41000000000003</v>
      </c>
      <c r="J3147" s="126">
        <f>SUM(J3135:J3146)</f>
        <v>0</v>
      </c>
    </row>
    <row r="3148" spans="1:17" ht="15" x14ac:dyDescent="0.25">
      <c r="A3148" s="127" t="s">
        <v>4400</v>
      </c>
      <c r="B3148" s="128"/>
      <c r="C3148" s="128"/>
      <c r="D3148" s="127" t="s">
        <v>51</v>
      </c>
      <c r="E3148" s="128"/>
      <c r="F3148" s="129"/>
      <c r="G3148" s="130" t="s">
        <v>55</v>
      </c>
      <c r="H3148" s="131" t="s">
        <v>52</v>
      </c>
      <c r="I3148" s="132"/>
      <c r="J3148" s="125">
        <f>SUM(H3147:J3147)</f>
        <v>330</v>
      </c>
    </row>
    <row r="3149" spans="1:17" ht="15" x14ac:dyDescent="0.25">
      <c r="A3149" s="313" t="str">
        <f>$I$3</f>
        <v>Carlos Wieck</v>
      </c>
      <c r="B3149" s="133"/>
      <c r="C3149" s="133"/>
      <c r="D3149" s="134"/>
      <c r="E3149" s="133"/>
      <c r="F3149" s="135"/>
      <c r="G3149" s="522">
        <f>$J$5</f>
        <v>43040</v>
      </c>
      <c r="H3149" s="136" t="s">
        <v>53</v>
      </c>
      <c r="I3149" s="137"/>
      <c r="J3149" s="125">
        <f>TRUNC(I3149*J3148,2)</f>
        <v>0</v>
      </c>
    </row>
    <row r="3150" spans="1:17" ht="15" x14ac:dyDescent="0.25">
      <c r="A3150" s="138"/>
      <c r="B3150" s="139"/>
      <c r="C3150" s="139"/>
      <c r="D3150" s="138"/>
      <c r="E3150" s="139"/>
      <c r="F3150" s="140"/>
      <c r="G3150" s="523"/>
      <c r="H3150" s="141" t="s">
        <v>54</v>
      </c>
      <c r="I3150" s="142"/>
      <c r="J3150" s="143">
        <f>J3149+J3148</f>
        <v>330</v>
      </c>
      <c r="L3150" s="102" t="str">
        <f>A3132</f>
        <v>COMPOSIÇÃO</v>
      </c>
      <c r="M3150" s="144" t="str">
        <f>B3132</f>
        <v>FF-137</v>
      </c>
      <c r="N3150" s="102" t="str">
        <f>L3150&amp;M3150</f>
        <v>COMPOSIÇÃOFF-137</v>
      </c>
      <c r="O3150" s="103" t="str">
        <f>D3131</f>
        <v>Espelho colado sobre suporte de madeira e =2cm</v>
      </c>
      <c r="P3150" s="145" t="str">
        <f>J3132</f>
        <v>m²</v>
      </c>
      <c r="Q3150" s="145">
        <f>J3150</f>
        <v>330</v>
      </c>
    </row>
    <row r="3151" spans="1:17" ht="15" x14ac:dyDescent="0.25">
      <c r="A3151" s="524" t="s">
        <v>40</v>
      </c>
      <c r="B3151" s="525"/>
      <c r="C3151" s="104" t="s">
        <v>41</v>
      </c>
      <c r="D3151" s="526" t="str">
        <f>IF(B3152="","",VLOOKUP(B3152,SERVIÇOS!B:E,3,0))</f>
        <v>Fornecimento e plantio de Guapira Opposita - Maria Mole</v>
      </c>
      <c r="E3151" s="526"/>
      <c r="F3151" s="526"/>
      <c r="G3151" s="526"/>
      <c r="H3151" s="526"/>
      <c r="I3151" s="527"/>
      <c r="J3151" s="105" t="s">
        <v>42</v>
      </c>
    </row>
    <row r="3152" spans="1:17" ht="15" x14ac:dyDescent="0.25">
      <c r="A3152" s="230" t="s">
        <v>4715</v>
      </c>
      <c r="B3152" s="230" t="s">
        <v>5502</v>
      </c>
      <c r="C3152" s="106"/>
      <c r="D3152" s="528"/>
      <c r="E3152" s="528"/>
      <c r="F3152" s="528"/>
      <c r="G3152" s="528"/>
      <c r="H3152" s="528"/>
      <c r="I3152" s="529"/>
      <c r="J3152" s="107" t="str">
        <f>IF(B3152="","",VLOOKUP(B3152,SERVIÇOS!B:E,4,0))</f>
        <v>un</v>
      </c>
    </row>
    <row r="3153" spans="1:11" ht="15" x14ac:dyDescent="0.25">
      <c r="A3153" s="530" t="s">
        <v>4397</v>
      </c>
      <c r="B3153" s="531" t="s">
        <v>11</v>
      </c>
      <c r="C3153" s="533" t="s">
        <v>43</v>
      </c>
      <c r="D3153" s="534"/>
      <c r="E3153" s="530" t="s">
        <v>13</v>
      </c>
      <c r="F3153" s="530" t="s">
        <v>44</v>
      </c>
      <c r="G3153" s="538" t="s">
        <v>45</v>
      </c>
      <c r="H3153" s="108" t="s">
        <v>46</v>
      </c>
      <c r="I3153" s="108"/>
      <c r="J3153" s="108"/>
    </row>
    <row r="3154" spans="1:11" ht="15" x14ac:dyDescent="0.25">
      <c r="A3154" s="530"/>
      <c r="B3154" s="532"/>
      <c r="C3154" s="535"/>
      <c r="D3154" s="536"/>
      <c r="E3154" s="537"/>
      <c r="F3154" s="537"/>
      <c r="G3154" s="539"/>
      <c r="H3154" s="108" t="s">
        <v>47</v>
      </c>
      <c r="I3154" s="108" t="s">
        <v>48</v>
      </c>
      <c r="J3154" s="108" t="s">
        <v>49</v>
      </c>
    </row>
    <row r="3155" spans="1:11" ht="15" x14ac:dyDescent="0.25">
      <c r="A3155" s="109" t="s">
        <v>4398</v>
      </c>
      <c r="B3155" s="116">
        <v>10146</v>
      </c>
      <c r="C3155" s="540" t="str">
        <f>IF(A3155&amp;B3155="","",VLOOKUP(A3155&amp;B3155,INSUMOS!C:G,2,0))</f>
        <v>Servente</v>
      </c>
      <c r="D3155" s="541"/>
      <c r="E3155" s="111" t="str">
        <f>IF(A3155&amp;B3155="","",VLOOKUP(A3155&amp;B3155,INSUMOS!C:G,3,0))</f>
        <v>h</v>
      </c>
      <c r="F3155" s="112">
        <v>1.18</v>
      </c>
      <c r="G3155" s="113">
        <f>IF(A3155&amp;B3155="","",VLOOKUP(A3155&amp;B3155,INSUMOS!C:G,4,0))</f>
        <v>11.335614</v>
      </c>
      <c r="H3155" s="114">
        <f>IF(K3155="MO",TRUNC(F3155*G3155,2),"")</f>
        <v>13.37</v>
      </c>
      <c r="I3155" s="114" t="str">
        <f>IF(K3155="MT",TRUNC(F3155*G3155,2),"")</f>
        <v/>
      </c>
      <c r="J3155" s="115" t="str">
        <f>IF(K3155="EQ",TRUNC(F3155*G3155,2),"")</f>
        <v/>
      </c>
      <c r="K3155" s="102" t="str">
        <f>IF(A3155&amp;B3155="","",VLOOKUP(A3155&amp;B3155,INSUMOS!C:G,5,0))</f>
        <v>MO</v>
      </c>
    </row>
    <row r="3156" spans="1:11" ht="15" x14ac:dyDescent="0.25">
      <c r="A3156" s="109" t="s">
        <v>4398</v>
      </c>
      <c r="B3156" s="116">
        <v>10126</v>
      </c>
      <c r="C3156" s="518" t="str">
        <f>IF(A3156&amp;B3156="","",VLOOKUP(A3156&amp;B3156,INSUMOS!C:G,2,0))</f>
        <v>Jardineiro</v>
      </c>
      <c r="D3156" s="519"/>
      <c r="E3156" s="117" t="str">
        <f>IF(A3156&amp;B3156="","",VLOOKUP(A3156&amp;B3156,INSUMOS!C:G,3,0))</f>
        <v>h</v>
      </c>
      <c r="F3156" s="118">
        <v>0.23</v>
      </c>
      <c r="G3156" s="113">
        <f>IF(A3156&amp;B3156="","",VLOOKUP(A3156&amp;B3156,INSUMOS!C:G,4,0))</f>
        <v>12.07574</v>
      </c>
      <c r="H3156" s="119">
        <f t="shared" ref="H3156" si="522">IF(K3156="MO",TRUNC(F3156*G3156,2),"")</f>
        <v>2.77</v>
      </c>
      <c r="I3156" s="119" t="str">
        <f t="shared" ref="I3156" si="523">IF(K3156="MT",TRUNC(F3156*G3156,2),"")</f>
        <v/>
      </c>
      <c r="J3156" s="115" t="str">
        <f t="shared" ref="J3156" si="524">IF(K3156="EQ",TRUNC(F3156*G3156,2),"")</f>
        <v/>
      </c>
      <c r="K3156" s="102" t="str">
        <f>IF(A3156&amp;B3156="","",VLOOKUP(A3156&amp;B3156,INSUMOS!C:G,5,0))</f>
        <v>MO</v>
      </c>
    </row>
    <row r="3157" spans="1:11" ht="15" x14ac:dyDescent="0.25">
      <c r="A3157" s="109" t="s">
        <v>4810</v>
      </c>
      <c r="B3157" s="116">
        <v>159</v>
      </c>
      <c r="C3157" s="518" t="str">
        <f>IF(A3157&amp;B3157="","",VLOOKUP(A3157&amp;B3157,INSUMOS!C:G,2,0))</f>
        <v>Adubo Bovino</v>
      </c>
      <c r="D3157" s="519"/>
      <c r="E3157" s="117" t="str">
        <f>IF(A3157&amp;B3157="","",VLOOKUP(A3157&amp;B3157,INSUMOS!C:G,3,0))</f>
        <v>m³</v>
      </c>
      <c r="F3157" s="118">
        <v>0.05</v>
      </c>
      <c r="G3157" s="113">
        <f>IF(A3157&amp;B3157="","",VLOOKUP(A3157&amp;B3157,INSUMOS!C:G,4,0))</f>
        <v>212.08</v>
      </c>
      <c r="H3157" s="119" t="str">
        <f>IF(K3157="MO",TRUNC(F3157*G3157,2),"")</f>
        <v/>
      </c>
      <c r="I3157" s="119">
        <f>IF(K3157="MT",TRUNC(F3157*G3157,2),"")</f>
        <v>10.6</v>
      </c>
      <c r="J3157" s="115" t="str">
        <f>IF(K3157="EQ",TRUNC(F3157*G3157,2),"")</f>
        <v/>
      </c>
      <c r="K3157" s="102" t="str">
        <f>IF(A3157&amp;B3157="","",VLOOKUP(A3157&amp;B3157,INSUMOS!C:G,5,0))</f>
        <v>MT</v>
      </c>
    </row>
    <row r="3158" spans="1:11" ht="15" x14ac:dyDescent="0.25">
      <c r="A3158" s="109" t="s">
        <v>4810</v>
      </c>
      <c r="B3158" s="116">
        <v>348</v>
      </c>
      <c r="C3158" s="518" t="str">
        <f>IF(A3158&amp;B3158="","",VLOOKUP(A3158&amp;B3158,INSUMOS!C:G,2,0))</f>
        <v>Arbusto regional altura maior que 1m</v>
      </c>
      <c r="D3158" s="519"/>
      <c r="E3158" s="117" t="str">
        <f>IF(A3158&amp;B3158="","",VLOOKUP(A3158&amp;B3158,INSUMOS!C:G,3,0))</f>
        <v>un</v>
      </c>
      <c r="F3158" s="118">
        <v>1</v>
      </c>
      <c r="G3158" s="113">
        <f>IF(A3158&amp;B3158="","",VLOOKUP(A3158&amp;B3158,INSUMOS!C:G,4,0))</f>
        <v>23.5</v>
      </c>
      <c r="H3158" s="119" t="str">
        <f>IF(K3158="MO",TRUNC(F3158*G3158,2),"")</f>
        <v/>
      </c>
      <c r="I3158" s="119">
        <f>IF(K3158="MT",TRUNC(F3158*G3158,2),"")</f>
        <v>23.5</v>
      </c>
      <c r="J3158" s="115" t="str">
        <f>IF(K3158="EQ",TRUNC(F3158*G3158,2),"")</f>
        <v/>
      </c>
      <c r="K3158" s="102" t="str">
        <f>IF(A3158&amp;B3158="","",VLOOKUP(A3158&amp;B3158,INSUMOS!C:G,5,0))</f>
        <v>MT</v>
      </c>
    </row>
    <row r="3159" spans="1:11" ht="15" x14ac:dyDescent="0.25">
      <c r="A3159" s="109" t="s">
        <v>4398</v>
      </c>
      <c r="B3159" s="116">
        <v>38511</v>
      </c>
      <c r="C3159" s="518" t="str">
        <f>IF(A3159&amp;B3159="","",VLOOKUP(A3159&amp;B3159,INSUMOS!C:G,2,0))</f>
        <v>Terra vegetal orgânica comum</v>
      </c>
      <c r="D3159" s="519"/>
      <c r="E3159" s="117" t="str">
        <f>IF(A3159&amp;B3159="","",VLOOKUP(A3159&amp;B3159,INSUMOS!C:G,3,0))</f>
        <v>m³</v>
      </c>
      <c r="F3159" s="118">
        <v>6.4000000000000003E-3</v>
      </c>
      <c r="G3159" s="113">
        <f>IF(A3159&amp;B3159="","",VLOOKUP(A3159&amp;B3159,INSUMOS!C:G,4,0))</f>
        <v>92.46</v>
      </c>
      <c r="H3159" s="119" t="str">
        <f t="shared" ref="H3159:H3166" si="525">IF(K3159="MO",TRUNC(F3159*G3159,2),"")</f>
        <v/>
      </c>
      <c r="I3159" s="119">
        <f t="shared" ref="I3159:I3166" si="526">IF(K3159="MT",TRUNC(F3159*G3159,2),"")</f>
        <v>0.59</v>
      </c>
      <c r="J3159" s="115" t="str">
        <f t="shared" ref="J3159:J3166" si="527">IF(K3159="EQ",TRUNC(F3159*G3159,2),"")</f>
        <v/>
      </c>
      <c r="K3159" s="102" t="str">
        <f>IF(A3159&amp;B3159="","",VLOOKUP(A3159&amp;B3159,INSUMOS!C:G,5,0))</f>
        <v>MT</v>
      </c>
    </row>
    <row r="3160" spans="1:11" ht="15" x14ac:dyDescent="0.25">
      <c r="A3160" s="109" t="s">
        <v>4398</v>
      </c>
      <c r="B3160" s="116" t="s">
        <v>5102</v>
      </c>
      <c r="C3160" s="518" t="str">
        <f>IF(A3160&amp;B3160="","",VLOOKUP(A3160&amp;B3160,INSUMOS!C:G,2,0))</f>
        <v>Areia média lavada (a granel caçamba fechada)</v>
      </c>
      <c r="D3160" s="519"/>
      <c r="E3160" s="117" t="str">
        <f>IF(A3160&amp;B3160="","",VLOOKUP(A3160&amp;B3160,INSUMOS!C:G,3,0))</f>
        <v>m³</v>
      </c>
      <c r="F3160" s="118">
        <v>0.20499999999999999</v>
      </c>
      <c r="G3160" s="113">
        <f>IF(A3160&amp;B3160="","",VLOOKUP(A3160&amp;B3160,INSUMOS!C:G,4,0))</f>
        <v>73.73</v>
      </c>
      <c r="H3160" s="119" t="str">
        <f t="shared" si="525"/>
        <v/>
      </c>
      <c r="I3160" s="119">
        <f t="shared" si="526"/>
        <v>15.11</v>
      </c>
      <c r="J3160" s="115" t="str">
        <f t="shared" si="527"/>
        <v/>
      </c>
      <c r="K3160" s="102" t="str">
        <f>IF(A3160&amp;B3160="","",VLOOKUP(A3160&amp;B3160,INSUMOS!C:G,5,0))</f>
        <v>MT</v>
      </c>
    </row>
    <row r="3161" spans="1:11" ht="15" x14ac:dyDescent="0.25">
      <c r="A3161" s="109" t="s">
        <v>4810</v>
      </c>
      <c r="B3161" s="116">
        <v>25951</v>
      </c>
      <c r="C3161" s="518" t="str">
        <f>IF(A3161&amp;B3161="","",VLOOKUP(A3161&amp;B3161,INSUMOS!C:G,2,0))</f>
        <v>Fertilizante NPK - 10:10:10</v>
      </c>
      <c r="D3161" s="519"/>
      <c r="E3161" s="117" t="str">
        <f>IF(A3161&amp;B3161="","",VLOOKUP(A3161&amp;B3161,INSUMOS!C:G,3,0))</f>
        <v>kg</v>
      </c>
      <c r="F3161" s="118">
        <v>0.8</v>
      </c>
      <c r="G3161" s="113">
        <f>IF(A3161&amp;B3161="","",VLOOKUP(A3161&amp;B3161,INSUMOS!C:G,4,0))</f>
        <v>1.78</v>
      </c>
      <c r="H3161" s="119" t="str">
        <f t="shared" si="525"/>
        <v/>
      </c>
      <c r="I3161" s="119">
        <f t="shared" si="526"/>
        <v>1.42</v>
      </c>
      <c r="J3161" s="115" t="str">
        <f t="shared" si="527"/>
        <v/>
      </c>
      <c r="K3161" s="102" t="str">
        <f>IF(A3161&amp;B3161="","",VLOOKUP(A3161&amp;B3161,INSUMOS!C:G,5,0))</f>
        <v>MT</v>
      </c>
    </row>
    <row r="3162" spans="1:11" ht="15" x14ac:dyDescent="0.25">
      <c r="A3162" s="109" t="s">
        <v>4810</v>
      </c>
      <c r="B3162" s="116">
        <v>25963</v>
      </c>
      <c r="C3162" s="518" t="str">
        <f>IF(A3162&amp;B3162="","",VLOOKUP(A3162&amp;B3162,INSUMOS!C:G,2,0))</f>
        <v>Calcário dolomítico (posto pedreira / fornecedor, sem frete)</v>
      </c>
      <c r="D3162" s="519"/>
      <c r="E3162" s="117" t="str">
        <f>IF(A3162&amp;B3162="","",VLOOKUP(A3162&amp;B3162,INSUMOS!C:G,3,0))</f>
        <v>kg</v>
      </c>
      <c r="F3162" s="118">
        <v>0.8</v>
      </c>
      <c r="G3162" s="113">
        <f>IF(A3162&amp;B3162="","",VLOOKUP(A3162&amp;B3162,INSUMOS!C:G,4,0))</f>
        <v>7.0000000000000007E-2</v>
      </c>
      <c r="H3162" s="119" t="str">
        <f t="shared" si="525"/>
        <v/>
      </c>
      <c r="I3162" s="119">
        <f t="shared" si="526"/>
        <v>0.05</v>
      </c>
      <c r="J3162" s="115" t="str">
        <f t="shared" si="527"/>
        <v/>
      </c>
      <c r="K3162" s="102" t="str">
        <f>IF(A3162&amp;B3162="","",VLOOKUP(A3162&amp;B3162,INSUMOS!C:G,5,0))</f>
        <v>MT</v>
      </c>
    </row>
    <row r="3163" spans="1:11" ht="15" x14ac:dyDescent="0.25">
      <c r="A3163" s="109"/>
      <c r="B3163" s="116"/>
      <c r="C3163" s="518" t="str">
        <f>IF(A3163&amp;B3163="","",VLOOKUP(A3163&amp;B3163,INSUMOS!C:G,2,0))</f>
        <v/>
      </c>
      <c r="D3163" s="519"/>
      <c r="E3163" s="117" t="str">
        <f>IF(A3163&amp;B3163="","",VLOOKUP(A3163&amp;B3163,INSUMOS!C:G,3,0))</f>
        <v/>
      </c>
      <c r="F3163" s="118"/>
      <c r="G3163" s="113" t="str">
        <f>IF(A3163&amp;B3163="","",VLOOKUP(A3163&amp;B3163,INSUMOS!C:G,4,0))</f>
        <v/>
      </c>
      <c r="H3163" s="119" t="str">
        <f t="shared" si="525"/>
        <v/>
      </c>
      <c r="I3163" s="119" t="str">
        <f t="shared" si="526"/>
        <v/>
      </c>
      <c r="J3163" s="115" t="str">
        <f t="shared" si="527"/>
        <v/>
      </c>
      <c r="K3163" s="102" t="str">
        <f>IF(A3163&amp;B3163="","",VLOOKUP(A3163&amp;B3163,INSUMOS!C:G,5,0))</f>
        <v/>
      </c>
    </row>
    <row r="3164" spans="1:11" ht="15" x14ac:dyDescent="0.25">
      <c r="A3164" s="120"/>
      <c r="B3164" s="121"/>
      <c r="C3164" s="518" t="str">
        <f>IF(A3164&amp;B3164="","",VLOOKUP(A3164&amp;B3164,INSUMOS!C:G,2,0))</f>
        <v/>
      </c>
      <c r="D3164" s="519"/>
      <c r="E3164" s="117" t="str">
        <f>IF(A3164&amp;B3164="","",VLOOKUP(A3164&amp;B3164,INSUMOS!C:G,3,0))</f>
        <v/>
      </c>
      <c r="F3164" s="118"/>
      <c r="G3164" s="122" t="str">
        <f>IF(A3164&amp;B3164="","",VLOOKUP(A3164&amp;B3164,INSUMOS!C:G,4,0))</f>
        <v/>
      </c>
      <c r="H3164" s="119" t="str">
        <f t="shared" si="525"/>
        <v/>
      </c>
      <c r="I3164" s="119" t="str">
        <f t="shared" si="526"/>
        <v/>
      </c>
      <c r="J3164" s="115" t="str">
        <f t="shared" si="527"/>
        <v/>
      </c>
      <c r="K3164" s="102" t="str">
        <f>IF(A3164&amp;B3164="","",VLOOKUP(A3164&amp;B3164,INSUMOS!C:G,5,0))</f>
        <v/>
      </c>
    </row>
    <row r="3165" spans="1:11" ht="15" x14ac:dyDescent="0.25">
      <c r="A3165" s="120"/>
      <c r="B3165" s="121"/>
      <c r="C3165" s="518" t="str">
        <f>IF(A3165&amp;B3165="","",VLOOKUP(A3165&amp;B3165,INSUMOS!C:G,2,0))</f>
        <v/>
      </c>
      <c r="D3165" s="519"/>
      <c r="E3165" s="117" t="str">
        <f>IF(A3165&amp;B3165="","",VLOOKUP(A3165&amp;B3165,INSUMOS!C:G,3,0))</f>
        <v/>
      </c>
      <c r="F3165" s="118"/>
      <c r="G3165" s="122" t="str">
        <f>IF(A3165&amp;B3165="","",VLOOKUP(A3165&amp;B3165,INSUMOS!C:G,4,0))</f>
        <v/>
      </c>
      <c r="H3165" s="119" t="str">
        <f t="shared" si="525"/>
        <v/>
      </c>
      <c r="I3165" s="119" t="str">
        <f t="shared" si="526"/>
        <v/>
      </c>
      <c r="J3165" s="115" t="str">
        <f t="shared" si="527"/>
        <v/>
      </c>
      <c r="K3165" s="102" t="str">
        <f>IF(A3165&amp;B3165="","",VLOOKUP(A3165&amp;B3165,INSUMOS!C:G,5,0))</f>
        <v/>
      </c>
    </row>
    <row r="3166" spans="1:11" ht="15" x14ac:dyDescent="0.25">
      <c r="A3166" s="120"/>
      <c r="B3166" s="121"/>
      <c r="C3166" s="518" t="str">
        <f>IF(A3166&amp;B3166="","",VLOOKUP(A3166&amp;B3166,INSUMOS!C:G,2,0))</f>
        <v/>
      </c>
      <c r="D3166" s="519"/>
      <c r="E3166" s="117" t="str">
        <f>IF(A3166&amp;B3166="","",VLOOKUP(A3166&amp;B3166,INSUMOS!C:G,3,0))</f>
        <v/>
      </c>
      <c r="F3166" s="118"/>
      <c r="G3166" s="122" t="str">
        <f>IF(A3166&amp;B3166="","",VLOOKUP(A3166&amp;B3166,INSUMOS!C:G,4,0))</f>
        <v/>
      </c>
      <c r="H3166" s="119" t="str">
        <f t="shared" si="525"/>
        <v/>
      </c>
      <c r="I3166" s="119" t="str">
        <f t="shared" si="526"/>
        <v/>
      </c>
      <c r="J3166" s="115" t="str">
        <f t="shared" si="527"/>
        <v/>
      </c>
      <c r="K3166" s="102" t="str">
        <f>IF(A3166&amp;B3166="","",VLOOKUP(A3166&amp;B3166,INSUMOS!C:G,5,0))</f>
        <v/>
      </c>
    </row>
    <row r="3167" spans="1:11" ht="15" x14ac:dyDescent="0.25">
      <c r="A3167" s="123" t="s">
        <v>4399</v>
      </c>
      <c r="B3167" s="520"/>
      <c r="C3167" s="520"/>
      <c r="D3167" s="520"/>
      <c r="E3167" s="520"/>
      <c r="F3167" s="521"/>
      <c r="G3167" s="124" t="s">
        <v>50</v>
      </c>
      <c r="H3167" s="125">
        <f>SUM(H3155:H3166)</f>
        <v>16.14</v>
      </c>
      <c r="I3167" s="125">
        <f>SUM(I3155:I3166)</f>
        <v>51.27</v>
      </c>
      <c r="J3167" s="126">
        <f>SUM(J3155:J3166)</f>
        <v>0</v>
      </c>
    </row>
    <row r="3168" spans="1:11" ht="15" x14ac:dyDescent="0.25">
      <c r="A3168" s="127" t="s">
        <v>4400</v>
      </c>
      <c r="B3168" s="128"/>
      <c r="C3168" s="128"/>
      <c r="D3168" s="127" t="s">
        <v>51</v>
      </c>
      <c r="E3168" s="128"/>
      <c r="F3168" s="129"/>
      <c r="G3168" s="130" t="s">
        <v>55</v>
      </c>
      <c r="H3168" s="131" t="s">
        <v>52</v>
      </c>
      <c r="I3168" s="132"/>
      <c r="J3168" s="125">
        <f>SUM(H3167:J3167)</f>
        <v>67.41</v>
      </c>
    </row>
    <row r="3169" spans="1:17" ht="15" x14ac:dyDescent="0.25">
      <c r="A3169" s="313" t="str">
        <f>$I$3</f>
        <v>Carlos Wieck</v>
      </c>
      <c r="B3169" s="133"/>
      <c r="C3169" s="133"/>
      <c r="D3169" s="134"/>
      <c r="E3169" s="133"/>
      <c r="F3169" s="135"/>
      <c r="G3169" s="522">
        <f>$J$5</f>
        <v>43040</v>
      </c>
      <c r="H3169" s="136" t="s">
        <v>53</v>
      </c>
      <c r="I3169" s="137"/>
      <c r="J3169" s="125">
        <f>TRUNC(I3169*J3168,2)</f>
        <v>0</v>
      </c>
    </row>
    <row r="3170" spans="1:17" ht="15" x14ac:dyDescent="0.25">
      <c r="A3170" s="138"/>
      <c r="B3170" s="139"/>
      <c r="C3170" s="139"/>
      <c r="D3170" s="138"/>
      <c r="E3170" s="139"/>
      <c r="F3170" s="140"/>
      <c r="G3170" s="523"/>
      <c r="H3170" s="141" t="s">
        <v>54</v>
      </c>
      <c r="I3170" s="142"/>
      <c r="J3170" s="143">
        <f>J3169+J3168</f>
        <v>67.41</v>
      </c>
      <c r="L3170" s="102" t="str">
        <f>A3152</f>
        <v>COMPOSIÇÃO</v>
      </c>
      <c r="M3170" s="144" t="str">
        <f>B3152</f>
        <v>FF-138</v>
      </c>
      <c r="N3170" s="102" t="str">
        <f>L3170&amp;M3170</f>
        <v>COMPOSIÇÃOFF-138</v>
      </c>
      <c r="O3170" s="103" t="str">
        <f>D3151</f>
        <v>Fornecimento e plantio de Guapira Opposita - Maria Mole</v>
      </c>
      <c r="P3170" s="145" t="str">
        <f>J3152</f>
        <v>un</v>
      </c>
      <c r="Q3170" s="145">
        <f>J3170</f>
        <v>67.41</v>
      </c>
    </row>
    <row r="3171" spans="1:17" ht="15" x14ac:dyDescent="0.25">
      <c r="A3171" s="524" t="s">
        <v>40</v>
      </c>
      <c r="B3171" s="525"/>
      <c r="C3171" s="104" t="s">
        <v>41</v>
      </c>
      <c r="D3171" s="526" t="str">
        <f>IF(B3172="","",VLOOKUP(B3172,SERVIÇOS!B:E,3,0))</f>
        <v>Sistema de Tratamento de Esgoto ref. MF-1600 da Mizumo ou equivalente técnico</v>
      </c>
      <c r="E3171" s="526"/>
      <c r="F3171" s="526"/>
      <c r="G3171" s="526"/>
      <c r="H3171" s="526"/>
      <c r="I3171" s="527"/>
      <c r="J3171" s="105" t="s">
        <v>42</v>
      </c>
    </row>
    <row r="3172" spans="1:17" ht="15" x14ac:dyDescent="0.25">
      <c r="A3172" s="230" t="s">
        <v>4715</v>
      </c>
      <c r="B3172" s="230" t="s">
        <v>5507</v>
      </c>
      <c r="C3172" s="106"/>
      <c r="D3172" s="528"/>
      <c r="E3172" s="528"/>
      <c r="F3172" s="528"/>
      <c r="G3172" s="528"/>
      <c r="H3172" s="528"/>
      <c r="I3172" s="529"/>
      <c r="J3172" s="107" t="str">
        <f>IF(B3172="","",VLOOKUP(B3172,SERVIÇOS!B:E,4,0))</f>
        <v>un</v>
      </c>
    </row>
    <row r="3173" spans="1:17" ht="15" x14ac:dyDescent="0.25">
      <c r="A3173" s="530" t="s">
        <v>4397</v>
      </c>
      <c r="B3173" s="531" t="s">
        <v>11</v>
      </c>
      <c r="C3173" s="533" t="s">
        <v>43</v>
      </c>
      <c r="D3173" s="534"/>
      <c r="E3173" s="530" t="s">
        <v>13</v>
      </c>
      <c r="F3173" s="530" t="s">
        <v>44</v>
      </c>
      <c r="G3173" s="538" t="s">
        <v>45</v>
      </c>
      <c r="H3173" s="108" t="s">
        <v>46</v>
      </c>
      <c r="I3173" s="108"/>
      <c r="J3173" s="108"/>
    </row>
    <row r="3174" spans="1:17" ht="15" x14ac:dyDescent="0.25">
      <c r="A3174" s="530"/>
      <c r="B3174" s="532"/>
      <c r="C3174" s="535"/>
      <c r="D3174" s="536"/>
      <c r="E3174" s="537"/>
      <c r="F3174" s="537"/>
      <c r="G3174" s="539"/>
      <c r="H3174" s="108" t="s">
        <v>47</v>
      </c>
      <c r="I3174" s="108" t="s">
        <v>48</v>
      </c>
      <c r="J3174" s="108" t="s">
        <v>49</v>
      </c>
    </row>
    <row r="3175" spans="1:17" ht="15" x14ac:dyDescent="0.25">
      <c r="A3175" s="109" t="s">
        <v>4717</v>
      </c>
      <c r="B3175" s="116" t="s">
        <v>5002</v>
      </c>
      <c r="C3175" s="540" t="str">
        <f>IF(A3175&amp;B3175="","",VLOOKUP(A3175&amp;B3175,INSUMOS!C:G,2,0))</f>
        <v>Sistema de Tratamento de Esgoto ref. MF-1600 da Mizumo ou equivalente técnico</v>
      </c>
      <c r="D3175" s="541"/>
      <c r="E3175" s="111" t="str">
        <f>IF(A3175&amp;B3175="","",VLOOKUP(A3175&amp;B3175,INSUMOS!C:G,3,0))</f>
        <v>cj</v>
      </c>
      <c r="F3175" s="112">
        <v>1</v>
      </c>
      <c r="G3175" s="113">
        <f>IF(A3175&amp;B3175="","",VLOOKUP(A3175&amp;B3175,INSUMOS!C:G,4,0))</f>
        <v>29994.391</v>
      </c>
      <c r="H3175" s="114" t="str">
        <f>IF(K3175="MO",TRUNC(F3175*G3175,2),"")</f>
        <v/>
      </c>
      <c r="I3175" s="114">
        <f>IF(K3175="MT",TRUNC(F3175*G3175,2),"")</f>
        <v>29994.39</v>
      </c>
      <c r="J3175" s="115" t="str">
        <f>IF(K3175="EQ",TRUNC(F3175*G3175,2),"")</f>
        <v/>
      </c>
      <c r="K3175" s="102" t="str">
        <f>IF(A3175&amp;B3175="","",VLOOKUP(A3175&amp;B3175,INSUMOS!C:G,5,0))</f>
        <v>MT</v>
      </c>
    </row>
    <row r="3176" spans="1:17" ht="15" x14ac:dyDescent="0.25">
      <c r="A3176" s="109"/>
      <c r="B3176" s="116"/>
      <c r="C3176" s="518" t="str">
        <f>IF(A3176&amp;B3176="","",VLOOKUP(A3176&amp;B3176,INSUMOS!C:G,2,0))</f>
        <v/>
      </c>
      <c r="D3176" s="519"/>
      <c r="E3176" s="117" t="str">
        <f>IF(A3176&amp;B3176="","",VLOOKUP(A3176&amp;B3176,INSUMOS!C:G,3,0))</f>
        <v/>
      </c>
      <c r="F3176" s="118"/>
      <c r="G3176" s="113" t="str">
        <f>IF(A3176&amp;B3176="","",VLOOKUP(A3176&amp;B3176,INSUMOS!C:G,4,0))</f>
        <v/>
      </c>
      <c r="H3176" s="119" t="str">
        <f t="shared" ref="H3176" si="528">IF(K3176="MO",TRUNC(F3176*G3176,2),"")</f>
        <v/>
      </c>
      <c r="I3176" s="119" t="str">
        <f t="shared" ref="I3176" si="529">IF(K3176="MT",TRUNC(F3176*G3176,2),"")</f>
        <v/>
      </c>
      <c r="J3176" s="115" t="str">
        <f t="shared" ref="J3176" si="530">IF(K3176="EQ",TRUNC(F3176*G3176,2),"")</f>
        <v/>
      </c>
      <c r="K3176" s="102" t="str">
        <f>IF(A3176&amp;B3176="","",VLOOKUP(A3176&amp;B3176,INSUMOS!C:G,5,0))</f>
        <v/>
      </c>
    </row>
    <row r="3177" spans="1:17" ht="15" x14ac:dyDescent="0.25">
      <c r="A3177" s="109"/>
      <c r="B3177" s="116"/>
      <c r="C3177" s="518" t="str">
        <f>IF(A3177&amp;B3177="","",VLOOKUP(A3177&amp;B3177,INSUMOS!C:G,2,0))</f>
        <v/>
      </c>
      <c r="D3177" s="519"/>
      <c r="E3177" s="117" t="str">
        <f>IF(A3177&amp;B3177="","",VLOOKUP(A3177&amp;B3177,INSUMOS!C:G,3,0))</f>
        <v/>
      </c>
      <c r="F3177" s="118"/>
      <c r="G3177" s="113" t="str">
        <f>IF(A3177&amp;B3177="","",VLOOKUP(A3177&amp;B3177,INSUMOS!C:G,4,0))</f>
        <v/>
      </c>
      <c r="H3177" s="119" t="str">
        <f>IF(K3177="MO",TRUNC(F3177*G3177,2),"")</f>
        <v/>
      </c>
      <c r="I3177" s="119" t="str">
        <f>IF(K3177="MT",TRUNC(F3177*G3177,2),"")</f>
        <v/>
      </c>
      <c r="J3177" s="115" t="str">
        <f>IF(K3177="EQ",TRUNC(F3177*G3177,2),"")</f>
        <v/>
      </c>
      <c r="K3177" s="102" t="str">
        <f>IF(A3177&amp;B3177="","",VLOOKUP(A3177&amp;B3177,INSUMOS!C:G,5,0))</f>
        <v/>
      </c>
    </row>
    <row r="3178" spans="1:17" ht="15" x14ac:dyDescent="0.25">
      <c r="A3178" s="109"/>
      <c r="B3178" s="116"/>
      <c r="C3178" s="518" t="str">
        <f>IF(A3178&amp;B3178="","",VLOOKUP(A3178&amp;B3178,INSUMOS!C:G,2,0))</f>
        <v/>
      </c>
      <c r="D3178" s="519"/>
      <c r="E3178" s="117" t="str">
        <f>IF(A3178&amp;B3178="","",VLOOKUP(A3178&amp;B3178,INSUMOS!C:G,3,0))</f>
        <v/>
      </c>
      <c r="F3178" s="118"/>
      <c r="G3178" s="113" t="str">
        <f>IF(A3178&amp;B3178="","",VLOOKUP(A3178&amp;B3178,INSUMOS!C:G,4,0))</f>
        <v/>
      </c>
      <c r="H3178" s="119" t="str">
        <f>IF(K3178="MO",TRUNC(F3178*G3178,2),"")</f>
        <v/>
      </c>
      <c r="I3178" s="119" t="str">
        <f>IF(K3178="MT",TRUNC(F3178*G3178,2),"")</f>
        <v/>
      </c>
      <c r="J3178" s="115" t="str">
        <f>IF(K3178="EQ",TRUNC(F3178*G3178,2),"")</f>
        <v/>
      </c>
      <c r="K3178" s="102" t="str">
        <f>IF(A3178&amp;B3178="","",VLOOKUP(A3178&amp;B3178,INSUMOS!C:G,5,0))</f>
        <v/>
      </c>
    </row>
    <row r="3179" spans="1:17" ht="15" x14ac:dyDescent="0.25">
      <c r="A3179" s="109"/>
      <c r="B3179" s="116"/>
      <c r="C3179" s="518" t="str">
        <f>IF(A3179&amp;B3179="","",VLOOKUP(A3179&amp;B3179,INSUMOS!C:G,2,0))</f>
        <v/>
      </c>
      <c r="D3179" s="519"/>
      <c r="E3179" s="117" t="str">
        <f>IF(A3179&amp;B3179="","",VLOOKUP(A3179&amp;B3179,INSUMOS!C:G,3,0))</f>
        <v/>
      </c>
      <c r="F3179" s="118"/>
      <c r="G3179" s="113" t="str">
        <f>IF(A3179&amp;B3179="","",VLOOKUP(A3179&amp;B3179,INSUMOS!C:G,4,0))</f>
        <v/>
      </c>
      <c r="H3179" s="119" t="str">
        <f t="shared" ref="H3179:H3186" si="531">IF(K3179="MO",TRUNC(F3179*G3179,2),"")</f>
        <v/>
      </c>
      <c r="I3179" s="119" t="str">
        <f t="shared" ref="I3179:I3186" si="532">IF(K3179="MT",TRUNC(F3179*G3179,2),"")</f>
        <v/>
      </c>
      <c r="J3179" s="115" t="str">
        <f t="shared" ref="J3179:J3186" si="533">IF(K3179="EQ",TRUNC(F3179*G3179,2),"")</f>
        <v/>
      </c>
      <c r="K3179" s="102" t="str">
        <f>IF(A3179&amp;B3179="","",VLOOKUP(A3179&amp;B3179,INSUMOS!C:G,5,0))</f>
        <v/>
      </c>
    </row>
    <row r="3180" spans="1:17" ht="15" x14ac:dyDescent="0.25">
      <c r="A3180" s="109"/>
      <c r="B3180" s="116"/>
      <c r="C3180" s="518" t="str">
        <f>IF(A3180&amp;B3180="","",VLOOKUP(A3180&amp;B3180,INSUMOS!C:G,2,0))</f>
        <v/>
      </c>
      <c r="D3180" s="519"/>
      <c r="E3180" s="117" t="str">
        <f>IF(A3180&amp;B3180="","",VLOOKUP(A3180&amp;B3180,INSUMOS!C:G,3,0))</f>
        <v/>
      </c>
      <c r="F3180" s="118"/>
      <c r="G3180" s="113" t="str">
        <f>IF(A3180&amp;B3180="","",VLOOKUP(A3180&amp;B3180,INSUMOS!C:G,4,0))</f>
        <v/>
      </c>
      <c r="H3180" s="119" t="str">
        <f t="shared" si="531"/>
        <v/>
      </c>
      <c r="I3180" s="119" t="str">
        <f t="shared" si="532"/>
        <v/>
      </c>
      <c r="J3180" s="115" t="str">
        <f t="shared" si="533"/>
        <v/>
      </c>
      <c r="K3180" s="102" t="str">
        <f>IF(A3180&amp;B3180="","",VLOOKUP(A3180&amp;B3180,INSUMOS!C:G,5,0))</f>
        <v/>
      </c>
    </row>
    <row r="3181" spans="1:17" ht="15" x14ac:dyDescent="0.25">
      <c r="A3181" s="109"/>
      <c r="B3181" s="116"/>
      <c r="C3181" s="518" t="str">
        <f>IF(A3181&amp;B3181="","",VLOOKUP(A3181&amp;B3181,INSUMOS!C:G,2,0))</f>
        <v/>
      </c>
      <c r="D3181" s="519"/>
      <c r="E3181" s="117" t="str">
        <f>IF(A3181&amp;B3181="","",VLOOKUP(A3181&amp;B3181,INSUMOS!C:G,3,0))</f>
        <v/>
      </c>
      <c r="F3181" s="118"/>
      <c r="G3181" s="113" t="str">
        <f>IF(A3181&amp;B3181="","",VLOOKUP(A3181&amp;B3181,INSUMOS!C:G,4,0))</f>
        <v/>
      </c>
      <c r="H3181" s="119" t="str">
        <f t="shared" si="531"/>
        <v/>
      </c>
      <c r="I3181" s="119" t="str">
        <f t="shared" si="532"/>
        <v/>
      </c>
      <c r="J3181" s="115" t="str">
        <f t="shared" si="533"/>
        <v/>
      </c>
      <c r="K3181" s="102" t="str">
        <f>IF(A3181&amp;B3181="","",VLOOKUP(A3181&amp;B3181,INSUMOS!C:G,5,0))</f>
        <v/>
      </c>
    </row>
    <row r="3182" spans="1:17" ht="15" x14ac:dyDescent="0.25">
      <c r="A3182" s="109"/>
      <c r="B3182" s="116"/>
      <c r="C3182" s="518" t="str">
        <f>IF(A3182&amp;B3182="","",VLOOKUP(A3182&amp;B3182,INSUMOS!C:G,2,0))</f>
        <v/>
      </c>
      <c r="D3182" s="519"/>
      <c r="E3182" s="117" t="str">
        <f>IF(A3182&amp;B3182="","",VLOOKUP(A3182&amp;B3182,INSUMOS!C:G,3,0))</f>
        <v/>
      </c>
      <c r="F3182" s="118"/>
      <c r="G3182" s="113" t="str">
        <f>IF(A3182&amp;B3182="","",VLOOKUP(A3182&amp;B3182,INSUMOS!C:G,4,0))</f>
        <v/>
      </c>
      <c r="H3182" s="119" t="str">
        <f t="shared" si="531"/>
        <v/>
      </c>
      <c r="I3182" s="119" t="str">
        <f t="shared" si="532"/>
        <v/>
      </c>
      <c r="J3182" s="115" t="str">
        <f t="shared" si="533"/>
        <v/>
      </c>
      <c r="K3182" s="102" t="str">
        <f>IF(A3182&amp;B3182="","",VLOOKUP(A3182&amp;B3182,INSUMOS!C:G,5,0))</f>
        <v/>
      </c>
    </row>
    <row r="3183" spans="1:17" ht="15" x14ac:dyDescent="0.25">
      <c r="A3183" s="109"/>
      <c r="B3183" s="116"/>
      <c r="C3183" s="518" t="str">
        <f>IF(A3183&amp;B3183="","",VLOOKUP(A3183&amp;B3183,INSUMOS!C:G,2,0))</f>
        <v/>
      </c>
      <c r="D3183" s="519"/>
      <c r="E3183" s="117" t="str">
        <f>IF(A3183&amp;B3183="","",VLOOKUP(A3183&amp;B3183,INSUMOS!C:G,3,0))</f>
        <v/>
      </c>
      <c r="F3183" s="118"/>
      <c r="G3183" s="113" t="str">
        <f>IF(A3183&amp;B3183="","",VLOOKUP(A3183&amp;B3183,INSUMOS!C:G,4,0))</f>
        <v/>
      </c>
      <c r="H3183" s="119" t="str">
        <f t="shared" si="531"/>
        <v/>
      </c>
      <c r="I3183" s="119" t="str">
        <f t="shared" si="532"/>
        <v/>
      </c>
      <c r="J3183" s="115" t="str">
        <f t="shared" si="533"/>
        <v/>
      </c>
      <c r="K3183" s="102" t="str">
        <f>IF(A3183&amp;B3183="","",VLOOKUP(A3183&amp;B3183,INSUMOS!C:G,5,0))</f>
        <v/>
      </c>
    </row>
    <row r="3184" spans="1:17" ht="15" x14ac:dyDescent="0.25">
      <c r="A3184" s="120"/>
      <c r="B3184" s="121"/>
      <c r="C3184" s="518" t="str">
        <f>IF(A3184&amp;B3184="","",VLOOKUP(A3184&amp;B3184,INSUMOS!C:G,2,0))</f>
        <v/>
      </c>
      <c r="D3184" s="519"/>
      <c r="E3184" s="117" t="str">
        <f>IF(A3184&amp;B3184="","",VLOOKUP(A3184&amp;B3184,INSUMOS!C:G,3,0))</f>
        <v/>
      </c>
      <c r="F3184" s="118"/>
      <c r="G3184" s="122" t="str">
        <f>IF(A3184&amp;B3184="","",VLOOKUP(A3184&amp;B3184,INSUMOS!C:G,4,0))</f>
        <v/>
      </c>
      <c r="H3184" s="119" t="str">
        <f t="shared" si="531"/>
        <v/>
      </c>
      <c r="I3184" s="119" t="str">
        <f t="shared" si="532"/>
        <v/>
      </c>
      <c r="J3184" s="115" t="str">
        <f t="shared" si="533"/>
        <v/>
      </c>
      <c r="K3184" s="102" t="str">
        <f>IF(A3184&amp;B3184="","",VLOOKUP(A3184&amp;B3184,INSUMOS!C:G,5,0))</f>
        <v/>
      </c>
    </row>
    <row r="3185" spans="1:17" ht="15" x14ac:dyDescent="0.25">
      <c r="A3185" s="120"/>
      <c r="B3185" s="121"/>
      <c r="C3185" s="518" t="str">
        <f>IF(A3185&amp;B3185="","",VLOOKUP(A3185&amp;B3185,INSUMOS!C:G,2,0))</f>
        <v/>
      </c>
      <c r="D3185" s="519"/>
      <c r="E3185" s="117" t="str">
        <f>IF(A3185&amp;B3185="","",VLOOKUP(A3185&amp;B3185,INSUMOS!C:G,3,0))</f>
        <v/>
      </c>
      <c r="F3185" s="118"/>
      <c r="G3185" s="122" t="str">
        <f>IF(A3185&amp;B3185="","",VLOOKUP(A3185&amp;B3185,INSUMOS!C:G,4,0))</f>
        <v/>
      </c>
      <c r="H3185" s="119" t="str">
        <f t="shared" si="531"/>
        <v/>
      </c>
      <c r="I3185" s="119" t="str">
        <f t="shared" si="532"/>
        <v/>
      </c>
      <c r="J3185" s="115" t="str">
        <f t="shared" si="533"/>
        <v/>
      </c>
      <c r="K3185" s="102" t="str">
        <f>IF(A3185&amp;B3185="","",VLOOKUP(A3185&amp;B3185,INSUMOS!C:G,5,0))</f>
        <v/>
      </c>
    </row>
    <row r="3186" spans="1:17" ht="15" x14ac:dyDescent="0.25">
      <c r="A3186" s="120"/>
      <c r="B3186" s="121"/>
      <c r="C3186" s="518" t="str">
        <f>IF(A3186&amp;B3186="","",VLOOKUP(A3186&amp;B3186,INSUMOS!C:G,2,0))</f>
        <v/>
      </c>
      <c r="D3186" s="519"/>
      <c r="E3186" s="117" t="str">
        <f>IF(A3186&amp;B3186="","",VLOOKUP(A3186&amp;B3186,INSUMOS!C:G,3,0))</f>
        <v/>
      </c>
      <c r="F3186" s="118"/>
      <c r="G3186" s="122" t="str">
        <f>IF(A3186&amp;B3186="","",VLOOKUP(A3186&amp;B3186,INSUMOS!C:G,4,0))</f>
        <v/>
      </c>
      <c r="H3186" s="119" t="str">
        <f t="shared" si="531"/>
        <v/>
      </c>
      <c r="I3186" s="119" t="str">
        <f t="shared" si="532"/>
        <v/>
      </c>
      <c r="J3186" s="115" t="str">
        <f t="shared" si="533"/>
        <v/>
      </c>
      <c r="K3186" s="102" t="str">
        <f>IF(A3186&amp;B3186="","",VLOOKUP(A3186&amp;B3186,INSUMOS!C:G,5,0))</f>
        <v/>
      </c>
    </row>
    <row r="3187" spans="1:17" ht="15" x14ac:dyDescent="0.25">
      <c r="A3187" s="123" t="s">
        <v>4399</v>
      </c>
      <c r="B3187" s="520"/>
      <c r="C3187" s="520"/>
      <c r="D3187" s="520"/>
      <c r="E3187" s="520"/>
      <c r="F3187" s="521"/>
      <c r="G3187" s="124" t="s">
        <v>50</v>
      </c>
      <c r="H3187" s="125">
        <f>SUM(H3175:H3186)</f>
        <v>0</v>
      </c>
      <c r="I3187" s="125">
        <f>SUM(I3175:I3186)</f>
        <v>29994.39</v>
      </c>
      <c r="J3187" s="126">
        <f>SUM(J3175:J3186)</f>
        <v>0</v>
      </c>
    </row>
    <row r="3188" spans="1:17" ht="15" x14ac:dyDescent="0.25">
      <c r="A3188" s="127" t="s">
        <v>4400</v>
      </c>
      <c r="B3188" s="128"/>
      <c r="C3188" s="128"/>
      <c r="D3188" s="127" t="s">
        <v>51</v>
      </c>
      <c r="E3188" s="128"/>
      <c r="F3188" s="129"/>
      <c r="G3188" s="130" t="s">
        <v>55</v>
      </c>
      <c r="H3188" s="131" t="s">
        <v>52</v>
      </c>
      <c r="I3188" s="132"/>
      <c r="J3188" s="125">
        <f>SUM(H3187:J3187)</f>
        <v>29994.39</v>
      </c>
    </row>
    <row r="3189" spans="1:17" ht="15" x14ac:dyDescent="0.25">
      <c r="A3189" s="313" t="str">
        <f>$I$3</f>
        <v>Carlos Wieck</v>
      </c>
      <c r="B3189" s="133"/>
      <c r="C3189" s="133"/>
      <c r="D3189" s="134"/>
      <c r="E3189" s="133"/>
      <c r="F3189" s="135"/>
      <c r="G3189" s="522">
        <f>$J$5</f>
        <v>43040</v>
      </c>
      <c r="H3189" s="136" t="s">
        <v>53</v>
      </c>
      <c r="I3189" s="137"/>
      <c r="J3189" s="125">
        <f>TRUNC(I3189*J3188,2)</f>
        <v>0</v>
      </c>
    </row>
    <row r="3190" spans="1:17" ht="15" x14ac:dyDescent="0.25">
      <c r="A3190" s="138"/>
      <c r="B3190" s="139"/>
      <c r="C3190" s="139"/>
      <c r="D3190" s="138"/>
      <c r="E3190" s="139"/>
      <c r="F3190" s="140"/>
      <c r="G3190" s="523"/>
      <c r="H3190" s="141" t="s">
        <v>54</v>
      </c>
      <c r="I3190" s="142"/>
      <c r="J3190" s="143">
        <f>J3189+J3188</f>
        <v>29994.39</v>
      </c>
      <c r="L3190" s="102" t="str">
        <f>A3172</f>
        <v>COMPOSIÇÃO</v>
      </c>
      <c r="M3190" s="144" t="str">
        <f>B3172</f>
        <v>FF-139</v>
      </c>
      <c r="N3190" s="102" t="str">
        <f>L3190&amp;M3190</f>
        <v>COMPOSIÇÃOFF-139</v>
      </c>
      <c r="O3190" s="103" t="str">
        <f>D3171</f>
        <v>Sistema de Tratamento de Esgoto ref. MF-1600 da Mizumo ou equivalente técnico</v>
      </c>
      <c r="P3190" s="145" t="str">
        <f>J3172</f>
        <v>un</v>
      </c>
      <c r="Q3190" s="145">
        <f>J3190</f>
        <v>29994.39</v>
      </c>
    </row>
    <row r="3191" spans="1:17" ht="15" x14ac:dyDescent="0.25">
      <c r="A3191" s="524" t="s">
        <v>40</v>
      </c>
      <c r="B3191" s="525"/>
      <c r="C3191" s="104" t="s">
        <v>41</v>
      </c>
      <c r="D3191" s="526" t="str">
        <f>IF(B3192="","",VLOOKUP(B3192,SERVIÇOS!B:E,3,0))</f>
        <v>Sistema de Tratamento de Esgoto ref. MF-3200 da Mizumo ou equivalente técnico</v>
      </c>
      <c r="E3191" s="526"/>
      <c r="F3191" s="526"/>
      <c r="G3191" s="526"/>
      <c r="H3191" s="526"/>
      <c r="I3191" s="527"/>
      <c r="J3191" s="105" t="s">
        <v>42</v>
      </c>
    </row>
    <row r="3192" spans="1:17" ht="15" x14ac:dyDescent="0.25">
      <c r="A3192" s="230" t="s">
        <v>4715</v>
      </c>
      <c r="B3192" s="230" t="s">
        <v>5511</v>
      </c>
      <c r="C3192" s="106"/>
      <c r="D3192" s="528"/>
      <c r="E3192" s="528"/>
      <c r="F3192" s="528"/>
      <c r="G3192" s="528"/>
      <c r="H3192" s="528"/>
      <c r="I3192" s="529"/>
      <c r="J3192" s="107" t="str">
        <f>IF(B3192="","",VLOOKUP(B3192,SERVIÇOS!B:E,4,0))</f>
        <v>un</v>
      </c>
    </row>
    <row r="3193" spans="1:17" ht="15" x14ac:dyDescent="0.25">
      <c r="A3193" s="530" t="s">
        <v>4397</v>
      </c>
      <c r="B3193" s="531" t="s">
        <v>11</v>
      </c>
      <c r="C3193" s="533" t="s">
        <v>43</v>
      </c>
      <c r="D3193" s="534"/>
      <c r="E3193" s="530" t="s">
        <v>13</v>
      </c>
      <c r="F3193" s="530" t="s">
        <v>44</v>
      </c>
      <c r="G3193" s="538" t="s">
        <v>45</v>
      </c>
      <c r="H3193" s="108" t="s">
        <v>46</v>
      </c>
      <c r="I3193" s="108"/>
      <c r="J3193" s="108"/>
    </row>
    <row r="3194" spans="1:17" ht="15" x14ac:dyDescent="0.25">
      <c r="A3194" s="530"/>
      <c r="B3194" s="532"/>
      <c r="C3194" s="535"/>
      <c r="D3194" s="536"/>
      <c r="E3194" s="537"/>
      <c r="F3194" s="537"/>
      <c r="G3194" s="539"/>
      <c r="H3194" s="108" t="s">
        <v>47</v>
      </c>
      <c r="I3194" s="108" t="s">
        <v>48</v>
      </c>
      <c r="J3194" s="108" t="s">
        <v>49</v>
      </c>
    </row>
    <row r="3195" spans="1:17" ht="15" x14ac:dyDescent="0.25">
      <c r="A3195" s="109" t="s">
        <v>4717</v>
      </c>
      <c r="B3195" s="116" t="s">
        <v>5003</v>
      </c>
      <c r="C3195" s="540" t="str">
        <f>IF(A3195&amp;B3195="","",VLOOKUP(A3195&amp;B3195,INSUMOS!C:G,2,0))</f>
        <v>Sistema de Tratamento de Esgoto ref. MF-3200 da Mizumo ou equivalente técnico</v>
      </c>
      <c r="D3195" s="541"/>
      <c r="E3195" s="111" t="str">
        <f>IF(A3195&amp;B3195="","",VLOOKUP(A3195&amp;B3195,INSUMOS!C:G,3,0))</f>
        <v>cj</v>
      </c>
      <c r="F3195" s="112">
        <v>1</v>
      </c>
      <c r="G3195" s="113">
        <f>IF(A3195&amp;B3195="","",VLOOKUP(A3195&amp;B3195,INSUMOS!C:G,4,0))</f>
        <v>48792.22</v>
      </c>
      <c r="H3195" s="114" t="str">
        <f>IF(K3195="MO",TRUNC(F3195*G3195,2),"")</f>
        <v/>
      </c>
      <c r="I3195" s="114">
        <f>IF(K3195="MT",TRUNC(F3195*G3195,2),"")</f>
        <v>48792.22</v>
      </c>
      <c r="J3195" s="115" t="str">
        <f>IF(K3195="EQ",TRUNC(F3195*G3195,2),"")</f>
        <v/>
      </c>
      <c r="K3195" s="102" t="str">
        <f>IF(A3195&amp;B3195="","",VLOOKUP(A3195&amp;B3195,INSUMOS!C:G,5,0))</f>
        <v>MT</v>
      </c>
    </row>
    <row r="3196" spans="1:17" ht="15" x14ac:dyDescent="0.25">
      <c r="A3196" s="109"/>
      <c r="B3196" s="116"/>
      <c r="C3196" s="518" t="str">
        <f>IF(A3196&amp;B3196="","",VLOOKUP(A3196&amp;B3196,INSUMOS!C:G,2,0))</f>
        <v/>
      </c>
      <c r="D3196" s="519"/>
      <c r="E3196" s="117" t="str">
        <f>IF(A3196&amp;B3196="","",VLOOKUP(A3196&amp;B3196,INSUMOS!C:G,3,0))</f>
        <v/>
      </c>
      <c r="F3196" s="118"/>
      <c r="G3196" s="113" t="str">
        <f>IF(A3196&amp;B3196="","",VLOOKUP(A3196&amp;B3196,INSUMOS!C:G,4,0))</f>
        <v/>
      </c>
      <c r="H3196" s="119" t="str">
        <f t="shared" ref="H3196" si="534">IF(K3196="MO",TRUNC(F3196*G3196,2),"")</f>
        <v/>
      </c>
      <c r="I3196" s="119" t="str">
        <f t="shared" ref="I3196" si="535">IF(K3196="MT",TRUNC(F3196*G3196,2),"")</f>
        <v/>
      </c>
      <c r="J3196" s="115" t="str">
        <f t="shared" ref="J3196" si="536">IF(K3196="EQ",TRUNC(F3196*G3196,2),"")</f>
        <v/>
      </c>
      <c r="K3196" s="102" t="str">
        <f>IF(A3196&amp;B3196="","",VLOOKUP(A3196&amp;B3196,INSUMOS!C:G,5,0))</f>
        <v/>
      </c>
    </row>
    <row r="3197" spans="1:17" ht="15" x14ac:dyDescent="0.25">
      <c r="A3197" s="109"/>
      <c r="B3197" s="116"/>
      <c r="C3197" s="518" t="str">
        <f>IF(A3197&amp;B3197="","",VLOOKUP(A3197&amp;B3197,INSUMOS!C:G,2,0))</f>
        <v/>
      </c>
      <c r="D3197" s="519"/>
      <c r="E3197" s="117" t="str">
        <f>IF(A3197&amp;B3197="","",VLOOKUP(A3197&amp;B3197,INSUMOS!C:G,3,0))</f>
        <v/>
      </c>
      <c r="F3197" s="118"/>
      <c r="G3197" s="113" t="str">
        <f>IF(A3197&amp;B3197="","",VLOOKUP(A3197&amp;B3197,INSUMOS!C:G,4,0))</f>
        <v/>
      </c>
      <c r="H3197" s="119" t="str">
        <f>IF(K3197="MO",TRUNC(F3197*G3197,2),"")</f>
        <v/>
      </c>
      <c r="I3197" s="119" t="str">
        <f>IF(K3197="MT",TRUNC(F3197*G3197,2),"")</f>
        <v/>
      </c>
      <c r="J3197" s="115" t="str">
        <f>IF(K3197="EQ",TRUNC(F3197*G3197,2),"")</f>
        <v/>
      </c>
      <c r="K3197" s="102" t="str">
        <f>IF(A3197&amp;B3197="","",VLOOKUP(A3197&amp;B3197,INSUMOS!C:G,5,0))</f>
        <v/>
      </c>
    </row>
    <row r="3198" spans="1:17" ht="15" x14ac:dyDescent="0.25">
      <c r="A3198" s="109"/>
      <c r="B3198" s="116"/>
      <c r="C3198" s="518" t="str">
        <f>IF(A3198&amp;B3198="","",VLOOKUP(A3198&amp;B3198,INSUMOS!C:G,2,0))</f>
        <v/>
      </c>
      <c r="D3198" s="519"/>
      <c r="E3198" s="117" t="str">
        <f>IF(A3198&amp;B3198="","",VLOOKUP(A3198&amp;B3198,INSUMOS!C:G,3,0))</f>
        <v/>
      </c>
      <c r="F3198" s="118"/>
      <c r="G3198" s="113" t="str">
        <f>IF(A3198&amp;B3198="","",VLOOKUP(A3198&amp;B3198,INSUMOS!C:G,4,0))</f>
        <v/>
      </c>
      <c r="H3198" s="119" t="str">
        <f>IF(K3198="MO",TRUNC(F3198*G3198,2),"")</f>
        <v/>
      </c>
      <c r="I3198" s="119" t="str">
        <f>IF(K3198="MT",TRUNC(F3198*G3198,2),"")</f>
        <v/>
      </c>
      <c r="J3198" s="115" t="str">
        <f>IF(K3198="EQ",TRUNC(F3198*G3198,2),"")</f>
        <v/>
      </c>
      <c r="K3198" s="102" t="str">
        <f>IF(A3198&amp;B3198="","",VLOOKUP(A3198&amp;B3198,INSUMOS!C:G,5,0))</f>
        <v/>
      </c>
    </row>
    <row r="3199" spans="1:17" ht="15" x14ac:dyDescent="0.25">
      <c r="A3199" s="109"/>
      <c r="B3199" s="116"/>
      <c r="C3199" s="518" t="str">
        <f>IF(A3199&amp;B3199="","",VLOOKUP(A3199&amp;B3199,INSUMOS!C:G,2,0))</f>
        <v/>
      </c>
      <c r="D3199" s="519"/>
      <c r="E3199" s="117" t="str">
        <f>IF(A3199&amp;B3199="","",VLOOKUP(A3199&amp;B3199,INSUMOS!C:G,3,0))</f>
        <v/>
      </c>
      <c r="F3199" s="118"/>
      <c r="G3199" s="113" t="str">
        <f>IF(A3199&amp;B3199="","",VLOOKUP(A3199&amp;B3199,INSUMOS!C:G,4,0))</f>
        <v/>
      </c>
      <c r="H3199" s="119" t="str">
        <f t="shared" ref="H3199:H3206" si="537">IF(K3199="MO",TRUNC(F3199*G3199,2),"")</f>
        <v/>
      </c>
      <c r="I3199" s="119" t="str">
        <f t="shared" ref="I3199:I3206" si="538">IF(K3199="MT",TRUNC(F3199*G3199,2),"")</f>
        <v/>
      </c>
      <c r="J3199" s="115" t="str">
        <f t="shared" ref="J3199:J3206" si="539">IF(K3199="EQ",TRUNC(F3199*G3199,2),"")</f>
        <v/>
      </c>
      <c r="K3199" s="102" t="str">
        <f>IF(A3199&amp;B3199="","",VLOOKUP(A3199&amp;B3199,INSUMOS!C:G,5,0))</f>
        <v/>
      </c>
    </row>
    <row r="3200" spans="1:17" ht="15" x14ac:dyDescent="0.25">
      <c r="A3200" s="109"/>
      <c r="B3200" s="116"/>
      <c r="C3200" s="518" t="str">
        <f>IF(A3200&amp;B3200="","",VLOOKUP(A3200&amp;B3200,INSUMOS!C:G,2,0))</f>
        <v/>
      </c>
      <c r="D3200" s="519"/>
      <c r="E3200" s="117" t="str">
        <f>IF(A3200&amp;B3200="","",VLOOKUP(A3200&amp;B3200,INSUMOS!C:G,3,0))</f>
        <v/>
      </c>
      <c r="F3200" s="118"/>
      <c r="G3200" s="113" t="str">
        <f>IF(A3200&amp;B3200="","",VLOOKUP(A3200&amp;B3200,INSUMOS!C:G,4,0))</f>
        <v/>
      </c>
      <c r="H3200" s="119" t="str">
        <f t="shared" si="537"/>
        <v/>
      </c>
      <c r="I3200" s="119" t="str">
        <f t="shared" si="538"/>
        <v/>
      </c>
      <c r="J3200" s="115" t="str">
        <f t="shared" si="539"/>
        <v/>
      </c>
      <c r="K3200" s="102" t="str">
        <f>IF(A3200&amp;B3200="","",VLOOKUP(A3200&amp;B3200,INSUMOS!C:G,5,0))</f>
        <v/>
      </c>
    </row>
    <row r="3201" spans="1:17" ht="15" x14ac:dyDescent="0.25">
      <c r="A3201" s="109"/>
      <c r="B3201" s="116"/>
      <c r="C3201" s="518" t="str">
        <f>IF(A3201&amp;B3201="","",VLOOKUP(A3201&amp;B3201,INSUMOS!C:G,2,0))</f>
        <v/>
      </c>
      <c r="D3201" s="519"/>
      <c r="E3201" s="117" t="str">
        <f>IF(A3201&amp;B3201="","",VLOOKUP(A3201&amp;B3201,INSUMOS!C:G,3,0))</f>
        <v/>
      </c>
      <c r="F3201" s="118"/>
      <c r="G3201" s="113" t="str">
        <f>IF(A3201&amp;B3201="","",VLOOKUP(A3201&amp;B3201,INSUMOS!C:G,4,0))</f>
        <v/>
      </c>
      <c r="H3201" s="119" t="str">
        <f t="shared" si="537"/>
        <v/>
      </c>
      <c r="I3201" s="119" t="str">
        <f t="shared" si="538"/>
        <v/>
      </c>
      <c r="J3201" s="115" t="str">
        <f t="shared" si="539"/>
        <v/>
      </c>
      <c r="K3201" s="102" t="str">
        <f>IF(A3201&amp;B3201="","",VLOOKUP(A3201&amp;B3201,INSUMOS!C:G,5,0))</f>
        <v/>
      </c>
    </row>
    <row r="3202" spans="1:17" ht="15" x14ac:dyDescent="0.25">
      <c r="A3202" s="109"/>
      <c r="B3202" s="116"/>
      <c r="C3202" s="518" t="str">
        <f>IF(A3202&amp;B3202="","",VLOOKUP(A3202&amp;B3202,INSUMOS!C:G,2,0))</f>
        <v/>
      </c>
      <c r="D3202" s="519"/>
      <c r="E3202" s="117" t="str">
        <f>IF(A3202&amp;B3202="","",VLOOKUP(A3202&amp;B3202,INSUMOS!C:G,3,0))</f>
        <v/>
      </c>
      <c r="F3202" s="118"/>
      <c r="G3202" s="113" t="str">
        <f>IF(A3202&amp;B3202="","",VLOOKUP(A3202&amp;B3202,INSUMOS!C:G,4,0))</f>
        <v/>
      </c>
      <c r="H3202" s="119" t="str">
        <f t="shared" si="537"/>
        <v/>
      </c>
      <c r="I3202" s="119" t="str">
        <f t="shared" si="538"/>
        <v/>
      </c>
      <c r="J3202" s="115" t="str">
        <f t="shared" si="539"/>
        <v/>
      </c>
      <c r="K3202" s="102" t="str">
        <f>IF(A3202&amp;B3202="","",VLOOKUP(A3202&amp;B3202,INSUMOS!C:G,5,0))</f>
        <v/>
      </c>
    </row>
    <row r="3203" spans="1:17" ht="15" x14ac:dyDescent="0.25">
      <c r="A3203" s="109"/>
      <c r="B3203" s="116"/>
      <c r="C3203" s="518" t="str">
        <f>IF(A3203&amp;B3203="","",VLOOKUP(A3203&amp;B3203,INSUMOS!C:G,2,0))</f>
        <v/>
      </c>
      <c r="D3203" s="519"/>
      <c r="E3203" s="117" t="str">
        <f>IF(A3203&amp;B3203="","",VLOOKUP(A3203&amp;B3203,INSUMOS!C:G,3,0))</f>
        <v/>
      </c>
      <c r="F3203" s="118"/>
      <c r="G3203" s="113" t="str">
        <f>IF(A3203&amp;B3203="","",VLOOKUP(A3203&amp;B3203,INSUMOS!C:G,4,0))</f>
        <v/>
      </c>
      <c r="H3203" s="119" t="str">
        <f t="shared" si="537"/>
        <v/>
      </c>
      <c r="I3203" s="119" t="str">
        <f t="shared" si="538"/>
        <v/>
      </c>
      <c r="J3203" s="115" t="str">
        <f t="shared" si="539"/>
        <v/>
      </c>
      <c r="K3203" s="102" t="str">
        <f>IF(A3203&amp;B3203="","",VLOOKUP(A3203&amp;B3203,INSUMOS!C:G,5,0))</f>
        <v/>
      </c>
    </row>
    <row r="3204" spans="1:17" ht="15" x14ac:dyDescent="0.25">
      <c r="A3204" s="120"/>
      <c r="B3204" s="121"/>
      <c r="C3204" s="518" t="str">
        <f>IF(A3204&amp;B3204="","",VLOOKUP(A3204&amp;B3204,INSUMOS!C:G,2,0))</f>
        <v/>
      </c>
      <c r="D3204" s="519"/>
      <c r="E3204" s="117" t="str">
        <f>IF(A3204&amp;B3204="","",VLOOKUP(A3204&amp;B3204,INSUMOS!C:G,3,0))</f>
        <v/>
      </c>
      <c r="F3204" s="118"/>
      <c r="G3204" s="122" t="str">
        <f>IF(A3204&amp;B3204="","",VLOOKUP(A3204&amp;B3204,INSUMOS!C:G,4,0))</f>
        <v/>
      </c>
      <c r="H3204" s="119" t="str">
        <f t="shared" si="537"/>
        <v/>
      </c>
      <c r="I3204" s="119" t="str">
        <f t="shared" si="538"/>
        <v/>
      </c>
      <c r="J3204" s="115" t="str">
        <f t="shared" si="539"/>
        <v/>
      </c>
      <c r="K3204" s="102" t="str">
        <f>IF(A3204&amp;B3204="","",VLOOKUP(A3204&amp;B3204,INSUMOS!C:G,5,0))</f>
        <v/>
      </c>
    </row>
    <row r="3205" spans="1:17" ht="15" x14ac:dyDescent="0.25">
      <c r="A3205" s="120"/>
      <c r="B3205" s="121"/>
      <c r="C3205" s="518" t="str">
        <f>IF(A3205&amp;B3205="","",VLOOKUP(A3205&amp;B3205,INSUMOS!C:G,2,0))</f>
        <v/>
      </c>
      <c r="D3205" s="519"/>
      <c r="E3205" s="117" t="str">
        <f>IF(A3205&amp;B3205="","",VLOOKUP(A3205&amp;B3205,INSUMOS!C:G,3,0))</f>
        <v/>
      </c>
      <c r="F3205" s="118"/>
      <c r="G3205" s="122" t="str">
        <f>IF(A3205&amp;B3205="","",VLOOKUP(A3205&amp;B3205,INSUMOS!C:G,4,0))</f>
        <v/>
      </c>
      <c r="H3205" s="119" t="str">
        <f t="shared" si="537"/>
        <v/>
      </c>
      <c r="I3205" s="119" t="str">
        <f t="shared" si="538"/>
        <v/>
      </c>
      <c r="J3205" s="115" t="str">
        <f t="shared" si="539"/>
        <v/>
      </c>
      <c r="K3205" s="102" t="str">
        <f>IF(A3205&amp;B3205="","",VLOOKUP(A3205&amp;B3205,INSUMOS!C:G,5,0))</f>
        <v/>
      </c>
    </row>
    <row r="3206" spans="1:17" ht="15" x14ac:dyDescent="0.25">
      <c r="A3206" s="120"/>
      <c r="B3206" s="121"/>
      <c r="C3206" s="518" t="str">
        <f>IF(A3206&amp;B3206="","",VLOOKUP(A3206&amp;B3206,INSUMOS!C:G,2,0))</f>
        <v/>
      </c>
      <c r="D3206" s="519"/>
      <c r="E3206" s="117" t="str">
        <f>IF(A3206&amp;B3206="","",VLOOKUP(A3206&amp;B3206,INSUMOS!C:G,3,0))</f>
        <v/>
      </c>
      <c r="F3206" s="118"/>
      <c r="G3206" s="122" t="str">
        <f>IF(A3206&amp;B3206="","",VLOOKUP(A3206&amp;B3206,INSUMOS!C:G,4,0))</f>
        <v/>
      </c>
      <c r="H3206" s="119" t="str">
        <f t="shared" si="537"/>
        <v/>
      </c>
      <c r="I3206" s="119" t="str">
        <f t="shared" si="538"/>
        <v/>
      </c>
      <c r="J3206" s="115" t="str">
        <f t="shared" si="539"/>
        <v/>
      </c>
      <c r="K3206" s="102" t="str">
        <f>IF(A3206&amp;B3206="","",VLOOKUP(A3206&amp;B3206,INSUMOS!C:G,5,0))</f>
        <v/>
      </c>
    </row>
    <row r="3207" spans="1:17" ht="15" x14ac:dyDescent="0.25">
      <c r="A3207" s="123" t="s">
        <v>4399</v>
      </c>
      <c r="B3207" s="520"/>
      <c r="C3207" s="520"/>
      <c r="D3207" s="520"/>
      <c r="E3207" s="520"/>
      <c r="F3207" s="521"/>
      <c r="G3207" s="124" t="s">
        <v>50</v>
      </c>
      <c r="H3207" s="125">
        <f>SUM(H3195:H3206)</f>
        <v>0</v>
      </c>
      <c r="I3207" s="125">
        <f>SUM(I3195:I3206)</f>
        <v>48792.22</v>
      </c>
      <c r="J3207" s="126">
        <f>SUM(J3195:J3206)</f>
        <v>0</v>
      </c>
    </row>
    <row r="3208" spans="1:17" ht="15" x14ac:dyDescent="0.25">
      <c r="A3208" s="127" t="s">
        <v>4400</v>
      </c>
      <c r="B3208" s="128"/>
      <c r="C3208" s="128"/>
      <c r="D3208" s="127" t="s">
        <v>51</v>
      </c>
      <c r="E3208" s="128"/>
      <c r="F3208" s="129"/>
      <c r="G3208" s="130" t="s">
        <v>55</v>
      </c>
      <c r="H3208" s="131" t="s">
        <v>52</v>
      </c>
      <c r="I3208" s="132"/>
      <c r="J3208" s="125">
        <f>SUM(H3207:J3207)</f>
        <v>48792.22</v>
      </c>
    </row>
    <row r="3209" spans="1:17" ht="15" x14ac:dyDescent="0.25">
      <c r="A3209" s="313" t="str">
        <f>$I$3</f>
        <v>Carlos Wieck</v>
      </c>
      <c r="B3209" s="133"/>
      <c r="C3209" s="133"/>
      <c r="D3209" s="134"/>
      <c r="E3209" s="133"/>
      <c r="F3209" s="135"/>
      <c r="G3209" s="522">
        <f>$J$5</f>
        <v>43040</v>
      </c>
      <c r="H3209" s="136" t="s">
        <v>53</v>
      </c>
      <c r="I3209" s="137"/>
      <c r="J3209" s="125">
        <f>TRUNC(I3209*J3208,2)</f>
        <v>0</v>
      </c>
    </row>
    <row r="3210" spans="1:17" ht="15" x14ac:dyDescent="0.25">
      <c r="A3210" s="138"/>
      <c r="B3210" s="139"/>
      <c r="C3210" s="139"/>
      <c r="D3210" s="138"/>
      <c r="E3210" s="139"/>
      <c r="F3210" s="140"/>
      <c r="G3210" s="523"/>
      <c r="H3210" s="141" t="s">
        <v>54</v>
      </c>
      <c r="I3210" s="142"/>
      <c r="J3210" s="143">
        <f>J3209+J3208</f>
        <v>48792.22</v>
      </c>
      <c r="L3210" s="102" t="str">
        <f>A3192</f>
        <v>COMPOSIÇÃO</v>
      </c>
      <c r="M3210" s="144" t="str">
        <f>B3192</f>
        <v>FF-140</v>
      </c>
      <c r="N3210" s="102" t="str">
        <f>L3210&amp;M3210</f>
        <v>COMPOSIÇÃOFF-140</v>
      </c>
      <c r="O3210" s="103" t="str">
        <f>D3191</f>
        <v>Sistema de Tratamento de Esgoto ref. MF-3200 da Mizumo ou equivalente técnico</v>
      </c>
      <c r="P3210" s="145" t="str">
        <f>J3192</f>
        <v>un</v>
      </c>
      <c r="Q3210" s="145">
        <f>J3210</f>
        <v>48792.22</v>
      </c>
    </row>
  </sheetData>
  <mergeCells count="3506">
    <mergeCell ref="C3196:D3196"/>
    <mergeCell ref="C3197:D3197"/>
    <mergeCell ref="C3198:D3198"/>
    <mergeCell ref="C3199:D3199"/>
    <mergeCell ref="C3200:D3200"/>
    <mergeCell ref="C3201:D3201"/>
    <mergeCell ref="C3202:D3202"/>
    <mergeCell ref="C3203:D3203"/>
    <mergeCell ref="C3204:D3204"/>
    <mergeCell ref="C3205:D3205"/>
    <mergeCell ref="C3206:D3206"/>
    <mergeCell ref="B3207:F3207"/>
    <mergeCell ref="G3209:G3210"/>
    <mergeCell ref="C3181:D3181"/>
    <mergeCell ref="C3182:D3182"/>
    <mergeCell ref="C3183:D3183"/>
    <mergeCell ref="C3184:D3184"/>
    <mergeCell ref="C3185:D3185"/>
    <mergeCell ref="C3186:D3186"/>
    <mergeCell ref="B3187:F3187"/>
    <mergeCell ref="G3189:G3190"/>
    <mergeCell ref="A3191:B3191"/>
    <mergeCell ref="D3191:I3192"/>
    <mergeCell ref="A3193:A3194"/>
    <mergeCell ref="B3193:B3194"/>
    <mergeCell ref="C3193:D3194"/>
    <mergeCell ref="E3193:E3194"/>
    <mergeCell ref="F3193:F3194"/>
    <mergeCell ref="G3193:G3194"/>
    <mergeCell ref="C3195:D3195"/>
    <mergeCell ref="C3166:D3166"/>
    <mergeCell ref="B3167:F3167"/>
    <mergeCell ref="G3169:G3170"/>
    <mergeCell ref="A3171:B3171"/>
    <mergeCell ref="D3171:I3172"/>
    <mergeCell ref="A3173:A3174"/>
    <mergeCell ref="B3173:B3174"/>
    <mergeCell ref="C3173:D3174"/>
    <mergeCell ref="E3173:E3174"/>
    <mergeCell ref="F3173:F3174"/>
    <mergeCell ref="G3173:G3174"/>
    <mergeCell ref="C3175:D3175"/>
    <mergeCell ref="C3176:D3176"/>
    <mergeCell ref="C3177:D3177"/>
    <mergeCell ref="C3178:D3178"/>
    <mergeCell ref="C3179:D3179"/>
    <mergeCell ref="C3180:D3180"/>
    <mergeCell ref="A3153:A3154"/>
    <mergeCell ref="B3153:B3154"/>
    <mergeCell ref="C3153:D3154"/>
    <mergeCell ref="E3153:E3154"/>
    <mergeCell ref="F3153:F3154"/>
    <mergeCell ref="G3153:G3154"/>
    <mergeCell ref="C3155:D3155"/>
    <mergeCell ref="C3156:D3156"/>
    <mergeCell ref="C3157:D3157"/>
    <mergeCell ref="C3158:D3158"/>
    <mergeCell ref="C3159:D3159"/>
    <mergeCell ref="C3160:D3160"/>
    <mergeCell ref="C3161:D3161"/>
    <mergeCell ref="C3162:D3162"/>
    <mergeCell ref="C3163:D3163"/>
    <mergeCell ref="C3164:D3164"/>
    <mergeCell ref="C3165:D3165"/>
    <mergeCell ref="C164:D164"/>
    <mergeCell ref="C165:D165"/>
    <mergeCell ref="C166:D166"/>
    <mergeCell ref="C167:D167"/>
    <mergeCell ref="C172:D172"/>
    <mergeCell ref="C173:D173"/>
    <mergeCell ref="C174:D174"/>
    <mergeCell ref="C176:D176"/>
    <mergeCell ref="B177:F177"/>
    <mergeCell ref="G179:G180"/>
    <mergeCell ref="C168:D168"/>
    <mergeCell ref="C169:D169"/>
    <mergeCell ref="C170:D170"/>
    <mergeCell ref="C171:D171"/>
    <mergeCell ref="C175:D175"/>
    <mergeCell ref="A3151:B3151"/>
    <mergeCell ref="D3151:I3152"/>
    <mergeCell ref="C3144:D3144"/>
    <mergeCell ref="C3145:D3145"/>
    <mergeCell ref="C3146:D3146"/>
    <mergeCell ref="B3147:F3147"/>
    <mergeCell ref="G3149:G3150"/>
    <mergeCell ref="A3131:B3131"/>
    <mergeCell ref="D3131:I3132"/>
    <mergeCell ref="A3133:A3134"/>
    <mergeCell ref="B3133:B3134"/>
    <mergeCell ref="C3133:D3134"/>
    <mergeCell ref="E3133:E3134"/>
    <mergeCell ref="F3133:F3134"/>
    <mergeCell ref="G3133:G3134"/>
    <mergeCell ref="C3135:D3135"/>
    <mergeCell ref="C3136:D3136"/>
    <mergeCell ref="C128:D128"/>
    <mergeCell ref="C129:D129"/>
    <mergeCell ref="B130:F130"/>
    <mergeCell ref="G132:G133"/>
    <mergeCell ref="A155:B155"/>
    <mergeCell ref="D155:I156"/>
    <mergeCell ref="A157:A158"/>
    <mergeCell ref="B157:B158"/>
    <mergeCell ref="C157:D158"/>
    <mergeCell ref="E157:E158"/>
    <mergeCell ref="F157:F158"/>
    <mergeCell ref="G157:G158"/>
    <mergeCell ref="C159:D159"/>
    <mergeCell ref="C160:D160"/>
    <mergeCell ref="C161:D161"/>
    <mergeCell ref="C162:D162"/>
    <mergeCell ref="C163:D163"/>
    <mergeCell ref="C145:D145"/>
    <mergeCell ref="C42:D42"/>
    <mergeCell ref="C43:D43"/>
    <mergeCell ref="C44:D44"/>
    <mergeCell ref="C45:D45"/>
    <mergeCell ref="B46:F46"/>
    <mergeCell ref="G48:G49"/>
    <mergeCell ref="A113:B113"/>
    <mergeCell ref="D113:I114"/>
    <mergeCell ref="A115:A116"/>
    <mergeCell ref="B115:B116"/>
    <mergeCell ref="C115:D116"/>
    <mergeCell ref="E115:E116"/>
    <mergeCell ref="F115:F116"/>
    <mergeCell ref="G115:G116"/>
    <mergeCell ref="C117:D117"/>
    <mergeCell ref="C118:D118"/>
    <mergeCell ref="C119:D119"/>
    <mergeCell ref="C84:D84"/>
    <mergeCell ref="C85:D85"/>
    <mergeCell ref="C86:D86"/>
    <mergeCell ref="C87:D87"/>
    <mergeCell ref="B88:F88"/>
    <mergeCell ref="G90:G91"/>
    <mergeCell ref="A50:B50"/>
    <mergeCell ref="D50:I51"/>
    <mergeCell ref="A52:A53"/>
    <mergeCell ref="B52:B53"/>
    <mergeCell ref="C52:D53"/>
    <mergeCell ref="E52:E53"/>
    <mergeCell ref="F52:F53"/>
    <mergeCell ref="G52:G53"/>
    <mergeCell ref="C54:D54"/>
    <mergeCell ref="A29:B29"/>
    <mergeCell ref="D29:I30"/>
    <mergeCell ref="A31:A32"/>
    <mergeCell ref="B31:B32"/>
    <mergeCell ref="C31:D32"/>
    <mergeCell ref="E31:E32"/>
    <mergeCell ref="F31:F32"/>
    <mergeCell ref="G31:G32"/>
    <mergeCell ref="C33:D33"/>
    <mergeCell ref="C34:D34"/>
    <mergeCell ref="C35:D35"/>
    <mergeCell ref="C36:D36"/>
    <mergeCell ref="C37:D37"/>
    <mergeCell ref="C38:D38"/>
    <mergeCell ref="C39:D39"/>
    <mergeCell ref="C40:D40"/>
    <mergeCell ref="C41:D41"/>
    <mergeCell ref="C55:D55"/>
    <mergeCell ref="C56:D56"/>
    <mergeCell ref="C57:D57"/>
    <mergeCell ref="C58:D58"/>
    <mergeCell ref="C59:D59"/>
    <mergeCell ref="C60:D60"/>
    <mergeCell ref="C61:D61"/>
    <mergeCell ref="C62:D62"/>
    <mergeCell ref="C63:D63"/>
    <mergeCell ref="C64:D64"/>
    <mergeCell ref="C65:D65"/>
    <mergeCell ref="C66:D66"/>
    <mergeCell ref="B67:F67"/>
    <mergeCell ref="G69:G70"/>
    <mergeCell ref="A71:B71"/>
    <mergeCell ref="D71:I72"/>
    <mergeCell ref="A73:A74"/>
    <mergeCell ref="B73:B74"/>
    <mergeCell ref="C73:D74"/>
    <mergeCell ref="E73:E74"/>
    <mergeCell ref="F73:F74"/>
    <mergeCell ref="G73:G74"/>
    <mergeCell ref="C75:D75"/>
    <mergeCell ref="C76:D76"/>
    <mergeCell ref="C77:D77"/>
    <mergeCell ref="C78:D78"/>
    <mergeCell ref="C79:D79"/>
    <mergeCell ref="C80:D80"/>
    <mergeCell ref="C81:D81"/>
    <mergeCell ref="C82:D82"/>
    <mergeCell ref="C83:D83"/>
    <mergeCell ref="C146:D146"/>
    <mergeCell ref="C147:D147"/>
    <mergeCell ref="C148:D148"/>
    <mergeCell ref="C149:D149"/>
    <mergeCell ref="C150:D150"/>
    <mergeCell ref="B151:F151"/>
    <mergeCell ref="G153:G154"/>
    <mergeCell ref="G111:G112"/>
    <mergeCell ref="A134:B134"/>
    <mergeCell ref="D134:I135"/>
    <mergeCell ref="A136:A137"/>
    <mergeCell ref="B136:B137"/>
    <mergeCell ref="C136:D137"/>
    <mergeCell ref="E136:E137"/>
    <mergeCell ref="F136:F137"/>
    <mergeCell ref="G136:G137"/>
    <mergeCell ref="C138:D138"/>
    <mergeCell ref="C139:D139"/>
    <mergeCell ref="C140:D140"/>
    <mergeCell ref="C141:D141"/>
    <mergeCell ref="C142:D142"/>
    <mergeCell ref="C143:D143"/>
    <mergeCell ref="C144:D144"/>
    <mergeCell ref="C120:D120"/>
    <mergeCell ref="C121:D121"/>
    <mergeCell ref="C122:D122"/>
    <mergeCell ref="C123:D123"/>
    <mergeCell ref="C124:D124"/>
    <mergeCell ref="C125:D125"/>
    <mergeCell ref="C126:D126"/>
    <mergeCell ref="C127:D127"/>
    <mergeCell ref="A92:B92"/>
    <mergeCell ref="D92:I93"/>
    <mergeCell ref="A94:A95"/>
    <mergeCell ref="B94:B95"/>
    <mergeCell ref="C94:D95"/>
    <mergeCell ref="E94:E95"/>
    <mergeCell ref="F94:F95"/>
    <mergeCell ref="G94:G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B109:F109"/>
    <mergeCell ref="C3137:D3137"/>
    <mergeCell ref="C3138:D3138"/>
    <mergeCell ref="C3139:D3139"/>
    <mergeCell ref="C3140:D3140"/>
    <mergeCell ref="C3141:D3141"/>
    <mergeCell ref="C3142:D3142"/>
    <mergeCell ref="C3143:D3143"/>
    <mergeCell ref="C3105:D3105"/>
    <mergeCell ref="C3106:D3106"/>
    <mergeCell ref="B3107:F3107"/>
    <mergeCell ref="G3109:G3110"/>
    <mergeCell ref="A3092:A3093"/>
    <mergeCell ref="B3092:B3093"/>
    <mergeCell ref="C3092:D3093"/>
    <mergeCell ref="E3092:E3093"/>
    <mergeCell ref="F3092:F3093"/>
    <mergeCell ref="G3092:G3093"/>
    <mergeCell ref="C3094:D3094"/>
    <mergeCell ref="C3095:D3095"/>
    <mergeCell ref="C3096:D3096"/>
    <mergeCell ref="C3097:D3097"/>
    <mergeCell ref="C3098:D3098"/>
    <mergeCell ref="C3099:D3099"/>
    <mergeCell ref="C3100:D3100"/>
    <mergeCell ref="C3101:D3101"/>
    <mergeCell ref="C3102:D3102"/>
    <mergeCell ref="C3103:D3103"/>
    <mergeCell ref="C3104:D3104"/>
    <mergeCell ref="C3119:D3119"/>
    <mergeCell ref="C3120:D3120"/>
    <mergeCell ref="C3121:D3121"/>
    <mergeCell ref="C3122:D3122"/>
    <mergeCell ref="C3073:D3073"/>
    <mergeCell ref="C3074:D3074"/>
    <mergeCell ref="C3075:D3075"/>
    <mergeCell ref="C3076:D3076"/>
    <mergeCell ref="C3077:D3077"/>
    <mergeCell ref="C3078:D3078"/>
    <mergeCell ref="C3079:D3079"/>
    <mergeCell ref="C3080:D3080"/>
    <mergeCell ref="C3081:D3081"/>
    <mergeCell ref="C3082:D3082"/>
    <mergeCell ref="C3083:D3083"/>
    <mergeCell ref="C3084:D3084"/>
    <mergeCell ref="C3085:D3085"/>
    <mergeCell ref="B3086:F3086"/>
    <mergeCell ref="G3088:G3089"/>
    <mergeCell ref="A3090:B3090"/>
    <mergeCell ref="D3090:I3091"/>
    <mergeCell ref="C3055:D3055"/>
    <mergeCell ref="C3056:D3056"/>
    <mergeCell ref="C3057:D3057"/>
    <mergeCell ref="C3058:D3058"/>
    <mergeCell ref="C3059:D3059"/>
    <mergeCell ref="C3060:D3060"/>
    <mergeCell ref="C3061:D3061"/>
    <mergeCell ref="C3062:D3062"/>
    <mergeCell ref="C3063:D3063"/>
    <mergeCell ref="C3064:D3064"/>
    <mergeCell ref="B3065:F3065"/>
    <mergeCell ref="G3067:G3068"/>
    <mergeCell ref="A3069:B3069"/>
    <mergeCell ref="D3069:I3070"/>
    <mergeCell ref="A3071:A3072"/>
    <mergeCell ref="B3071:B3072"/>
    <mergeCell ref="C3071:D3072"/>
    <mergeCell ref="E3071:E3072"/>
    <mergeCell ref="F3071:F3072"/>
    <mergeCell ref="G3071:G3072"/>
    <mergeCell ref="C3040:D3040"/>
    <mergeCell ref="C3041:D3041"/>
    <mergeCell ref="C3042:D3042"/>
    <mergeCell ref="C3043:D3043"/>
    <mergeCell ref="B3044:F3044"/>
    <mergeCell ref="G3046:G3047"/>
    <mergeCell ref="A3048:B3048"/>
    <mergeCell ref="D3048:I3049"/>
    <mergeCell ref="A3050:A3051"/>
    <mergeCell ref="B3050:B3051"/>
    <mergeCell ref="C3050:D3051"/>
    <mergeCell ref="E3050:E3051"/>
    <mergeCell ref="F3050:F3051"/>
    <mergeCell ref="G3050:G3051"/>
    <mergeCell ref="C3052:D3052"/>
    <mergeCell ref="C3053:D3053"/>
    <mergeCell ref="C3054:D3054"/>
    <mergeCell ref="A3027:B3027"/>
    <mergeCell ref="D3027:I3028"/>
    <mergeCell ref="A3029:A3030"/>
    <mergeCell ref="B3029:B3030"/>
    <mergeCell ref="C3029:D3030"/>
    <mergeCell ref="E3029:E3030"/>
    <mergeCell ref="F3029:F3030"/>
    <mergeCell ref="G3029:G3030"/>
    <mergeCell ref="C3031:D3031"/>
    <mergeCell ref="C3032:D3032"/>
    <mergeCell ref="C3033:D3033"/>
    <mergeCell ref="C3034:D3034"/>
    <mergeCell ref="C3035:D3035"/>
    <mergeCell ref="C3036:D3036"/>
    <mergeCell ref="C3037:D3037"/>
    <mergeCell ref="C3038:D3038"/>
    <mergeCell ref="C3039:D3039"/>
    <mergeCell ref="C302:D302"/>
    <mergeCell ref="C303:D303"/>
    <mergeCell ref="C304:D304"/>
    <mergeCell ref="C305:D305"/>
    <mergeCell ref="C307:D307"/>
    <mergeCell ref="B308:F308"/>
    <mergeCell ref="G310:G311"/>
    <mergeCell ref="C306:D306"/>
    <mergeCell ref="G288:G289"/>
    <mergeCell ref="A290:B290"/>
    <mergeCell ref="D290:I291"/>
    <mergeCell ref="A292:A293"/>
    <mergeCell ref="B292:B293"/>
    <mergeCell ref="C292:D293"/>
    <mergeCell ref="E292:E293"/>
    <mergeCell ref="F292:F293"/>
    <mergeCell ref="G292:G293"/>
    <mergeCell ref="C294:D294"/>
    <mergeCell ref="C295:D295"/>
    <mergeCell ref="C296:D296"/>
    <mergeCell ref="C297:D297"/>
    <mergeCell ref="C298:D298"/>
    <mergeCell ref="C299:D299"/>
    <mergeCell ref="C300:D300"/>
    <mergeCell ref="C301:D301"/>
    <mergeCell ref="C2697:D2697"/>
    <mergeCell ref="C2698:D2698"/>
    <mergeCell ref="C2699:D2699"/>
    <mergeCell ref="C2700:D2700"/>
    <mergeCell ref="C2701:D2701"/>
    <mergeCell ref="C2702:D2702"/>
    <mergeCell ref="C2703:D2703"/>
    <mergeCell ref="C2704:D2704"/>
    <mergeCell ref="C2705:D2705"/>
    <mergeCell ref="C2706:D2706"/>
    <mergeCell ref="C2707:D2707"/>
    <mergeCell ref="B2708:F2708"/>
    <mergeCell ref="G2710:G2711"/>
    <mergeCell ref="A266:B266"/>
    <mergeCell ref="D266:I267"/>
    <mergeCell ref="A268:A269"/>
    <mergeCell ref="B268:B269"/>
    <mergeCell ref="C268:D269"/>
    <mergeCell ref="E268:E269"/>
    <mergeCell ref="F268:F269"/>
    <mergeCell ref="G268:G269"/>
    <mergeCell ref="C270:D270"/>
    <mergeCell ref="C271:D271"/>
    <mergeCell ref="C272:D272"/>
    <mergeCell ref="C273:D273"/>
    <mergeCell ref="C274:D274"/>
    <mergeCell ref="C275:D275"/>
    <mergeCell ref="C276:D276"/>
    <mergeCell ref="C277:D277"/>
    <mergeCell ref="C278:D278"/>
    <mergeCell ref="C279:D279"/>
    <mergeCell ref="C280:D280"/>
    <mergeCell ref="A2691:B2691"/>
    <mergeCell ref="D2691:I2692"/>
    <mergeCell ref="A2693:A2694"/>
    <mergeCell ref="B2693:B2694"/>
    <mergeCell ref="C2693:D2694"/>
    <mergeCell ref="E2693:E2694"/>
    <mergeCell ref="F2693:F2694"/>
    <mergeCell ref="G2693:G2694"/>
    <mergeCell ref="C2695:D2695"/>
    <mergeCell ref="C2696:D2696"/>
    <mergeCell ref="C259:D259"/>
    <mergeCell ref="C1708:D1709"/>
    <mergeCell ref="E1708:E1709"/>
    <mergeCell ref="F1708:F1709"/>
    <mergeCell ref="G1708:G1709"/>
    <mergeCell ref="C1690:D1690"/>
    <mergeCell ref="C1691:D1691"/>
    <mergeCell ref="C1692:D1692"/>
    <mergeCell ref="C1681:D1681"/>
    <mergeCell ref="B1682:F1682"/>
    <mergeCell ref="G1684:G1685"/>
    <mergeCell ref="A1686:B1686"/>
    <mergeCell ref="D1686:I1687"/>
    <mergeCell ref="A1688:A1689"/>
    <mergeCell ref="B1688:B1689"/>
    <mergeCell ref="C1688:D1689"/>
    <mergeCell ref="E1688:E1689"/>
    <mergeCell ref="F1688:F1689"/>
    <mergeCell ref="G1688:G1689"/>
    <mergeCell ref="C1670:D1670"/>
    <mergeCell ref="C1671:D1671"/>
    <mergeCell ref="C1672:D1672"/>
    <mergeCell ref="A245:B245"/>
    <mergeCell ref="D245:I246"/>
    <mergeCell ref="A247:A248"/>
    <mergeCell ref="B247:B248"/>
    <mergeCell ref="C247:D248"/>
    <mergeCell ref="E247:E248"/>
    <mergeCell ref="F247:F248"/>
    <mergeCell ref="G247:G248"/>
    <mergeCell ref="C249:D249"/>
    <mergeCell ref="C250:D250"/>
    <mergeCell ref="C251:D251"/>
    <mergeCell ref="C252:D252"/>
    <mergeCell ref="C253:D253"/>
    <mergeCell ref="C254:D254"/>
    <mergeCell ref="C255:D255"/>
    <mergeCell ref="C256:D256"/>
    <mergeCell ref="C257:D257"/>
    <mergeCell ref="C258:D258"/>
    <mergeCell ref="C1719:D1719"/>
    <mergeCell ref="C1720:D1720"/>
    <mergeCell ref="C1721:D1721"/>
    <mergeCell ref="B1722:F1722"/>
    <mergeCell ref="G1724:G1725"/>
    <mergeCell ref="C1710:D1710"/>
    <mergeCell ref="C1711:D1711"/>
    <mergeCell ref="C1712:D1712"/>
    <mergeCell ref="C1713:D1713"/>
    <mergeCell ref="C1714:D1714"/>
    <mergeCell ref="C1715:D1715"/>
    <mergeCell ref="C1716:D1716"/>
    <mergeCell ref="C1717:D1717"/>
    <mergeCell ref="C1718:D1718"/>
    <mergeCell ref="C1699:D1699"/>
    <mergeCell ref="C1700:D1700"/>
    <mergeCell ref="C1701:D1701"/>
    <mergeCell ref="B1702:F1702"/>
    <mergeCell ref="G1704:G1705"/>
    <mergeCell ref="A1706:B1706"/>
    <mergeCell ref="D1706:I1707"/>
    <mergeCell ref="A1708:A1709"/>
    <mergeCell ref="B1708:B1709"/>
    <mergeCell ref="C1693:D1693"/>
    <mergeCell ref="C1694:D1694"/>
    <mergeCell ref="C1695:D1695"/>
    <mergeCell ref="C1696:D1696"/>
    <mergeCell ref="C1697:D1697"/>
    <mergeCell ref="C1698:D1698"/>
    <mergeCell ref="C1679:D1679"/>
    <mergeCell ref="C1680:D1680"/>
    <mergeCell ref="C1673:D1673"/>
    <mergeCell ref="C1674:D1674"/>
    <mergeCell ref="C1675:D1675"/>
    <mergeCell ref="C1676:D1676"/>
    <mergeCell ref="C1677:D1677"/>
    <mergeCell ref="C1678:D1678"/>
    <mergeCell ref="C1659:D1659"/>
    <mergeCell ref="C1660:D1660"/>
    <mergeCell ref="C1661:D1661"/>
    <mergeCell ref="B1662:F1662"/>
    <mergeCell ref="G1664:G1665"/>
    <mergeCell ref="A1666:B1666"/>
    <mergeCell ref="D1666:I1667"/>
    <mergeCell ref="A1668:A1669"/>
    <mergeCell ref="B1668:B1669"/>
    <mergeCell ref="C1668:D1669"/>
    <mergeCell ref="E1668:E1669"/>
    <mergeCell ref="F1668:F1669"/>
    <mergeCell ref="G1668:G1669"/>
    <mergeCell ref="C1650:D1650"/>
    <mergeCell ref="C1651:D1651"/>
    <mergeCell ref="C1652:D1652"/>
    <mergeCell ref="C1653:D1653"/>
    <mergeCell ref="C1654:D1654"/>
    <mergeCell ref="C1655:D1655"/>
    <mergeCell ref="C1656:D1656"/>
    <mergeCell ref="C1657:D1657"/>
    <mergeCell ref="C1658:D1658"/>
    <mergeCell ref="C1639:D1639"/>
    <mergeCell ref="C1640:D1640"/>
    <mergeCell ref="C1641:D1641"/>
    <mergeCell ref="B1642:F1642"/>
    <mergeCell ref="G1644:G1645"/>
    <mergeCell ref="A1646:B1646"/>
    <mergeCell ref="D1646:I1647"/>
    <mergeCell ref="A1648:A1649"/>
    <mergeCell ref="B1648:B1649"/>
    <mergeCell ref="C1648:D1649"/>
    <mergeCell ref="E1648:E1649"/>
    <mergeCell ref="F1648:F1649"/>
    <mergeCell ref="G1648:G1649"/>
    <mergeCell ref="C1630:D1630"/>
    <mergeCell ref="C1631:D1631"/>
    <mergeCell ref="C1632:D1632"/>
    <mergeCell ref="C1633:D1633"/>
    <mergeCell ref="C1634:D1634"/>
    <mergeCell ref="C1635:D1635"/>
    <mergeCell ref="C1636:D1636"/>
    <mergeCell ref="C1637:D1637"/>
    <mergeCell ref="C1638:D1638"/>
    <mergeCell ref="C1619:D1619"/>
    <mergeCell ref="C1620:D1620"/>
    <mergeCell ref="C1621:D1621"/>
    <mergeCell ref="B1622:F1622"/>
    <mergeCell ref="G1624:G1625"/>
    <mergeCell ref="A1626:B1626"/>
    <mergeCell ref="D1626:I1627"/>
    <mergeCell ref="A1628:A1629"/>
    <mergeCell ref="B1628:B1629"/>
    <mergeCell ref="C1628:D1629"/>
    <mergeCell ref="E1628:E1629"/>
    <mergeCell ref="F1628:F1629"/>
    <mergeCell ref="G1628:G1629"/>
    <mergeCell ref="C1610:D1610"/>
    <mergeCell ref="C1611:D1611"/>
    <mergeCell ref="C1612:D1612"/>
    <mergeCell ref="C1613:D1613"/>
    <mergeCell ref="C1614:D1614"/>
    <mergeCell ref="C1615:D1615"/>
    <mergeCell ref="C1616:D1616"/>
    <mergeCell ref="C1617:D1617"/>
    <mergeCell ref="C1618:D1618"/>
    <mergeCell ref="C1599:D1599"/>
    <mergeCell ref="C1600:D1600"/>
    <mergeCell ref="C1601:D1601"/>
    <mergeCell ref="B1602:F1602"/>
    <mergeCell ref="G1604:G1605"/>
    <mergeCell ref="A1606:B1606"/>
    <mergeCell ref="D1606:I1607"/>
    <mergeCell ref="A1608:A1609"/>
    <mergeCell ref="B1608:B1609"/>
    <mergeCell ref="C1608:D1609"/>
    <mergeCell ref="E1608:E1609"/>
    <mergeCell ref="F1608:F1609"/>
    <mergeCell ref="G1608:G1609"/>
    <mergeCell ref="C1590:D1590"/>
    <mergeCell ref="C1591:D1591"/>
    <mergeCell ref="C1592:D1592"/>
    <mergeCell ref="C1593:D1593"/>
    <mergeCell ref="C1594:D1594"/>
    <mergeCell ref="C1595:D1595"/>
    <mergeCell ref="C1596:D1596"/>
    <mergeCell ref="C1597:D1597"/>
    <mergeCell ref="C1598:D1598"/>
    <mergeCell ref="C1579:D1579"/>
    <mergeCell ref="C1580:D1580"/>
    <mergeCell ref="C1581:D1581"/>
    <mergeCell ref="B1582:F1582"/>
    <mergeCell ref="G1584:G1585"/>
    <mergeCell ref="A1586:B1586"/>
    <mergeCell ref="D1586:I1587"/>
    <mergeCell ref="A1588:A1589"/>
    <mergeCell ref="B1588:B1589"/>
    <mergeCell ref="C1588:D1589"/>
    <mergeCell ref="E1588:E1589"/>
    <mergeCell ref="F1588:F1589"/>
    <mergeCell ref="G1588:G1589"/>
    <mergeCell ref="C1570:D1570"/>
    <mergeCell ref="C1571:D1571"/>
    <mergeCell ref="C1572:D1572"/>
    <mergeCell ref="C1573:D1573"/>
    <mergeCell ref="C1574:D1574"/>
    <mergeCell ref="C1575:D1575"/>
    <mergeCell ref="C1576:D1576"/>
    <mergeCell ref="C1577:D1577"/>
    <mergeCell ref="C1578:D1578"/>
    <mergeCell ref="C1559:D1559"/>
    <mergeCell ref="C1560:D1560"/>
    <mergeCell ref="C1561:D1561"/>
    <mergeCell ref="B1562:F1562"/>
    <mergeCell ref="G1564:G1565"/>
    <mergeCell ref="A1566:B1566"/>
    <mergeCell ref="D1566:I1567"/>
    <mergeCell ref="A1568:A1569"/>
    <mergeCell ref="B1568:B1569"/>
    <mergeCell ref="C1568:D1569"/>
    <mergeCell ref="E1568:E1569"/>
    <mergeCell ref="F1568:F1569"/>
    <mergeCell ref="G1568:G1569"/>
    <mergeCell ref="C1550:D1550"/>
    <mergeCell ref="C1551:D1551"/>
    <mergeCell ref="C1552:D1552"/>
    <mergeCell ref="C1553:D1553"/>
    <mergeCell ref="C1554:D1554"/>
    <mergeCell ref="C1555:D1555"/>
    <mergeCell ref="C1556:D1556"/>
    <mergeCell ref="C1557:D1557"/>
    <mergeCell ref="C1558:D1558"/>
    <mergeCell ref="C1539:D1539"/>
    <mergeCell ref="C1540:D1540"/>
    <mergeCell ref="C1541:D1541"/>
    <mergeCell ref="B1542:F1542"/>
    <mergeCell ref="G1544:G1545"/>
    <mergeCell ref="A1546:B1546"/>
    <mergeCell ref="D1546:I1547"/>
    <mergeCell ref="A1548:A1549"/>
    <mergeCell ref="B1548:B1549"/>
    <mergeCell ref="C1548:D1549"/>
    <mergeCell ref="E1548:E1549"/>
    <mergeCell ref="F1548:F1549"/>
    <mergeCell ref="G1548:G1549"/>
    <mergeCell ref="C1530:D1530"/>
    <mergeCell ref="C1531:D1531"/>
    <mergeCell ref="C1532:D1532"/>
    <mergeCell ref="C1533:D1533"/>
    <mergeCell ref="C1534:D1534"/>
    <mergeCell ref="C1535:D1535"/>
    <mergeCell ref="C1536:D1536"/>
    <mergeCell ref="C1537:D1537"/>
    <mergeCell ref="C1538:D1538"/>
    <mergeCell ref="C1519:D1519"/>
    <mergeCell ref="C1520:D1520"/>
    <mergeCell ref="C1521:D1521"/>
    <mergeCell ref="B1522:F1522"/>
    <mergeCell ref="G1524:G1525"/>
    <mergeCell ref="A1526:B1526"/>
    <mergeCell ref="D1526:I1527"/>
    <mergeCell ref="A1528:A1529"/>
    <mergeCell ref="B1528:B1529"/>
    <mergeCell ref="C1528:D1529"/>
    <mergeCell ref="E1528:E1529"/>
    <mergeCell ref="F1528:F1529"/>
    <mergeCell ref="G1528:G1529"/>
    <mergeCell ref="C1510:D1510"/>
    <mergeCell ref="C1511:D1511"/>
    <mergeCell ref="C1512:D1512"/>
    <mergeCell ref="C1513:D1513"/>
    <mergeCell ref="C1514:D1514"/>
    <mergeCell ref="C1515:D1515"/>
    <mergeCell ref="C1516:D1516"/>
    <mergeCell ref="C1517:D1517"/>
    <mergeCell ref="C1518:D1518"/>
    <mergeCell ref="A1506:B1506"/>
    <mergeCell ref="D1506:I1507"/>
    <mergeCell ref="A1508:A1509"/>
    <mergeCell ref="B1508:B1509"/>
    <mergeCell ref="C1508:D1509"/>
    <mergeCell ref="E1508:E1509"/>
    <mergeCell ref="F1508:F1509"/>
    <mergeCell ref="G1508:G1509"/>
    <mergeCell ref="C260:D260"/>
    <mergeCell ref="C261:D261"/>
    <mergeCell ref="B262:F262"/>
    <mergeCell ref="G264:G265"/>
    <mergeCell ref="C1449:D1449"/>
    <mergeCell ref="C1450:D1450"/>
    <mergeCell ref="C1451:D1451"/>
    <mergeCell ref="C1452:D1452"/>
    <mergeCell ref="C1453:D1453"/>
    <mergeCell ref="C1454:D1454"/>
    <mergeCell ref="C1455:D1455"/>
    <mergeCell ref="C1456:D1456"/>
    <mergeCell ref="C1457:D1457"/>
    <mergeCell ref="C1437:D1437"/>
    <mergeCell ref="C1438:D1438"/>
    <mergeCell ref="C1439:D1439"/>
    <mergeCell ref="C1440:D1440"/>
    <mergeCell ref="B1441:F1441"/>
    <mergeCell ref="G1443:G1444"/>
    <mergeCell ref="C281:D281"/>
    <mergeCell ref="C282:D282"/>
    <mergeCell ref="B283:F283"/>
    <mergeCell ref="G285:G286"/>
    <mergeCell ref="B1447:B1448"/>
    <mergeCell ref="E1447:E1448"/>
    <mergeCell ref="F1447:F1448"/>
    <mergeCell ref="G1447:G1448"/>
    <mergeCell ref="G1422:G1423"/>
    <mergeCell ref="A1424:B1424"/>
    <mergeCell ref="D1424:I1425"/>
    <mergeCell ref="A1426:A1427"/>
    <mergeCell ref="B1426:B1427"/>
    <mergeCell ref="C235:D235"/>
    <mergeCell ref="C236:D236"/>
    <mergeCell ref="C237:D237"/>
    <mergeCell ref="A224:B224"/>
    <mergeCell ref="D224:I225"/>
    <mergeCell ref="A226:A227"/>
    <mergeCell ref="B226:B227"/>
    <mergeCell ref="C226:D227"/>
    <mergeCell ref="E226:E227"/>
    <mergeCell ref="F226:F227"/>
    <mergeCell ref="G226:G227"/>
    <mergeCell ref="C228:D228"/>
    <mergeCell ref="C238:D238"/>
    <mergeCell ref="C239:D239"/>
    <mergeCell ref="C240:D240"/>
    <mergeCell ref="B241:F241"/>
    <mergeCell ref="G243:G244"/>
    <mergeCell ref="C217:D217"/>
    <mergeCell ref="C218:D218"/>
    <mergeCell ref="C219:D219"/>
    <mergeCell ref="C214:D214"/>
    <mergeCell ref="C215:D215"/>
    <mergeCell ref="C216:D216"/>
    <mergeCell ref="C208:D208"/>
    <mergeCell ref="C209:D209"/>
    <mergeCell ref="C194:D194"/>
    <mergeCell ref="C213:D213"/>
    <mergeCell ref="B220:F220"/>
    <mergeCell ref="C229:D229"/>
    <mergeCell ref="C230:D230"/>
    <mergeCell ref="C231:D231"/>
    <mergeCell ref="C232:D232"/>
    <mergeCell ref="C233:D233"/>
    <mergeCell ref="C234:D234"/>
    <mergeCell ref="C205:D205"/>
    <mergeCell ref="C210:D210"/>
    <mergeCell ref="C211:D211"/>
    <mergeCell ref="C212:D212"/>
    <mergeCell ref="C204:D204"/>
    <mergeCell ref="C206:D206"/>
    <mergeCell ref="C207:D207"/>
    <mergeCell ref="C201:D201"/>
    <mergeCell ref="C202:D202"/>
    <mergeCell ref="C203:D203"/>
    <mergeCell ref="C185:D185"/>
    <mergeCell ref="C186:D186"/>
    <mergeCell ref="C187:D187"/>
    <mergeCell ref="C188:D188"/>
    <mergeCell ref="C189:D189"/>
    <mergeCell ref="C190:D190"/>
    <mergeCell ref="C191:D191"/>
    <mergeCell ref="C192:D192"/>
    <mergeCell ref="C193:D193"/>
    <mergeCell ref="C198:D198"/>
    <mergeCell ref="C199:D199"/>
    <mergeCell ref="C200:D200"/>
    <mergeCell ref="C195:D195"/>
    <mergeCell ref="C196:D196"/>
    <mergeCell ref="C197:D197"/>
    <mergeCell ref="C1499:D1499"/>
    <mergeCell ref="C1500:D1500"/>
    <mergeCell ref="C1447:D1448"/>
    <mergeCell ref="C1428:D1428"/>
    <mergeCell ref="C1429:D1429"/>
    <mergeCell ref="C1430:D1430"/>
    <mergeCell ref="C1431:D1431"/>
    <mergeCell ref="C1432:D1432"/>
    <mergeCell ref="C1433:D1433"/>
    <mergeCell ref="C1434:D1434"/>
    <mergeCell ref="C1435:D1435"/>
    <mergeCell ref="C1436:D1436"/>
    <mergeCell ref="C1416:D1416"/>
    <mergeCell ref="C1417:D1417"/>
    <mergeCell ref="C1418:D1418"/>
    <mergeCell ref="C1419:D1419"/>
    <mergeCell ref="B1420:F1420"/>
    <mergeCell ref="C1501:D1501"/>
    <mergeCell ref="B1502:F1502"/>
    <mergeCell ref="G1504:G1505"/>
    <mergeCell ref="C1478:D1478"/>
    <mergeCell ref="C1458:D1458"/>
    <mergeCell ref="C1459:D1459"/>
    <mergeCell ref="C1460:D1460"/>
    <mergeCell ref="C1461:D1461"/>
    <mergeCell ref="B1462:F1462"/>
    <mergeCell ref="G1464:G1465"/>
    <mergeCell ref="A1466:B1466"/>
    <mergeCell ref="D1466:I1467"/>
    <mergeCell ref="A1468:A1469"/>
    <mergeCell ref="B1468:B1469"/>
    <mergeCell ref="C1468:D1469"/>
    <mergeCell ref="E1468:E1469"/>
    <mergeCell ref="F1468:F1469"/>
    <mergeCell ref="G1468:G1469"/>
    <mergeCell ref="C1470:D1470"/>
    <mergeCell ref="C1471:D1471"/>
    <mergeCell ref="C1472:D1472"/>
    <mergeCell ref="C1473:D1473"/>
    <mergeCell ref="C1474:D1474"/>
    <mergeCell ref="C1475:D1475"/>
    <mergeCell ref="C1476:D1476"/>
    <mergeCell ref="C1477:D1477"/>
    <mergeCell ref="A8:B8"/>
    <mergeCell ref="D8:I9"/>
    <mergeCell ref="A10:A11"/>
    <mergeCell ref="B10:B11"/>
    <mergeCell ref="C10:D11"/>
    <mergeCell ref="E10:E11"/>
    <mergeCell ref="F10:F11"/>
    <mergeCell ref="G10:G11"/>
    <mergeCell ref="C12:D12"/>
    <mergeCell ref="C13:D13"/>
    <mergeCell ref="C14:D14"/>
    <mergeCell ref="C15:D15"/>
    <mergeCell ref="C16:D16"/>
    <mergeCell ref="C17:D17"/>
    <mergeCell ref="C18:D18"/>
    <mergeCell ref="C19:D19"/>
    <mergeCell ref="C20:D20"/>
    <mergeCell ref="C23:D23"/>
    <mergeCell ref="C24:D24"/>
    <mergeCell ref="B25:F25"/>
    <mergeCell ref="G27:G28"/>
    <mergeCell ref="A181:B181"/>
    <mergeCell ref="D181:I182"/>
    <mergeCell ref="A183:A184"/>
    <mergeCell ref="C1490:D1490"/>
    <mergeCell ref="C1491:D1491"/>
    <mergeCell ref="C1492:D1492"/>
    <mergeCell ref="C1493:D1493"/>
    <mergeCell ref="C1494:D1494"/>
    <mergeCell ref="C1495:D1495"/>
    <mergeCell ref="C1496:D1496"/>
    <mergeCell ref="C1497:D1497"/>
    <mergeCell ref="C1498:D1498"/>
    <mergeCell ref="C1479:D1479"/>
    <mergeCell ref="C1480:D1480"/>
    <mergeCell ref="C1481:D1481"/>
    <mergeCell ref="B1482:F1482"/>
    <mergeCell ref="G1484:G1485"/>
    <mergeCell ref="A1486:B1486"/>
    <mergeCell ref="D1486:I1487"/>
    <mergeCell ref="A1488:A1489"/>
    <mergeCell ref="B1488:B1489"/>
    <mergeCell ref="C1488:D1489"/>
    <mergeCell ref="E1488:E1489"/>
    <mergeCell ref="F1488:F1489"/>
    <mergeCell ref="G1488:G1489"/>
    <mergeCell ref="A1445:B1445"/>
    <mergeCell ref="D1445:I1446"/>
    <mergeCell ref="A1447:A1448"/>
    <mergeCell ref="C1426:D1427"/>
    <mergeCell ref="E1426:E1427"/>
    <mergeCell ref="F1426:F1427"/>
    <mergeCell ref="G1426:G1427"/>
    <mergeCell ref="C1407:D1407"/>
    <mergeCell ref="C1408:D1408"/>
    <mergeCell ref="C1409:D1409"/>
    <mergeCell ref="C1410:D1410"/>
    <mergeCell ref="C1411:D1411"/>
    <mergeCell ref="C1412:D1412"/>
    <mergeCell ref="C1413:D1413"/>
    <mergeCell ref="C1414:D1414"/>
    <mergeCell ref="C1415:D1415"/>
    <mergeCell ref="C1395:D1395"/>
    <mergeCell ref="C1396:D1396"/>
    <mergeCell ref="C1397:D1397"/>
    <mergeCell ref="C1398:D1398"/>
    <mergeCell ref="B1399:F1399"/>
    <mergeCell ref="G1401:G1402"/>
    <mergeCell ref="A1403:B1403"/>
    <mergeCell ref="D1403:I1404"/>
    <mergeCell ref="A1405:A1406"/>
    <mergeCell ref="B1405:B1406"/>
    <mergeCell ref="C1405:D1406"/>
    <mergeCell ref="E1405:E1406"/>
    <mergeCell ref="F1405:F1406"/>
    <mergeCell ref="G1405:G1406"/>
    <mergeCell ref="C1386:D1386"/>
    <mergeCell ref="C1387:D1387"/>
    <mergeCell ref="C1388:D1388"/>
    <mergeCell ref="C1389:D1389"/>
    <mergeCell ref="C1390:D1390"/>
    <mergeCell ref="C1391:D1391"/>
    <mergeCell ref="C1392:D1392"/>
    <mergeCell ref="C1393:D1393"/>
    <mergeCell ref="C1394:D1394"/>
    <mergeCell ref="C1374:D1374"/>
    <mergeCell ref="C1375:D1375"/>
    <mergeCell ref="C1376:D1376"/>
    <mergeCell ref="C1377:D1377"/>
    <mergeCell ref="B1378:F1378"/>
    <mergeCell ref="G1380:G1381"/>
    <mergeCell ref="A1382:B1382"/>
    <mergeCell ref="D1382:I1383"/>
    <mergeCell ref="A1384:A1385"/>
    <mergeCell ref="B1384:B1385"/>
    <mergeCell ref="C1384:D1385"/>
    <mergeCell ref="E1384:E1385"/>
    <mergeCell ref="F1384:F1385"/>
    <mergeCell ref="G1384:G1385"/>
    <mergeCell ref="C1365:D1365"/>
    <mergeCell ref="C1366:D1366"/>
    <mergeCell ref="C1367:D1367"/>
    <mergeCell ref="C1368:D1368"/>
    <mergeCell ref="C1369:D1369"/>
    <mergeCell ref="C1370:D1370"/>
    <mergeCell ref="C1371:D1371"/>
    <mergeCell ref="C1372:D1372"/>
    <mergeCell ref="C1373:D1373"/>
    <mergeCell ref="C1353:D1353"/>
    <mergeCell ref="C1354:D1354"/>
    <mergeCell ref="C1355:D1355"/>
    <mergeCell ref="C1356:D1356"/>
    <mergeCell ref="B1357:F1357"/>
    <mergeCell ref="G1359:G1360"/>
    <mergeCell ref="A1361:B1361"/>
    <mergeCell ref="D1361:I1362"/>
    <mergeCell ref="A1363:A1364"/>
    <mergeCell ref="B1363:B1364"/>
    <mergeCell ref="C1363:D1364"/>
    <mergeCell ref="E1363:E1364"/>
    <mergeCell ref="F1363:F1364"/>
    <mergeCell ref="G1363:G1364"/>
    <mergeCell ref="C1344:D1344"/>
    <mergeCell ref="C1345:D1345"/>
    <mergeCell ref="C1346:D1346"/>
    <mergeCell ref="C1347:D1347"/>
    <mergeCell ref="C1348:D1348"/>
    <mergeCell ref="C1349:D1349"/>
    <mergeCell ref="C1350:D1350"/>
    <mergeCell ref="C1351:D1351"/>
    <mergeCell ref="C1352:D1352"/>
    <mergeCell ref="C1332:D1332"/>
    <mergeCell ref="C1333:D1333"/>
    <mergeCell ref="C1334:D1334"/>
    <mergeCell ref="C1335:D1335"/>
    <mergeCell ref="B1336:F1336"/>
    <mergeCell ref="G1338:G1339"/>
    <mergeCell ref="A1340:B1340"/>
    <mergeCell ref="D1340:I1341"/>
    <mergeCell ref="A1342:A1343"/>
    <mergeCell ref="B1342:B1343"/>
    <mergeCell ref="C1342:D1343"/>
    <mergeCell ref="E1342:E1343"/>
    <mergeCell ref="F1342:F1343"/>
    <mergeCell ref="G1342:G1343"/>
    <mergeCell ref="C1323:D1323"/>
    <mergeCell ref="C1324:D1324"/>
    <mergeCell ref="C1325:D1325"/>
    <mergeCell ref="C1326:D1326"/>
    <mergeCell ref="C1327:D1327"/>
    <mergeCell ref="C1328:D1328"/>
    <mergeCell ref="C1329:D1329"/>
    <mergeCell ref="C1330:D1330"/>
    <mergeCell ref="C1331:D1331"/>
    <mergeCell ref="C1311:D1311"/>
    <mergeCell ref="C1312:D1312"/>
    <mergeCell ref="C1313:D1313"/>
    <mergeCell ref="C1314:D1314"/>
    <mergeCell ref="B1315:F1315"/>
    <mergeCell ref="G1317:G1318"/>
    <mergeCell ref="A1319:B1319"/>
    <mergeCell ref="D1319:I1320"/>
    <mergeCell ref="A1321:A1322"/>
    <mergeCell ref="B1321:B1322"/>
    <mergeCell ref="C1321:D1322"/>
    <mergeCell ref="E1321:E1322"/>
    <mergeCell ref="F1321:F1322"/>
    <mergeCell ref="G1321:G1322"/>
    <mergeCell ref="C1302:D1302"/>
    <mergeCell ref="C1303:D1303"/>
    <mergeCell ref="C1304:D1304"/>
    <mergeCell ref="C1305:D1305"/>
    <mergeCell ref="C1306:D1306"/>
    <mergeCell ref="C1307:D1307"/>
    <mergeCell ref="C1308:D1308"/>
    <mergeCell ref="C1309:D1309"/>
    <mergeCell ref="C1310:D1310"/>
    <mergeCell ref="C1290:D1290"/>
    <mergeCell ref="C1291:D1291"/>
    <mergeCell ref="C1292:D1292"/>
    <mergeCell ref="C1293:D1293"/>
    <mergeCell ref="B1294:F1294"/>
    <mergeCell ref="G1296:G1297"/>
    <mergeCell ref="A1298:B1298"/>
    <mergeCell ref="D1298:I1299"/>
    <mergeCell ref="A1300:A1301"/>
    <mergeCell ref="B1300:B1301"/>
    <mergeCell ref="C1300:D1301"/>
    <mergeCell ref="E1300:E1301"/>
    <mergeCell ref="F1300:F1301"/>
    <mergeCell ref="G1300:G1301"/>
    <mergeCell ref="C1281:D1281"/>
    <mergeCell ref="C1282:D1282"/>
    <mergeCell ref="C1283:D1283"/>
    <mergeCell ref="C1284:D1284"/>
    <mergeCell ref="C1285:D1285"/>
    <mergeCell ref="C1286:D1286"/>
    <mergeCell ref="C1287:D1287"/>
    <mergeCell ref="C1288:D1288"/>
    <mergeCell ref="C1289:D1289"/>
    <mergeCell ref="C1269:D1269"/>
    <mergeCell ref="C1270:D1270"/>
    <mergeCell ref="C1271:D1271"/>
    <mergeCell ref="C1272:D1272"/>
    <mergeCell ref="B1273:F1273"/>
    <mergeCell ref="G1275:G1276"/>
    <mergeCell ref="A1277:B1277"/>
    <mergeCell ref="D1277:I1278"/>
    <mergeCell ref="A1279:A1280"/>
    <mergeCell ref="B1279:B1280"/>
    <mergeCell ref="C1279:D1280"/>
    <mergeCell ref="E1279:E1280"/>
    <mergeCell ref="F1279:F1280"/>
    <mergeCell ref="G1279:G1280"/>
    <mergeCell ref="C1260:D1260"/>
    <mergeCell ref="C1261:D1261"/>
    <mergeCell ref="C1262:D1262"/>
    <mergeCell ref="C1263:D1263"/>
    <mergeCell ref="C1264:D1264"/>
    <mergeCell ref="C1265:D1265"/>
    <mergeCell ref="C1266:D1266"/>
    <mergeCell ref="C1267:D1267"/>
    <mergeCell ref="C1268:D1268"/>
    <mergeCell ref="C1248:D1248"/>
    <mergeCell ref="C1249:D1249"/>
    <mergeCell ref="C1250:D1250"/>
    <mergeCell ref="C1251:D1251"/>
    <mergeCell ref="B1252:F1252"/>
    <mergeCell ref="G1254:G1255"/>
    <mergeCell ref="A1256:B1256"/>
    <mergeCell ref="D1256:I1257"/>
    <mergeCell ref="A1258:A1259"/>
    <mergeCell ref="B1258:B1259"/>
    <mergeCell ref="C1258:D1259"/>
    <mergeCell ref="E1258:E1259"/>
    <mergeCell ref="F1258:F1259"/>
    <mergeCell ref="G1258:G1259"/>
    <mergeCell ref="C1239:D1239"/>
    <mergeCell ref="C1240:D1240"/>
    <mergeCell ref="C1241:D1241"/>
    <mergeCell ref="C1242:D1242"/>
    <mergeCell ref="C1243:D1243"/>
    <mergeCell ref="C1244:D1244"/>
    <mergeCell ref="C1245:D1245"/>
    <mergeCell ref="C1246:D1246"/>
    <mergeCell ref="C1247:D1247"/>
    <mergeCell ref="C1227:D1227"/>
    <mergeCell ref="C1228:D1228"/>
    <mergeCell ref="C1229:D1229"/>
    <mergeCell ref="C1230:D1230"/>
    <mergeCell ref="B1231:F1231"/>
    <mergeCell ref="G1233:G1234"/>
    <mergeCell ref="A1235:B1235"/>
    <mergeCell ref="D1235:I1236"/>
    <mergeCell ref="A1237:A1238"/>
    <mergeCell ref="B1237:B1238"/>
    <mergeCell ref="C1237:D1238"/>
    <mergeCell ref="E1237:E1238"/>
    <mergeCell ref="F1237:F1238"/>
    <mergeCell ref="G1237:G1238"/>
    <mergeCell ref="C1218:D1218"/>
    <mergeCell ref="C1219:D1219"/>
    <mergeCell ref="C1220:D1220"/>
    <mergeCell ref="C1221:D1221"/>
    <mergeCell ref="C1222:D1222"/>
    <mergeCell ref="C1223:D1223"/>
    <mergeCell ref="C1224:D1224"/>
    <mergeCell ref="C1225:D1225"/>
    <mergeCell ref="C1226:D1226"/>
    <mergeCell ref="C1206:D1206"/>
    <mergeCell ref="C1207:D1207"/>
    <mergeCell ref="C1208:D1208"/>
    <mergeCell ref="C1209:D1209"/>
    <mergeCell ref="B1210:F1210"/>
    <mergeCell ref="G1212:G1213"/>
    <mergeCell ref="A1214:B1214"/>
    <mergeCell ref="D1214:I1215"/>
    <mergeCell ref="A1216:A1217"/>
    <mergeCell ref="B1216:B1217"/>
    <mergeCell ref="C1216:D1217"/>
    <mergeCell ref="E1216:E1217"/>
    <mergeCell ref="F1216:F1217"/>
    <mergeCell ref="G1216:G1217"/>
    <mergeCell ref="C1197:D1197"/>
    <mergeCell ref="C1198:D1198"/>
    <mergeCell ref="C1199:D1199"/>
    <mergeCell ref="C1200:D1200"/>
    <mergeCell ref="C1201:D1201"/>
    <mergeCell ref="C1202:D1202"/>
    <mergeCell ref="C1203:D1203"/>
    <mergeCell ref="C1204:D1204"/>
    <mergeCell ref="C1205:D1205"/>
    <mergeCell ref="C1185:D1185"/>
    <mergeCell ref="C1186:D1186"/>
    <mergeCell ref="C1187:D1187"/>
    <mergeCell ref="C1188:D1188"/>
    <mergeCell ref="B1189:F1189"/>
    <mergeCell ref="G1191:G1192"/>
    <mergeCell ref="A1193:B1193"/>
    <mergeCell ref="D1193:I1194"/>
    <mergeCell ref="A1195:A1196"/>
    <mergeCell ref="B1195:B1196"/>
    <mergeCell ref="C1195:D1196"/>
    <mergeCell ref="E1195:E1196"/>
    <mergeCell ref="F1195:F1196"/>
    <mergeCell ref="G1195:G1196"/>
    <mergeCell ref="C1176:D1176"/>
    <mergeCell ref="C1177:D1177"/>
    <mergeCell ref="C1178:D1178"/>
    <mergeCell ref="C1179:D1179"/>
    <mergeCell ref="C1180:D1180"/>
    <mergeCell ref="C1181:D1181"/>
    <mergeCell ref="C1182:D1182"/>
    <mergeCell ref="C1183:D1183"/>
    <mergeCell ref="C1184:D1184"/>
    <mergeCell ref="C1164:D1164"/>
    <mergeCell ref="C1165:D1165"/>
    <mergeCell ref="C1166:D1166"/>
    <mergeCell ref="C1167:D1167"/>
    <mergeCell ref="B1168:F1168"/>
    <mergeCell ref="G1170:G1171"/>
    <mergeCell ref="A1172:B1172"/>
    <mergeCell ref="D1172:I1173"/>
    <mergeCell ref="A1174:A1175"/>
    <mergeCell ref="B1174:B1175"/>
    <mergeCell ref="C1174:D1175"/>
    <mergeCell ref="E1174:E1175"/>
    <mergeCell ref="F1174:F1175"/>
    <mergeCell ref="G1174:G1175"/>
    <mergeCell ref="C1155:D1155"/>
    <mergeCell ref="C1156:D1156"/>
    <mergeCell ref="C1157:D1157"/>
    <mergeCell ref="C1158:D1158"/>
    <mergeCell ref="C1159:D1159"/>
    <mergeCell ref="C1160:D1160"/>
    <mergeCell ref="C1161:D1161"/>
    <mergeCell ref="C1162:D1162"/>
    <mergeCell ref="C1163:D1163"/>
    <mergeCell ref="C1143:D1143"/>
    <mergeCell ref="C1144:D1144"/>
    <mergeCell ref="C1145:D1145"/>
    <mergeCell ref="C1146:D1146"/>
    <mergeCell ref="B1147:F1147"/>
    <mergeCell ref="G1149:G1150"/>
    <mergeCell ref="A1151:B1151"/>
    <mergeCell ref="D1151:I1152"/>
    <mergeCell ref="A1153:A1154"/>
    <mergeCell ref="B1153:B1154"/>
    <mergeCell ref="C1153:D1154"/>
    <mergeCell ref="E1153:E1154"/>
    <mergeCell ref="F1153:F1154"/>
    <mergeCell ref="G1153:G1154"/>
    <mergeCell ref="C1134:D1134"/>
    <mergeCell ref="C1135:D1135"/>
    <mergeCell ref="C1136:D1136"/>
    <mergeCell ref="C1137:D1137"/>
    <mergeCell ref="C1138:D1138"/>
    <mergeCell ref="C1139:D1139"/>
    <mergeCell ref="C1140:D1140"/>
    <mergeCell ref="C1141:D1141"/>
    <mergeCell ref="C1142:D1142"/>
    <mergeCell ref="C1122:D1122"/>
    <mergeCell ref="C1123:D1123"/>
    <mergeCell ref="C1124:D1124"/>
    <mergeCell ref="C1125:D1125"/>
    <mergeCell ref="B1126:F1126"/>
    <mergeCell ref="G1128:G1129"/>
    <mergeCell ref="A1130:B1130"/>
    <mergeCell ref="D1130:I1131"/>
    <mergeCell ref="A1132:A1133"/>
    <mergeCell ref="B1132:B1133"/>
    <mergeCell ref="C1132:D1133"/>
    <mergeCell ref="E1132:E1133"/>
    <mergeCell ref="F1132:F1133"/>
    <mergeCell ref="G1132:G1133"/>
    <mergeCell ref="C1113:D1113"/>
    <mergeCell ref="C1114:D1114"/>
    <mergeCell ref="C1115:D1115"/>
    <mergeCell ref="C1116:D1116"/>
    <mergeCell ref="C1117:D1117"/>
    <mergeCell ref="C1118:D1118"/>
    <mergeCell ref="C1119:D1119"/>
    <mergeCell ref="C1120:D1120"/>
    <mergeCell ref="C1121:D1121"/>
    <mergeCell ref="C1101:D1101"/>
    <mergeCell ref="C1102:D1102"/>
    <mergeCell ref="C1103:D1103"/>
    <mergeCell ref="C1104:D1104"/>
    <mergeCell ref="B1105:F1105"/>
    <mergeCell ref="G1107:G1108"/>
    <mergeCell ref="A1109:B1109"/>
    <mergeCell ref="D1109:I1110"/>
    <mergeCell ref="A1111:A1112"/>
    <mergeCell ref="B1111:B1112"/>
    <mergeCell ref="C1111:D1112"/>
    <mergeCell ref="E1111:E1112"/>
    <mergeCell ref="F1111:F1112"/>
    <mergeCell ref="G1111:G1112"/>
    <mergeCell ref="C1092:D1092"/>
    <mergeCell ref="C1093:D1093"/>
    <mergeCell ref="C1094:D1094"/>
    <mergeCell ref="C1095:D1095"/>
    <mergeCell ref="C1096:D1096"/>
    <mergeCell ref="C1097:D1097"/>
    <mergeCell ref="C1098:D1098"/>
    <mergeCell ref="C1099:D1099"/>
    <mergeCell ref="C1100:D1100"/>
    <mergeCell ref="C1080:D1080"/>
    <mergeCell ref="C1081:D1081"/>
    <mergeCell ref="C1082:D1082"/>
    <mergeCell ref="C1083:D1083"/>
    <mergeCell ref="B1084:F1084"/>
    <mergeCell ref="G1086:G1087"/>
    <mergeCell ref="A1088:B1088"/>
    <mergeCell ref="D1088:I1089"/>
    <mergeCell ref="A1090:A1091"/>
    <mergeCell ref="B1090:B1091"/>
    <mergeCell ref="C1090:D1091"/>
    <mergeCell ref="E1090:E1091"/>
    <mergeCell ref="F1090:F1091"/>
    <mergeCell ref="G1090:G1091"/>
    <mergeCell ref="C1071:D1071"/>
    <mergeCell ref="C1072:D1072"/>
    <mergeCell ref="C1073:D1073"/>
    <mergeCell ref="C1074:D1074"/>
    <mergeCell ref="C1075:D1075"/>
    <mergeCell ref="C1076:D1076"/>
    <mergeCell ref="C1077:D1077"/>
    <mergeCell ref="C1078:D1078"/>
    <mergeCell ref="C1079:D1079"/>
    <mergeCell ref="C1059:D1059"/>
    <mergeCell ref="C1060:D1060"/>
    <mergeCell ref="C1061:D1061"/>
    <mergeCell ref="C1062:D1062"/>
    <mergeCell ref="B1063:F1063"/>
    <mergeCell ref="G1065:G1066"/>
    <mergeCell ref="A1067:B1067"/>
    <mergeCell ref="D1067:I1068"/>
    <mergeCell ref="A1069:A1070"/>
    <mergeCell ref="B1069:B1070"/>
    <mergeCell ref="C1069:D1070"/>
    <mergeCell ref="E1069:E1070"/>
    <mergeCell ref="F1069:F1070"/>
    <mergeCell ref="G1069:G1070"/>
    <mergeCell ref="C1050:D1050"/>
    <mergeCell ref="C1051:D1051"/>
    <mergeCell ref="C1052:D1052"/>
    <mergeCell ref="C1053:D1053"/>
    <mergeCell ref="C1054:D1054"/>
    <mergeCell ref="C1055:D1055"/>
    <mergeCell ref="C1056:D1056"/>
    <mergeCell ref="C1057:D1057"/>
    <mergeCell ref="C1058:D1058"/>
    <mergeCell ref="C1038:D1038"/>
    <mergeCell ref="C1039:D1039"/>
    <mergeCell ref="C1040:D1040"/>
    <mergeCell ref="C1041:D1041"/>
    <mergeCell ref="B1042:F1042"/>
    <mergeCell ref="G1044:G1045"/>
    <mergeCell ref="A1046:B1046"/>
    <mergeCell ref="D1046:I1047"/>
    <mergeCell ref="A1048:A1049"/>
    <mergeCell ref="B1048:B1049"/>
    <mergeCell ref="C1048:D1049"/>
    <mergeCell ref="E1048:E1049"/>
    <mergeCell ref="F1048:F1049"/>
    <mergeCell ref="G1048:G1049"/>
    <mergeCell ref="C1029:D1029"/>
    <mergeCell ref="C1030:D1030"/>
    <mergeCell ref="C1031:D1031"/>
    <mergeCell ref="C1032:D1032"/>
    <mergeCell ref="C1033:D1033"/>
    <mergeCell ref="C1034:D1034"/>
    <mergeCell ref="C1035:D1035"/>
    <mergeCell ref="C1036:D1036"/>
    <mergeCell ref="C1037:D1037"/>
    <mergeCell ref="C1017:D1017"/>
    <mergeCell ref="C1018:D1018"/>
    <mergeCell ref="C1019:D1019"/>
    <mergeCell ref="C1020:D1020"/>
    <mergeCell ref="B1021:F1021"/>
    <mergeCell ref="G1023:G1024"/>
    <mergeCell ref="A1025:B1025"/>
    <mergeCell ref="D1025:I1026"/>
    <mergeCell ref="A1027:A1028"/>
    <mergeCell ref="B1027:B1028"/>
    <mergeCell ref="C1027:D1028"/>
    <mergeCell ref="E1027:E1028"/>
    <mergeCell ref="F1027:F1028"/>
    <mergeCell ref="G1027:G1028"/>
    <mergeCell ref="C1008:D1008"/>
    <mergeCell ref="C1009:D1009"/>
    <mergeCell ref="C1010:D1010"/>
    <mergeCell ref="C1011:D1011"/>
    <mergeCell ref="C1012:D1012"/>
    <mergeCell ref="C1013:D1013"/>
    <mergeCell ref="C1014:D1014"/>
    <mergeCell ref="C1015:D1015"/>
    <mergeCell ref="C1016:D1016"/>
    <mergeCell ref="C996:D996"/>
    <mergeCell ref="C997:D997"/>
    <mergeCell ref="C998:D998"/>
    <mergeCell ref="C999:D999"/>
    <mergeCell ref="B1000:F1000"/>
    <mergeCell ref="G1002:G1003"/>
    <mergeCell ref="A1004:B1004"/>
    <mergeCell ref="D1004:I1005"/>
    <mergeCell ref="A1006:A1007"/>
    <mergeCell ref="B1006:B1007"/>
    <mergeCell ref="C1006:D1007"/>
    <mergeCell ref="E1006:E1007"/>
    <mergeCell ref="F1006:F1007"/>
    <mergeCell ref="G1006:G1007"/>
    <mergeCell ref="C987:D987"/>
    <mergeCell ref="C988:D988"/>
    <mergeCell ref="C989:D989"/>
    <mergeCell ref="C990:D990"/>
    <mergeCell ref="C991:D991"/>
    <mergeCell ref="C992:D992"/>
    <mergeCell ref="C993:D993"/>
    <mergeCell ref="C994:D994"/>
    <mergeCell ref="C995:D995"/>
    <mergeCell ref="C975:D975"/>
    <mergeCell ref="C976:D976"/>
    <mergeCell ref="C977:D977"/>
    <mergeCell ref="C978:D978"/>
    <mergeCell ref="B979:F979"/>
    <mergeCell ref="G981:G982"/>
    <mergeCell ref="A983:B983"/>
    <mergeCell ref="D983:I984"/>
    <mergeCell ref="A985:A986"/>
    <mergeCell ref="B985:B986"/>
    <mergeCell ref="C985:D986"/>
    <mergeCell ref="E985:E986"/>
    <mergeCell ref="F985:F986"/>
    <mergeCell ref="G985:G986"/>
    <mergeCell ref="C966:D966"/>
    <mergeCell ref="C967:D967"/>
    <mergeCell ref="C968:D968"/>
    <mergeCell ref="C969:D969"/>
    <mergeCell ref="C970:D970"/>
    <mergeCell ref="C971:D971"/>
    <mergeCell ref="C972:D972"/>
    <mergeCell ref="C973:D973"/>
    <mergeCell ref="C974:D974"/>
    <mergeCell ref="C954:D954"/>
    <mergeCell ref="C955:D955"/>
    <mergeCell ref="C956:D956"/>
    <mergeCell ref="C957:D957"/>
    <mergeCell ref="B958:F958"/>
    <mergeCell ref="G960:G961"/>
    <mergeCell ref="A962:B962"/>
    <mergeCell ref="D962:I963"/>
    <mergeCell ref="A964:A965"/>
    <mergeCell ref="B964:B965"/>
    <mergeCell ref="C964:D965"/>
    <mergeCell ref="E964:E965"/>
    <mergeCell ref="F964:F965"/>
    <mergeCell ref="G964:G965"/>
    <mergeCell ref="C945:D945"/>
    <mergeCell ref="C946:D946"/>
    <mergeCell ref="C947:D947"/>
    <mergeCell ref="C948:D948"/>
    <mergeCell ref="C949:D949"/>
    <mergeCell ref="C950:D950"/>
    <mergeCell ref="C951:D951"/>
    <mergeCell ref="C952:D952"/>
    <mergeCell ref="C953:D953"/>
    <mergeCell ref="C933:D933"/>
    <mergeCell ref="C934:D934"/>
    <mergeCell ref="C935:D935"/>
    <mergeCell ref="C936:D936"/>
    <mergeCell ref="B937:F937"/>
    <mergeCell ref="G939:G940"/>
    <mergeCell ref="A941:B941"/>
    <mergeCell ref="D941:I942"/>
    <mergeCell ref="A943:A944"/>
    <mergeCell ref="B943:B944"/>
    <mergeCell ref="C943:D944"/>
    <mergeCell ref="E943:E944"/>
    <mergeCell ref="F943:F944"/>
    <mergeCell ref="G943:G944"/>
    <mergeCell ref="C901:D902"/>
    <mergeCell ref="E901:E902"/>
    <mergeCell ref="F901:F902"/>
    <mergeCell ref="G901:G902"/>
    <mergeCell ref="C903:D903"/>
    <mergeCell ref="C924:D924"/>
    <mergeCell ref="C925:D925"/>
    <mergeCell ref="C926:D926"/>
    <mergeCell ref="C927:D927"/>
    <mergeCell ref="C928:D928"/>
    <mergeCell ref="C929:D929"/>
    <mergeCell ref="C930:D930"/>
    <mergeCell ref="C931:D931"/>
    <mergeCell ref="C932:D932"/>
    <mergeCell ref="C913:D913"/>
    <mergeCell ref="C914:D914"/>
    <mergeCell ref="C915:D915"/>
    <mergeCell ref="B916:F916"/>
    <mergeCell ref="G918:G919"/>
    <mergeCell ref="A920:B920"/>
    <mergeCell ref="D920:I921"/>
    <mergeCell ref="A922:A923"/>
    <mergeCell ref="B922:B923"/>
    <mergeCell ref="C922:D923"/>
    <mergeCell ref="E922:E923"/>
    <mergeCell ref="F922:F923"/>
    <mergeCell ref="G922:G923"/>
    <mergeCell ref="C891:D891"/>
    <mergeCell ref="C892:D892"/>
    <mergeCell ref="C893:D893"/>
    <mergeCell ref="C894:D894"/>
    <mergeCell ref="B895:F895"/>
    <mergeCell ref="G897:G898"/>
    <mergeCell ref="C882:D882"/>
    <mergeCell ref="C883:D883"/>
    <mergeCell ref="C884:D884"/>
    <mergeCell ref="C885:D885"/>
    <mergeCell ref="C886:D886"/>
    <mergeCell ref="C887:D887"/>
    <mergeCell ref="C888:D888"/>
    <mergeCell ref="C889:D889"/>
    <mergeCell ref="C890:D890"/>
    <mergeCell ref="E1748:E1749"/>
    <mergeCell ref="F1748:F1749"/>
    <mergeCell ref="G1748:G1749"/>
    <mergeCell ref="C904:D904"/>
    <mergeCell ref="C905:D905"/>
    <mergeCell ref="D1746:I1747"/>
    <mergeCell ref="C906:D906"/>
    <mergeCell ref="C907:D907"/>
    <mergeCell ref="C908:D908"/>
    <mergeCell ref="C909:D909"/>
    <mergeCell ref="C910:D910"/>
    <mergeCell ref="C911:D911"/>
    <mergeCell ref="C912:D912"/>
    <mergeCell ref="A899:B899"/>
    <mergeCell ref="D899:I900"/>
    <mergeCell ref="A901:A902"/>
    <mergeCell ref="B901:B902"/>
    <mergeCell ref="C870:D870"/>
    <mergeCell ref="C871:D871"/>
    <mergeCell ref="C872:D872"/>
    <mergeCell ref="C873:D873"/>
    <mergeCell ref="B874:F874"/>
    <mergeCell ref="G876:G877"/>
    <mergeCell ref="A878:B878"/>
    <mergeCell ref="D878:I879"/>
    <mergeCell ref="A880:A881"/>
    <mergeCell ref="B880:B881"/>
    <mergeCell ref="C880:D881"/>
    <mergeCell ref="E880:E881"/>
    <mergeCell ref="F880:F881"/>
    <mergeCell ref="G880:G881"/>
    <mergeCell ref="C861:D861"/>
    <mergeCell ref="C862:D862"/>
    <mergeCell ref="C863:D863"/>
    <mergeCell ref="C864:D864"/>
    <mergeCell ref="C865:D865"/>
    <mergeCell ref="C866:D866"/>
    <mergeCell ref="C867:D867"/>
    <mergeCell ref="C868:D868"/>
    <mergeCell ref="C869:D869"/>
    <mergeCell ref="C849:D849"/>
    <mergeCell ref="C850:D850"/>
    <mergeCell ref="C851:D851"/>
    <mergeCell ref="C852:D852"/>
    <mergeCell ref="B853:F853"/>
    <mergeCell ref="G855:G856"/>
    <mergeCell ref="A857:B857"/>
    <mergeCell ref="D857:I858"/>
    <mergeCell ref="A859:A860"/>
    <mergeCell ref="B859:B860"/>
    <mergeCell ref="C859:D860"/>
    <mergeCell ref="E859:E860"/>
    <mergeCell ref="F859:F860"/>
    <mergeCell ref="G859:G860"/>
    <mergeCell ref="C840:D840"/>
    <mergeCell ref="C841:D841"/>
    <mergeCell ref="C842:D842"/>
    <mergeCell ref="C843:D843"/>
    <mergeCell ref="C844:D844"/>
    <mergeCell ref="C845:D845"/>
    <mergeCell ref="C846:D846"/>
    <mergeCell ref="C847:D847"/>
    <mergeCell ref="C848:D848"/>
    <mergeCell ref="C828:D828"/>
    <mergeCell ref="C829:D829"/>
    <mergeCell ref="C830:D830"/>
    <mergeCell ref="C831:D831"/>
    <mergeCell ref="B832:F832"/>
    <mergeCell ref="G834:G835"/>
    <mergeCell ref="A836:B836"/>
    <mergeCell ref="D836:I837"/>
    <mergeCell ref="A838:A839"/>
    <mergeCell ref="B838:B839"/>
    <mergeCell ref="C838:D839"/>
    <mergeCell ref="E838:E839"/>
    <mergeCell ref="F838:F839"/>
    <mergeCell ref="G838:G839"/>
    <mergeCell ref="C819:D819"/>
    <mergeCell ref="C820:D820"/>
    <mergeCell ref="C821:D821"/>
    <mergeCell ref="C822:D822"/>
    <mergeCell ref="C823:D823"/>
    <mergeCell ref="C824:D824"/>
    <mergeCell ref="C825:D825"/>
    <mergeCell ref="C826:D826"/>
    <mergeCell ref="C827:D827"/>
    <mergeCell ref="C807:D807"/>
    <mergeCell ref="C808:D808"/>
    <mergeCell ref="C809:D809"/>
    <mergeCell ref="C810:D810"/>
    <mergeCell ref="B811:F811"/>
    <mergeCell ref="G813:G814"/>
    <mergeCell ref="A815:B815"/>
    <mergeCell ref="D815:I816"/>
    <mergeCell ref="A817:A818"/>
    <mergeCell ref="B817:B818"/>
    <mergeCell ref="C817:D818"/>
    <mergeCell ref="E817:E818"/>
    <mergeCell ref="F817:F818"/>
    <mergeCell ref="G817:G818"/>
    <mergeCell ref="C798:D798"/>
    <mergeCell ref="C799:D799"/>
    <mergeCell ref="C800:D800"/>
    <mergeCell ref="C801:D801"/>
    <mergeCell ref="C802:D802"/>
    <mergeCell ref="C803:D803"/>
    <mergeCell ref="C804:D804"/>
    <mergeCell ref="C805:D805"/>
    <mergeCell ref="C806:D806"/>
    <mergeCell ref="C786:D786"/>
    <mergeCell ref="C787:D787"/>
    <mergeCell ref="C788:D788"/>
    <mergeCell ref="C789:D789"/>
    <mergeCell ref="B790:F790"/>
    <mergeCell ref="G792:G793"/>
    <mergeCell ref="A794:B794"/>
    <mergeCell ref="D794:I795"/>
    <mergeCell ref="A796:A797"/>
    <mergeCell ref="B796:B797"/>
    <mergeCell ref="C796:D797"/>
    <mergeCell ref="E796:E797"/>
    <mergeCell ref="F796:F797"/>
    <mergeCell ref="G796:G797"/>
    <mergeCell ref="C777:D777"/>
    <mergeCell ref="C778:D778"/>
    <mergeCell ref="C779:D779"/>
    <mergeCell ref="C780:D780"/>
    <mergeCell ref="C781:D781"/>
    <mergeCell ref="C782:D782"/>
    <mergeCell ref="C783:D783"/>
    <mergeCell ref="C784:D784"/>
    <mergeCell ref="C785:D785"/>
    <mergeCell ref="C765:D765"/>
    <mergeCell ref="C766:D766"/>
    <mergeCell ref="C767:D767"/>
    <mergeCell ref="C768:D768"/>
    <mergeCell ref="B769:F769"/>
    <mergeCell ref="G771:G772"/>
    <mergeCell ref="A773:B773"/>
    <mergeCell ref="D773:I774"/>
    <mergeCell ref="A775:A776"/>
    <mergeCell ref="B775:B776"/>
    <mergeCell ref="C775:D776"/>
    <mergeCell ref="E775:E776"/>
    <mergeCell ref="F775:F776"/>
    <mergeCell ref="G775:G776"/>
    <mergeCell ref="C756:D756"/>
    <mergeCell ref="C757:D757"/>
    <mergeCell ref="C758:D758"/>
    <mergeCell ref="C759:D759"/>
    <mergeCell ref="C760:D760"/>
    <mergeCell ref="C761:D761"/>
    <mergeCell ref="C762:D762"/>
    <mergeCell ref="C763:D763"/>
    <mergeCell ref="C764:D764"/>
    <mergeCell ref="C744:D744"/>
    <mergeCell ref="C745:D745"/>
    <mergeCell ref="C746:D746"/>
    <mergeCell ref="C747:D747"/>
    <mergeCell ref="B748:F748"/>
    <mergeCell ref="G750:G751"/>
    <mergeCell ref="A752:B752"/>
    <mergeCell ref="D752:I753"/>
    <mergeCell ref="A754:A755"/>
    <mergeCell ref="B754:B755"/>
    <mergeCell ref="C754:D755"/>
    <mergeCell ref="E754:E755"/>
    <mergeCell ref="F754:F755"/>
    <mergeCell ref="G754:G755"/>
    <mergeCell ref="C735:D735"/>
    <mergeCell ref="C736:D736"/>
    <mergeCell ref="C737:D737"/>
    <mergeCell ref="C738:D738"/>
    <mergeCell ref="C739:D739"/>
    <mergeCell ref="C740:D740"/>
    <mergeCell ref="C741:D741"/>
    <mergeCell ref="C742:D742"/>
    <mergeCell ref="C743:D743"/>
    <mergeCell ref="C723:D723"/>
    <mergeCell ref="C724:D724"/>
    <mergeCell ref="C725:D725"/>
    <mergeCell ref="C726:D726"/>
    <mergeCell ref="B727:F727"/>
    <mergeCell ref="G729:G730"/>
    <mergeCell ref="A731:B731"/>
    <mergeCell ref="D731:I732"/>
    <mergeCell ref="A733:A734"/>
    <mergeCell ref="B733:B734"/>
    <mergeCell ref="C733:D734"/>
    <mergeCell ref="E733:E734"/>
    <mergeCell ref="F733:F734"/>
    <mergeCell ref="G733:G734"/>
    <mergeCell ref="C714:D714"/>
    <mergeCell ref="C715:D715"/>
    <mergeCell ref="C716:D716"/>
    <mergeCell ref="C717:D717"/>
    <mergeCell ref="C718:D718"/>
    <mergeCell ref="C719:D719"/>
    <mergeCell ref="C720:D720"/>
    <mergeCell ref="C721:D721"/>
    <mergeCell ref="C722:D722"/>
    <mergeCell ref="C703:D703"/>
    <mergeCell ref="C704:D704"/>
    <mergeCell ref="C705:D705"/>
    <mergeCell ref="B706:F706"/>
    <mergeCell ref="G708:G709"/>
    <mergeCell ref="A710:B710"/>
    <mergeCell ref="D710:I711"/>
    <mergeCell ref="A712:A713"/>
    <mergeCell ref="B712:B713"/>
    <mergeCell ref="C712:D713"/>
    <mergeCell ref="E712:E713"/>
    <mergeCell ref="F712:F713"/>
    <mergeCell ref="G712:G713"/>
    <mergeCell ref="C694:D694"/>
    <mergeCell ref="C695:D695"/>
    <mergeCell ref="C696:D696"/>
    <mergeCell ref="C697:D697"/>
    <mergeCell ref="C698:D698"/>
    <mergeCell ref="C699:D699"/>
    <mergeCell ref="C700:D700"/>
    <mergeCell ref="C701:D701"/>
    <mergeCell ref="C702:D702"/>
    <mergeCell ref="A689:B689"/>
    <mergeCell ref="D689:I690"/>
    <mergeCell ref="A691:A692"/>
    <mergeCell ref="B691:B692"/>
    <mergeCell ref="C691:D692"/>
    <mergeCell ref="E691:E692"/>
    <mergeCell ref="F691:F692"/>
    <mergeCell ref="G691:G692"/>
    <mergeCell ref="C693:D693"/>
    <mergeCell ref="C681:D681"/>
    <mergeCell ref="C682:D682"/>
    <mergeCell ref="C683:D683"/>
    <mergeCell ref="C684:D684"/>
    <mergeCell ref="B685:F685"/>
    <mergeCell ref="G687:G688"/>
    <mergeCell ref="A395:B395"/>
    <mergeCell ref="D395:I396"/>
    <mergeCell ref="A397:A398"/>
    <mergeCell ref="B397:B398"/>
    <mergeCell ref="C397:D398"/>
    <mergeCell ref="E397:E398"/>
    <mergeCell ref="F397:F398"/>
    <mergeCell ref="G397:G398"/>
    <mergeCell ref="C399:D399"/>
    <mergeCell ref="C400:D400"/>
    <mergeCell ref="C401:D401"/>
    <mergeCell ref="C402:D402"/>
    <mergeCell ref="C403:D403"/>
    <mergeCell ref="C404:D404"/>
    <mergeCell ref="C405:D405"/>
    <mergeCell ref="C406:D406"/>
    <mergeCell ref="C407:D407"/>
    <mergeCell ref="C408:D408"/>
    <mergeCell ref="C672:D672"/>
    <mergeCell ref="C673:D673"/>
    <mergeCell ref="C674:D674"/>
    <mergeCell ref="C675:D675"/>
    <mergeCell ref="C676:D676"/>
    <mergeCell ref="C677:D677"/>
    <mergeCell ref="C678:D678"/>
    <mergeCell ref="C679:D679"/>
    <mergeCell ref="C680:D680"/>
    <mergeCell ref="C660:D660"/>
    <mergeCell ref="C661:D661"/>
    <mergeCell ref="C662:D662"/>
    <mergeCell ref="C663:D663"/>
    <mergeCell ref="B664:F664"/>
    <mergeCell ref="G666:G667"/>
    <mergeCell ref="A668:B668"/>
    <mergeCell ref="D668:I669"/>
    <mergeCell ref="A670:A671"/>
    <mergeCell ref="B670:B671"/>
    <mergeCell ref="C670:D671"/>
    <mergeCell ref="E670:E671"/>
    <mergeCell ref="F670:F671"/>
    <mergeCell ref="G670:G671"/>
    <mergeCell ref="C651:D651"/>
    <mergeCell ref="C652:D652"/>
    <mergeCell ref="C653:D653"/>
    <mergeCell ref="C654:D654"/>
    <mergeCell ref="C655:D655"/>
    <mergeCell ref="C656:D656"/>
    <mergeCell ref="C657:D657"/>
    <mergeCell ref="C658:D658"/>
    <mergeCell ref="C659:D659"/>
    <mergeCell ref="C639:D639"/>
    <mergeCell ref="C640:D640"/>
    <mergeCell ref="C641:D641"/>
    <mergeCell ref="C642:D642"/>
    <mergeCell ref="B643:F643"/>
    <mergeCell ref="G645:G646"/>
    <mergeCell ref="A647:B647"/>
    <mergeCell ref="D647:I648"/>
    <mergeCell ref="A649:A650"/>
    <mergeCell ref="B649:B650"/>
    <mergeCell ref="C649:D650"/>
    <mergeCell ref="E649:E650"/>
    <mergeCell ref="F649:F650"/>
    <mergeCell ref="G649:G650"/>
    <mergeCell ref="C630:D630"/>
    <mergeCell ref="C631:D631"/>
    <mergeCell ref="C632:D632"/>
    <mergeCell ref="C633:D633"/>
    <mergeCell ref="C634:D634"/>
    <mergeCell ref="C635:D635"/>
    <mergeCell ref="C636:D636"/>
    <mergeCell ref="C637:D637"/>
    <mergeCell ref="C638:D638"/>
    <mergeCell ref="C618:D618"/>
    <mergeCell ref="C619:D619"/>
    <mergeCell ref="C620:D620"/>
    <mergeCell ref="C621:D621"/>
    <mergeCell ref="B622:F622"/>
    <mergeCell ref="G624:G625"/>
    <mergeCell ref="A626:B626"/>
    <mergeCell ref="D626:I627"/>
    <mergeCell ref="A628:A629"/>
    <mergeCell ref="B628:B629"/>
    <mergeCell ref="C628:D629"/>
    <mergeCell ref="E628:E629"/>
    <mergeCell ref="F628:F629"/>
    <mergeCell ref="G628:G629"/>
    <mergeCell ref="C609:D609"/>
    <mergeCell ref="C610:D610"/>
    <mergeCell ref="C611:D611"/>
    <mergeCell ref="C612:D612"/>
    <mergeCell ref="C613:D613"/>
    <mergeCell ref="C614:D614"/>
    <mergeCell ref="C615:D615"/>
    <mergeCell ref="C616:D616"/>
    <mergeCell ref="C617:D617"/>
    <mergeCell ref="C597:D597"/>
    <mergeCell ref="C598:D598"/>
    <mergeCell ref="C599:D599"/>
    <mergeCell ref="C600:D600"/>
    <mergeCell ref="B601:F601"/>
    <mergeCell ref="G603:G604"/>
    <mergeCell ref="A605:B605"/>
    <mergeCell ref="D605:I606"/>
    <mergeCell ref="A607:A608"/>
    <mergeCell ref="B607:B608"/>
    <mergeCell ref="C607:D608"/>
    <mergeCell ref="E607:E608"/>
    <mergeCell ref="F607:F608"/>
    <mergeCell ref="G607:G608"/>
    <mergeCell ref="C588:D588"/>
    <mergeCell ref="C589:D589"/>
    <mergeCell ref="C590:D590"/>
    <mergeCell ref="C591:D591"/>
    <mergeCell ref="C592:D592"/>
    <mergeCell ref="C593:D593"/>
    <mergeCell ref="C594:D594"/>
    <mergeCell ref="C595:D595"/>
    <mergeCell ref="C596:D596"/>
    <mergeCell ref="C576:D576"/>
    <mergeCell ref="C577:D577"/>
    <mergeCell ref="C578:D578"/>
    <mergeCell ref="C579:D579"/>
    <mergeCell ref="B580:F580"/>
    <mergeCell ref="G582:G583"/>
    <mergeCell ref="A584:B584"/>
    <mergeCell ref="D584:I585"/>
    <mergeCell ref="A586:A587"/>
    <mergeCell ref="B586:B587"/>
    <mergeCell ref="C586:D587"/>
    <mergeCell ref="E586:E587"/>
    <mergeCell ref="F586:F587"/>
    <mergeCell ref="G586:G587"/>
    <mergeCell ref="C567:D567"/>
    <mergeCell ref="C568:D568"/>
    <mergeCell ref="C569:D569"/>
    <mergeCell ref="C570:D570"/>
    <mergeCell ref="C571:D571"/>
    <mergeCell ref="C572:D572"/>
    <mergeCell ref="C573:D573"/>
    <mergeCell ref="C574:D574"/>
    <mergeCell ref="C575:D575"/>
    <mergeCell ref="C555:D555"/>
    <mergeCell ref="C556:D556"/>
    <mergeCell ref="C557:D557"/>
    <mergeCell ref="C558:D558"/>
    <mergeCell ref="B559:F559"/>
    <mergeCell ref="G561:G562"/>
    <mergeCell ref="A563:B563"/>
    <mergeCell ref="D563:I564"/>
    <mergeCell ref="A565:A566"/>
    <mergeCell ref="B565:B566"/>
    <mergeCell ref="C565:D566"/>
    <mergeCell ref="E565:E566"/>
    <mergeCell ref="F565:F566"/>
    <mergeCell ref="G565:G566"/>
    <mergeCell ref="C546:D546"/>
    <mergeCell ref="C547:D547"/>
    <mergeCell ref="C548:D548"/>
    <mergeCell ref="C549:D549"/>
    <mergeCell ref="C550:D550"/>
    <mergeCell ref="C551:D551"/>
    <mergeCell ref="C552:D552"/>
    <mergeCell ref="C553:D553"/>
    <mergeCell ref="C554:D554"/>
    <mergeCell ref="C534:D534"/>
    <mergeCell ref="C535:D535"/>
    <mergeCell ref="C536:D536"/>
    <mergeCell ref="C537:D537"/>
    <mergeCell ref="B538:F538"/>
    <mergeCell ref="G540:G541"/>
    <mergeCell ref="A542:B542"/>
    <mergeCell ref="D542:I543"/>
    <mergeCell ref="A544:A545"/>
    <mergeCell ref="B544:B545"/>
    <mergeCell ref="C544:D545"/>
    <mergeCell ref="E544:E545"/>
    <mergeCell ref="F544:F545"/>
    <mergeCell ref="G544:G545"/>
    <mergeCell ref="C525:D525"/>
    <mergeCell ref="C526:D526"/>
    <mergeCell ref="C527:D527"/>
    <mergeCell ref="C528:D528"/>
    <mergeCell ref="C529:D529"/>
    <mergeCell ref="C530:D530"/>
    <mergeCell ref="C531:D531"/>
    <mergeCell ref="C532:D532"/>
    <mergeCell ref="C533:D533"/>
    <mergeCell ref="C513:D513"/>
    <mergeCell ref="C514:D514"/>
    <mergeCell ref="C515:D515"/>
    <mergeCell ref="C516:D516"/>
    <mergeCell ref="B517:F517"/>
    <mergeCell ref="G519:G520"/>
    <mergeCell ref="A521:B521"/>
    <mergeCell ref="D521:I522"/>
    <mergeCell ref="A523:A524"/>
    <mergeCell ref="B523:B524"/>
    <mergeCell ref="C523:D524"/>
    <mergeCell ref="E523:E524"/>
    <mergeCell ref="F523:F524"/>
    <mergeCell ref="G523:G524"/>
    <mergeCell ref="C504:D504"/>
    <mergeCell ref="C505:D505"/>
    <mergeCell ref="C506:D506"/>
    <mergeCell ref="C507:D507"/>
    <mergeCell ref="C508:D508"/>
    <mergeCell ref="C509:D509"/>
    <mergeCell ref="C510:D510"/>
    <mergeCell ref="C511:D511"/>
    <mergeCell ref="C512:D512"/>
    <mergeCell ref="C492:D492"/>
    <mergeCell ref="C493:D493"/>
    <mergeCell ref="C494:D494"/>
    <mergeCell ref="C495:D495"/>
    <mergeCell ref="B496:F496"/>
    <mergeCell ref="G498:G499"/>
    <mergeCell ref="A500:B500"/>
    <mergeCell ref="D500:I501"/>
    <mergeCell ref="A502:A503"/>
    <mergeCell ref="B502:B503"/>
    <mergeCell ref="C502:D503"/>
    <mergeCell ref="E502:E503"/>
    <mergeCell ref="F502:F503"/>
    <mergeCell ref="G502:G503"/>
    <mergeCell ref="C483:D483"/>
    <mergeCell ref="C484:D484"/>
    <mergeCell ref="C485:D485"/>
    <mergeCell ref="C486:D486"/>
    <mergeCell ref="C487:D487"/>
    <mergeCell ref="C488:D488"/>
    <mergeCell ref="C489:D489"/>
    <mergeCell ref="C490:D490"/>
    <mergeCell ref="C491:D491"/>
    <mergeCell ref="C471:D471"/>
    <mergeCell ref="C472:D472"/>
    <mergeCell ref="C473:D473"/>
    <mergeCell ref="C474:D474"/>
    <mergeCell ref="B475:F475"/>
    <mergeCell ref="G477:G478"/>
    <mergeCell ref="A479:B479"/>
    <mergeCell ref="D479:I480"/>
    <mergeCell ref="A481:A482"/>
    <mergeCell ref="B481:B482"/>
    <mergeCell ref="C481:D482"/>
    <mergeCell ref="E481:E482"/>
    <mergeCell ref="F481:F482"/>
    <mergeCell ref="G481:G482"/>
    <mergeCell ref="C462:D462"/>
    <mergeCell ref="C463:D463"/>
    <mergeCell ref="C464:D464"/>
    <mergeCell ref="C465:D465"/>
    <mergeCell ref="C466:D466"/>
    <mergeCell ref="C467:D467"/>
    <mergeCell ref="C468:D468"/>
    <mergeCell ref="C469:D469"/>
    <mergeCell ref="C470:D470"/>
    <mergeCell ref="C450:D450"/>
    <mergeCell ref="C451:D451"/>
    <mergeCell ref="C452:D452"/>
    <mergeCell ref="C453:D453"/>
    <mergeCell ref="B454:F454"/>
    <mergeCell ref="G456:G457"/>
    <mergeCell ref="A458:B458"/>
    <mergeCell ref="D458:I459"/>
    <mergeCell ref="A460:A461"/>
    <mergeCell ref="B460:B461"/>
    <mergeCell ref="C460:D461"/>
    <mergeCell ref="E460:E461"/>
    <mergeCell ref="F460:F461"/>
    <mergeCell ref="G460:G461"/>
    <mergeCell ref="C441:D441"/>
    <mergeCell ref="C442:D442"/>
    <mergeCell ref="C443:D443"/>
    <mergeCell ref="C444:D444"/>
    <mergeCell ref="C445:D445"/>
    <mergeCell ref="C446:D446"/>
    <mergeCell ref="C447:D447"/>
    <mergeCell ref="C448:D448"/>
    <mergeCell ref="C449:D449"/>
    <mergeCell ref="G414:G415"/>
    <mergeCell ref="C429:D429"/>
    <mergeCell ref="C430:D430"/>
    <mergeCell ref="C431:D431"/>
    <mergeCell ref="C432:D432"/>
    <mergeCell ref="B433:F433"/>
    <mergeCell ref="G435:G436"/>
    <mergeCell ref="A437:B437"/>
    <mergeCell ref="D437:I438"/>
    <mergeCell ref="A439:A440"/>
    <mergeCell ref="B439:B440"/>
    <mergeCell ref="C439:D440"/>
    <mergeCell ref="E439:E440"/>
    <mergeCell ref="F439:F440"/>
    <mergeCell ref="G439:G440"/>
    <mergeCell ref="C420:D420"/>
    <mergeCell ref="C421:D421"/>
    <mergeCell ref="C422:D422"/>
    <mergeCell ref="C423:D423"/>
    <mergeCell ref="C424:D424"/>
    <mergeCell ref="C425:D425"/>
    <mergeCell ref="C426:D426"/>
    <mergeCell ref="C427:D427"/>
    <mergeCell ref="C428:D428"/>
    <mergeCell ref="C346:D346"/>
    <mergeCell ref="C347:D347"/>
    <mergeCell ref="C348:D348"/>
    <mergeCell ref="C378:D378"/>
    <mergeCell ref="C379:D379"/>
    <mergeCell ref="C380:D380"/>
    <mergeCell ref="C381:D381"/>
    <mergeCell ref="C382:D382"/>
    <mergeCell ref="C383:D383"/>
    <mergeCell ref="C384:D384"/>
    <mergeCell ref="C385:D385"/>
    <mergeCell ref="C386:D386"/>
    <mergeCell ref="C369:D369"/>
    <mergeCell ref="B370:F370"/>
    <mergeCell ref="B349:F349"/>
    <mergeCell ref="G372:G373"/>
    <mergeCell ref="A374:B374"/>
    <mergeCell ref="D374:I375"/>
    <mergeCell ref="A376:A377"/>
    <mergeCell ref="B376:B377"/>
    <mergeCell ref="C376:D377"/>
    <mergeCell ref="E376:E377"/>
    <mergeCell ref="F376:F377"/>
    <mergeCell ref="G376:G377"/>
    <mergeCell ref="G351:G352"/>
    <mergeCell ref="A353:B353"/>
    <mergeCell ref="D353:I354"/>
    <mergeCell ref="A355:A356"/>
    <mergeCell ref="B355:B356"/>
    <mergeCell ref="C355:D356"/>
    <mergeCell ref="E355:E356"/>
    <mergeCell ref="F355:F356"/>
    <mergeCell ref="C21:D21"/>
    <mergeCell ref="C22:D22"/>
    <mergeCell ref="B183:B184"/>
    <mergeCell ref="C183:D184"/>
    <mergeCell ref="E183:E184"/>
    <mergeCell ref="F183:F184"/>
    <mergeCell ref="G183:G184"/>
    <mergeCell ref="G222:G223"/>
    <mergeCell ref="C368:D368"/>
    <mergeCell ref="C317:D317"/>
    <mergeCell ref="C318:D318"/>
    <mergeCell ref="C319:D319"/>
    <mergeCell ref="C320:D320"/>
    <mergeCell ref="C321:D321"/>
    <mergeCell ref="C322:D322"/>
    <mergeCell ref="C323:D323"/>
    <mergeCell ref="C324:D324"/>
    <mergeCell ref="C325:D325"/>
    <mergeCell ref="C345:D345"/>
    <mergeCell ref="C360:D360"/>
    <mergeCell ref="C361:D361"/>
    <mergeCell ref="C362:D362"/>
    <mergeCell ref="A312:B312"/>
    <mergeCell ref="D312:I313"/>
    <mergeCell ref="A314:A315"/>
    <mergeCell ref="B314:B315"/>
    <mergeCell ref="C314:D315"/>
    <mergeCell ref="E314:E315"/>
    <mergeCell ref="F314:F315"/>
    <mergeCell ref="G314:G315"/>
    <mergeCell ref="C316:D316"/>
    <mergeCell ref="C326:D326"/>
    <mergeCell ref="C327:D327"/>
    <mergeCell ref="C328:D328"/>
    <mergeCell ref="B329:F329"/>
    <mergeCell ref="G331:G332"/>
    <mergeCell ref="A333:B333"/>
    <mergeCell ref="D333:I334"/>
    <mergeCell ref="A335:A336"/>
    <mergeCell ref="B335:B336"/>
    <mergeCell ref="C335:D336"/>
    <mergeCell ref="E335:E336"/>
    <mergeCell ref="F335:F336"/>
    <mergeCell ref="G335:G336"/>
    <mergeCell ref="C340:D340"/>
    <mergeCell ref="C342:D342"/>
    <mergeCell ref="C343:D343"/>
    <mergeCell ref="C344:D344"/>
    <mergeCell ref="C337:D337"/>
    <mergeCell ref="C338:D338"/>
    <mergeCell ref="C341:D341"/>
    <mergeCell ref="C339:D339"/>
    <mergeCell ref="G355:G356"/>
    <mergeCell ref="C357:D357"/>
    <mergeCell ref="C358:D358"/>
    <mergeCell ref="C359:D359"/>
    <mergeCell ref="C1750:D1750"/>
    <mergeCell ref="C1751:D1751"/>
    <mergeCell ref="C1752:D1752"/>
    <mergeCell ref="C1753:D1753"/>
    <mergeCell ref="C1754:D1754"/>
    <mergeCell ref="C363:D363"/>
    <mergeCell ref="C364:D364"/>
    <mergeCell ref="C365:D365"/>
    <mergeCell ref="C366:D366"/>
    <mergeCell ref="C367:D367"/>
    <mergeCell ref="C387:D387"/>
    <mergeCell ref="C388:D388"/>
    <mergeCell ref="C389:D389"/>
    <mergeCell ref="C390:D390"/>
    <mergeCell ref="B391:F391"/>
    <mergeCell ref="G393:G394"/>
    <mergeCell ref="A416:B416"/>
    <mergeCell ref="D416:I417"/>
    <mergeCell ref="A418:A419"/>
    <mergeCell ref="B418:B419"/>
    <mergeCell ref="C418:D419"/>
    <mergeCell ref="E418:E419"/>
    <mergeCell ref="F418:F419"/>
    <mergeCell ref="G418:G419"/>
    <mergeCell ref="C409:D409"/>
    <mergeCell ref="C410:D410"/>
    <mergeCell ref="C411:D411"/>
    <mergeCell ref="B412:F412"/>
    <mergeCell ref="C1755:D1755"/>
    <mergeCell ref="C1756:D1756"/>
    <mergeCell ref="C1757:D1757"/>
    <mergeCell ref="C1758:D1758"/>
    <mergeCell ref="C1759:D1759"/>
    <mergeCell ref="C1760:D1760"/>
    <mergeCell ref="C1761:D1761"/>
    <mergeCell ref="C1762:D1762"/>
    <mergeCell ref="B1763:F1763"/>
    <mergeCell ref="A1746:B1746"/>
    <mergeCell ref="A1748:A1749"/>
    <mergeCell ref="B1748:B1749"/>
    <mergeCell ref="C1748:D1749"/>
    <mergeCell ref="G1765:G1766"/>
    <mergeCell ref="A1767:B1767"/>
    <mergeCell ref="D1767:I1768"/>
    <mergeCell ref="A1769:A1770"/>
    <mergeCell ref="B1769:B1770"/>
    <mergeCell ref="C1769:D1770"/>
    <mergeCell ref="E1769:E1770"/>
    <mergeCell ref="F1769:F1770"/>
    <mergeCell ref="G1769:G1770"/>
    <mergeCell ref="C1771:D1771"/>
    <mergeCell ref="C1772:D1772"/>
    <mergeCell ref="C1773:D1773"/>
    <mergeCell ref="C1774:D1774"/>
    <mergeCell ref="C1775:D1775"/>
    <mergeCell ref="C1776:D1776"/>
    <mergeCell ref="C1777:D1777"/>
    <mergeCell ref="C1778:D1778"/>
    <mergeCell ref="C1779:D1779"/>
    <mergeCell ref="C1780:D1780"/>
    <mergeCell ref="C1781:D1781"/>
    <mergeCell ref="C1782:D1782"/>
    <mergeCell ref="C1783:D1783"/>
    <mergeCell ref="B1784:F1784"/>
    <mergeCell ref="G1786:G1787"/>
    <mergeCell ref="A1788:B1788"/>
    <mergeCell ref="D1788:I1789"/>
    <mergeCell ref="A1790:A1791"/>
    <mergeCell ref="B1790:B1791"/>
    <mergeCell ref="C1790:D1791"/>
    <mergeCell ref="E1790:E1791"/>
    <mergeCell ref="F1790:F1791"/>
    <mergeCell ref="G1790:G1791"/>
    <mergeCell ref="C1792:D1792"/>
    <mergeCell ref="C1793:D1793"/>
    <mergeCell ref="C1794:D1794"/>
    <mergeCell ref="C1795:D1795"/>
    <mergeCell ref="C1796:D1796"/>
    <mergeCell ref="C1797:D1797"/>
    <mergeCell ref="C1798:D1798"/>
    <mergeCell ref="C1799:D1799"/>
    <mergeCell ref="C1800:D1800"/>
    <mergeCell ref="C1801:D1801"/>
    <mergeCell ref="C1802:D1802"/>
    <mergeCell ref="C1803:D1803"/>
    <mergeCell ref="C1804:D1804"/>
    <mergeCell ref="B1805:F1805"/>
    <mergeCell ref="G1807:G1808"/>
    <mergeCell ref="A1809:B1809"/>
    <mergeCell ref="D1809:I1810"/>
    <mergeCell ref="A1811:A1812"/>
    <mergeCell ref="B1811:B1812"/>
    <mergeCell ref="C1811:D1812"/>
    <mergeCell ref="E1811:E1812"/>
    <mergeCell ref="F1811:F1812"/>
    <mergeCell ref="G1811:G1812"/>
    <mergeCell ref="C1813:D1813"/>
    <mergeCell ref="C1814:D1814"/>
    <mergeCell ref="C1815:D1815"/>
    <mergeCell ref="C1816:D1816"/>
    <mergeCell ref="C1817:D1817"/>
    <mergeCell ref="C1818:D1818"/>
    <mergeCell ref="C1819:D1819"/>
    <mergeCell ref="C1820:D1820"/>
    <mergeCell ref="C1821:D1821"/>
    <mergeCell ref="C1822:D1822"/>
    <mergeCell ref="C1823:D1823"/>
    <mergeCell ref="C1824:D1824"/>
    <mergeCell ref="C1825:D1825"/>
    <mergeCell ref="B1826:F1826"/>
    <mergeCell ref="G1828:G1829"/>
    <mergeCell ref="A1830:B1830"/>
    <mergeCell ref="D1830:I1831"/>
    <mergeCell ref="A1832:A1833"/>
    <mergeCell ref="B1832:B1833"/>
    <mergeCell ref="C1832:D1833"/>
    <mergeCell ref="E1832:E1833"/>
    <mergeCell ref="F1832:F1833"/>
    <mergeCell ref="G1832:G1833"/>
    <mergeCell ref="C1834:D1834"/>
    <mergeCell ref="C1835:D1835"/>
    <mergeCell ref="C1836:D1836"/>
    <mergeCell ref="C1837:D1837"/>
    <mergeCell ref="C1838:D1838"/>
    <mergeCell ref="C1839:D1839"/>
    <mergeCell ref="C1840:D1840"/>
    <mergeCell ref="C1841:D1841"/>
    <mergeCell ref="C1842:D1842"/>
    <mergeCell ref="C1843:D1843"/>
    <mergeCell ref="C1844:D1844"/>
    <mergeCell ref="C1845:D1845"/>
    <mergeCell ref="C1846:D1846"/>
    <mergeCell ref="B1847:F1847"/>
    <mergeCell ref="G1849:G1850"/>
    <mergeCell ref="A1851:B1851"/>
    <mergeCell ref="D1851:I1852"/>
    <mergeCell ref="A1853:A1854"/>
    <mergeCell ref="B1853:B1854"/>
    <mergeCell ref="C1853:D1854"/>
    <mergeCell ref="E1853:E1854"/>
    <mergeCell ref="F1853:F1854"/>
    <mergeCell ref="G1853:G1854"/>
    <mergeCell ref="C1855:D1855"/>
    <mergeCell ref="C1856:D1856"/>
    <mergeCell ref="C1857:D1857"/>
    <mergeCell ref="C1858:D1858"/>
    <mergeCell ref="C1859:D1859"/>
    <mergeCell ref="C1860:D1860"/>
    <mergeCell ref="C1861:D1861"/>
    <mergeCell ref="C1862:D1862"/>
    <mergeCell ref="C1863:D1863"/>
    <mergeCell ref="C1864:D1864"/>
    <mergeCell ref="C1865:D1865"/>
    <mergeCell ref="C1866:D1866"/>
    <mergeCell ref="C1867:D1867"/>
    <mergeCell ref="B1868:F1868"/>
    <mergeCell ref="G1870:G1871"/>
    <mergeCell ref="A1872:B1872"/>
    <mergeCell ref="D1872:I1873"/>
    <mergeCell ref="A1874:A1875"/>
    <mergeCell ref="B1874:B1875"/>
    <mergeCell ref="C1874:D1875"/>
    <mergeCell ref="E1874:E1875"/>
    <mergeCell ref="F1874:F1875"/>
    <mergeCell ref="G1874:G1875"/>
    <mergeCell ref="C1876:D1876"/>
    <mergeCell ref="C1877:D1877"/>
    <mergeCell ref="C1878:D1878"/>
    <mergeCell ref="C1879:D1879"/>
    <mergeCell ref="C1880:D1880"/>
    <mergeCell ref="C1881:D1881"/>
    <mergeCell ref="C1882:D1882"/>
    <mergeCell ref="C1883:D1883"/>
    <mergeCell ref="C1884:D1884"/>
    <mergeCell ref="C1885:D1885"/>
    <mergeCell ref="C1886:D1886"/>
    <mergeCell ref="C1887:D1887"/>
    <mergeCell ref="C1888:D1888"/>
    <mergeCell ref="B1889:F1889"/>
    <mergeCell ref="G1891:G1892"/>
    <mergeCell ref="A1893:B1893"/>
    <mergeCell ref="D1893:I1894"/>
    <mergeCell ref="A1895:A1896"/>
    <mergeCell ref="B1895:B1896"/>
    <mergeCell ref="C1895:D1896"/>
    <mergeCell ref="E1895:E1896"/>
    <mergeCell ref="F1895:F1896"/>
    <mergeCell ref="G1895:G1896"/>
    <mergeCell ref="C1897:D1897"/>
    <mergeCell ref="C1898:D1898"/>
    <mergeCell ref="C1899:D1899"/>
    <mergeCell ref="C1900:D1900"/>
    <mergeCell ref="C1901:D1901"/>
    <mergeCell ref="C1902:D1902"/>
    <mergeCell ref="C1903:D1903"/>
    <mergeCell ref="C1904:D1904"/>
    <mergeCell ref="C1905:D1905"/>
    <mergeCell ref="C1906:D1906"/>
    <mergeCell ref="C1907:D1907"/>
    <mergeCell ref="C1908:D1908"/>
    <mergeCell ref="C1909:D1909"/>
    <mergeCell ref="B1910:F1910"/>
    <mergeCell ref="G1912:G1913"/>
    <mergeCell ref="A1914:B1914"/>
    <mergeCell ref="D1914:I1915"/>
    <mergeCell ref="A1916:A1917"/>
    <mergeCell ref="B1916:B1917"/>
    <mergeCell ref="C1916:D1917"/>
    <mergeCell ref="E1916:E1917"/>
    <mergeCell ref="F1916:F1917"/>
    <mergeCell ref="G1916:G1917"/>
    <mergeCell ref="C1918:D1918"/>
    <mergeCell ref="C1919:D1919"/>
    <mergeCell ref="C1920:D1920"/>
    <mergeCell ref="C1921:D1921"/>
    <mergeCell ref="C1922:D1922"/>
    <mergeCell ref="C1923:D1923"/>
    <mergeCell ref="C1924:D1924"/>
    <mergeCell ref="C1925:D1925"/>
    <mergeCell ref="C1926:D1926"/>
    <mergeCell ref="C1927:D1927"/>
    <mergeCell ref="C1928:D1928"/>
    <mergeCell ref="C1929:D1929"/>
    <mergeCell ref="C1930:D1930"/>
    <mergeCell ref="B1931:F1931"/>
    <mergeCell ref="G1933:G1934"/>
    <mergeCell ref="A1935:B1935"/>
    <mergeCell ref="D1935:I1936"/>
    <mergeCell ref="A1937:A1938"/>
    <mergeCell ref="B1937:B1938"/>
    <mergeCell ref="C1937:D1938"/>
    <mergeCell ref="E1937:E1938"/>
    <mergeCell ref="F1937:F1938"/>
    <mergeCell ref="G1937:G1938"/>
    <mergeCell ref="C1939:D1939"/>
    <mergeCell ref="C1940:D1940"/>
    <mergeCell ref="C1941:D1941"/>
    <mergeCell ref="C1942:D1942"/>
    <mergeCell ref="C1943:D1943"/>
    <mergeCell ref="C1944:D1944"/>
    <mergeCell ref="C1945:D1945"/>
    <mergeCell ref="C1946:D1946"/>
    <mergeCell ref="C1947:D1947"/>
    <mergeCell ref="C1948:D1948"/>
    <mergeCell ref="C1949:D1949"/>
    <mergeCell ref="C1950:D1950"/>
    <mergeCell ref="C1951:D1951"/>
    <mergeCell ref="B1952:F1952"/>
    <mergeCell ref="G1954:G1955"/>
    <mergeCell ref="A1956:B1956"/>
    <mergeCell ref="D1956:I1957"/>
    <mergeCell ref="A1958:A1959"/>
    <mergeCell ref="B1958:B1959"/>
    <mergeCell ref="C1958:D1959"/>
    <mergeCell ref="E1958:E1959"/>
    <mergeCell ref="F1958:F1959"/>
    <mergeCell ref="G1958:G1959"/>
    <mergeCell ref="C1960:D1960"/>
    <mergeCell ref="C1961:D1961"/>
    <mergeCell ref="C1962:D1962"/>
    <mergeCell ref="C1963:D1963"/>
    <mergeCell ref="C1964:D1964"/>
    <mergeCell ref="C1965:D1965"/>
    <mergeCell ref="C1966:D1966"/>
    <mergeCell ref="C1967:D1967"/>
    <mergeCell ref="C1968:D1968"/>
    <mergeCell ref="C1969:D1969"/>
    <mergeCell ref="C1970:D1970"/>
    <mergeCell ref="C1971:D1971"/>
    <mergeCell ref="C1972:D1972"/>
    <mergeCell ref="B1973:F1973"/>
    <mergeCell ref="G1975:G1976"/>
    <mergeCell ref="A1977:B1977"/>
    <mergeCell ref="D1977:I1978"/>
    <mergeCell ref="A1979:A1980"/>
    <mergeCell ref="B1979:B1980"/>
    <mergeCell ref="C1979:D1980"/>
    <mergeCell ref="E1979:E1980"/>
    <mergeCell ref="F1979:F1980"/>
    <mergeCell ref="G1979:G1980"/>
    <mergeCell ref="C1981:D1981"/>
    <mergeCell ref="C1982:D1982"/>
    <mergeCell ref="C1983:D1983"/>
    <mergeCell ref="C1984:D1984"/>
    <mergeCell ref="C1985:D1985"/>
    <mergeCell ref="C1986:D1986"/>
    <mergeCell ref="C1987:D1987"/>
    <mergeCell ref="C1988:D1988"/>
    <mergeCell ref="C1989:D1989"/>
    <mergeCell ref="C1990:D1990"/>
    <mergeCell ref="C1991:D1991"/>
    <mergeCell ref="C1992:D1992"/>
    <mergeCell ref="C1993:D1993"/>
    <mergeCell ref="B1994:F1994"/>
    <mergeCell ref="G1996:G1997"/>
    <mergeCell ref="A1998:B1998"/>
    <mergeCell ref="D1998:I1999"/>
    <mergeCell ref="A2000:A2001"/>
    <mergeCell ref="B2000:B2001"/>
    <mergeCell ref="C2000:D2001"/>
    <mergeCell ref="E2000:E2001"/>
    <mergeCell ref="F2000:F2001"/>
    <mergeCell ref="G2000:G2001"/>
    <mergeCell ref="C2002:D2002"/>
    <mergeCell ref="C2003:D2003"/>
    <mergeCell ref="C2004:D2004"/>
    <mergeCell ref="C2005:D2005"/>
    <mergeCell ref="C2006:D2006"/>
    <mergeCell ref="C2007:D2007"/>
    <mergeCell ref="C2008:D2008"/>
    <mergeCell ref="C2009:D2009"/>
    <mergeCell ref="C2010:D2010"/>
    <mergeCell ref="C2011:D2011"/>
    <mergeCell ref="C2012:D2012"/>
    <mergeCell ref="C2013:D2013"/>
    <mergeCell ref="C2014:D2014"/>
    <mergeCell ref="B2015:F2015"/>
    <mergeCell ref="G2017:G2018"/>
    <mergeCell ref="A2019:B2019"/>
    <mergeCell ref="D2019:I2020"/>
    <mergeCell ref="A2021:A2022"/>
    <mergeCell ref="B2021:B2022"/>
    <mergeCell ref="C2021:D2022"/>
    <mergeCell ref="E2021:E2022"/>
    <mergeCell ref="F2021:F2022"/>
    <mergeCell ref="G2021:G2022"/>
    <mergeCell ref="C2023:D2023"/>
    <mergeCell ref="C2024:D2024"/>
    <mergeCell ref="C2025:D2025"/>
    <mergeCell ref="C2026:D2026"/>
    <mergeCell ref="C2027:D2027"/>
    <mergeCell ref="C2028:D2028"/>
    <mergeCell ref="C2029:D2029"/>
    <mergeCell ref="C2030:D2030"/>
    <mergeCell ref="C2031:D2031"/>
    <mergeCell ref="C2032:D2032"/>
    <mergeCell ref="C2033:D2033"/>
    <mergeCell ref="C2034:D2034"/>
    <mergeCell ref="C2035:D2035"/>
    <mergeCell ref="B2036:F2036"/>
    <mergeCell ref="G2038:G2039"/>
    <mergeCell ref="A2040:B2040"/>
    <mergeCell ref="D2040:I2041"/>
    <mergeCell ref="A2042:A2043"/>
    <mergeCell ref="B2042:B2043"/>
    <mergeCell ref="C2042:D2043"/>
    <mergeCell ref="E2042:E2043"/>
    <mergeCell ref="F2042:F2043"/>
    <mergeCell ref="G2042:G2043"/>
    <mergeCell ref="C2044:D2044"/>
    <mergeCell ref="C2045:D2045"/>
    <mergeCell ref="C2046:D2046"/>
    <mergeCell ref="C2047:D2047"/>
    <mergeCell ref="C2048:D2048"/>
    <mergeCell ref="C2049:D2049"/>
    <mergeCell ref="C2050:D2050"/>
    <mergeCell ref="C2051:D2051"/>
    <mergeCell ref="C2052:D2052"/>
    <mergeCell ref="C2053:D2053"/>
    <mergeCell ref="C2054:D2054"/>
    <mergeCell ref="C2055:D2055"/>
    <mergeCell ref="C2056:D2056"/>
    <mergeCell ref="B2057:F2057"/>
    <mergeCell ref="G2059:G2060"/>
    <mergeCell ref="A2061:B2061"/>
    <mergeCell ref="D2061:I2062"/>
    <mergeCell ref="A2063:A2064"/>
    <mergeCell ref="B2063:B2064"/>
    <mergeCell ref="C2063:D2064"/>
    <mergeCell ref="E2063:E2064"/>
    <mergeCell ref="F2063:F2064"/>
    <mergeCell ref="G2063:G2064"/>
    <mergeCell ref="C2065:D2065"/>
    <mergeCell ref="C2066:D2066"/>
    <mergeCell ref="C2067:D2067"/>
    <mergeCell ref="C2068:D2068"/>
    <mergeCell ref="C2069:D2069"/>
    <mergeCell ref="C2070:D2070"/>
    <mergeCell ref="C2071:D2071"/>
    <mergeCell ref="C2072:D2072"/>
    <mergeCell ref="C2073:D2073"/>
    <mergeCell ref="C2074:D2074"/>
    <mergeCell ref="C2075:D2075"/>
    <mergeCell ref="C2076:D2076"/>
    <mergeCell ref="C2077:D2077"/>
    <mergeCell ref="B2078:F2078"/>
    <mergeCell ref="G2080:G2081"/>
    <mergeCell ref="A2082:B2082"/>
    <mergeCell ref="D2082:I2083"/>
    <mergeCell ref="A2084:A2085"/>
    <mergeCell ref="B2084:B2085"/>
    <mergeCell ref="C2084:D2085"/>
    <mergeCell ref="E2084:E2085"/>
    <mergeCell ref="F2084:F2085"/>
    <mergeCell ref="G2084:G2085"/>
    <mergeCell ref="C2086:D2086"/>
    <mergeCell ref="C2087:D2087"/>
    <mergeCell ref="C2088:D2088"/>
    <mergeCell ref="C2089:D2089"/>
    <mergeCell ref="C2090:D2090"/>
    <mergeCell ref="C2091:D2091"/>
    <mergeCell ref="C2092:D2092"/>
    <mergeCell ref="C2093:D2093"/>
    <mergeCell ref="C2094:D2094"/>
    <mergeCell ref="C2095:D2095"/>
    <mergeCell ref="C2096:D2096"/>
    <mergeCell ref="C2097:D2097"/>
    <mergeCell ref="C2098:D2098"/>
    <mergeCell ref="B2099:F2099"/>
    <mergeCell ref="G2101:G2102"/>
    <mergeCell ref="A2103:B2103"/>
    <mergeCell ref="D2103:I2104"/>
    <mergeCell ref="A2105:A2106"/>
    <mergeCell ref="B2105:B2106"/>
    <mergeCell ref="C2105:D2106"/>
    <mergeCell ref="E2105:E2106"/>
    <mergeCell ref="F2105:F2106"/>
    <mergeCell ref="G2105:G2106"/>
    <mergeCell ref="C2107:D2107"/>
    <mergeCell ref="C2108:D2108"/>
    <mergeCell ref="C2109:D2109"/>
    <mergeCell ref="C2110:D2110"/>
    <mergeCell ref="C2111:D2111"/>
    <mergeCell ref="C2112:D2112"/>
    <mergeCell ref="C2113:D2113"/>
    <mergeCell ref="C2114:D2114"/>
    <mergeCell ref="C2115:D2115"/>
    <mergeCell ref="C2116:D2116"/>
    <mergeCell ref="C2117:D2117"/>
    <mergeCell ref="C2118:D2118"/>
    <mergeCell ref="C2119:D2119"/>
    <mergeCell ref="B2120:F2120"/>
    <mergeCell ref="G2122:G2123"/>
    <mergeCell ref="A2124:B2124"/>
    <mergeCell ref="D2124:I2125"/>
    <mergeCell ref="A2126:A2127"/>
    <mergeCell ref="B2126:B2127"/>
    <mergeCell ref="C2126:D2127"/>
    <mergeCell ref="E2126:E2127"/>
    <mergeCell ref="F2126:F2127"/>
    <mergeCell ref="G2126:G2127"/>
    <mergeCell ref="C2128:D2128"/>
    <mergeCell ref="C2129:D2129"/>
    <mergeCell ref="C2130:D2130"/>
    <mergeCell ref="C2131:D2131"/>
    <mergeCell ref="C2132:D2132"/>
    <mergeCell ref="C2133:D2133"/>
    <mergeCell ref="C2134:D2134"/>
    <mergeCell ref="C2135:D2135"/>
    <mergeCell ref="C2136:D2136"/>
    <mergeCell ref="C2137:D2137"/>
    <mergeCell ref="C2138:D2138"/>
    <mergeCell ref="C2139:D2139"/>
    <mergeCell ref="C2140:D2140"/>
    <mergeCell ref="B2141:F2141"/>
    <mergeCell ref="G2143:G2144"/>
    <mergeCell ref="A2145:B2145"/>
    <mergeCell ref="D2145:I2146"/>
    <mergeCell ref="A2147:A2148"/>
    <mergeCell ref="B2147:B2148"/>
    <mergeCell ref="C2147:D2148"/>
    <mergeCell ref="E2147:E2148"/>
    <mergeCell ref="F2147:F2148"/>
    <mergeCell ref="G2147:G2148"/>
    <mergeCell ref="C2149:D2149"/>
    <mergeCell ref="C2150:D2150"/>
    <mergeCell ref="C2151:D2151"/>
    <mergeCell ref="C2152:D2152"/>
    <mergeCell ref="C2153:D2153"/>
    <mergeCell ref="C2154:D2154"/>
    <mergeCell ref="C2155:D2155"/>
    <mergeCell ref="C2156:D2156"/>
    <mergeCell ref="C2157:D2157"/>
    <mergeCell ref="C2158:D2158"/>
    <mergeCell ref="C2159:D2159"/>
    <mergeCell ref="C2160:D2160"/>
    <mergeCell ref="C2161:D2161"/>
    <mergeCell ref="B2162:F2162"/>
    <mergeCell ref="G2164:G2165"/>
    <mergeCell ref="A2166:B2166"/>
    <mergeCell ref="D2166:I2167"/>
    <mergeCell ref="A2168:A2169"/>
    <mergeCell ref="B2168:B2169"/>
    <mergeCell ref="C2168:D2169"/>
    <mergeCell ref="E2168:E2169"/>
    <mergeCell ref="F2168:F2169"/>
    <mergeCell ref="G2168:G2169"/>
    <mergeCell ref="C2170:D2170"/>
    <mergeCell ref="C2171:D2171"/>
    <mergeCell ref="C2172:D2172"/>
    <mergeCell ref="C2173:D2173"/>
    <mergeCell ref="C2174:D2174"/>
    <mergeCell ref="C2175:D2175"/>
    <mergeCell ref="C2176:D2176"/>
    <mergeCell ref="C2177:D2177"/>
    <mergeCell ref="C2178:D2178"/>
    <mergeCell ref="C2179:D2179"/>
    <mergeCell ref="C2180:D2180"/>
    <mergeCell ref="C2181:D2181"/>
    <mergeCell ref="C2182:D2182"/>
    <mergeCell ref="B2183:F2183"/>
    <mergeCell ref="G2185:G2186"/>
    <mergeCell ref="A2187:B2187"/>
    <mergeCell ref="D2187:I2188"/>
    <mergeCell ref="A2189:A2190"/>
    <mergeCell ref="B2189:B2190"/>
    <mergeCell ref="C2189:D2190"/>
    <mergeCell ref="E2189:E2190"/>
    <mergeCell ref="F2189:F2190"/>
    <mergeCell ref="G2189:G2190"/>
    <mergeCell ref="C2191:D2191"/>
    <mergeCell ref="C2192:D2192"/>
    <mergeCell ref="C2193:D2193"/>
    <mergeCell ref="C2194:D2194"/>
    <mergeCell ref="C2195:D2195"/>
    <mergeCell ref="C2196:D2196"/>
    <mergeCell ref="C2197:D2197"/>
    <mergeCell ref="C2198:D2198"/>
    <mergeCell ref="C2199:D2199"/>
    <mergeCell ref="C2200:D2200"/>
    <mergeCell ref="C2201:D2201"/>
    <mergeCell ref="C2202:D2202"/>
    <mergeCell ref="C2203:D2203"/>
    <mergeCell ref="B2204:F2204"/>
    <mergeCell ref="G2206:G2207"/>
    <mergeCell ref="A2208:B2208"/>
    <mergeCell ref="D2208:I2209"/>
    <mergeCell ref="A2210:A2211"/>
    <mergeCell ref="B2210:B2211"/>
    <mergeCell ref="C2210:D2211"/>
    <mergeCell ref="E2210:E2211"/>
    <mergeCell ref="F2210:F2211"/>
    <mergeCell ref="G2210:G2211"/>
    <mergeCell ref="C2212:D2212"/>
    <mergeCell ref="C2213:D2213"/>
    <mergeCell ref="C2214:D2214"/>
    <mergeCell ref="C2215:D2215"/>
    <mergeCell ref="C2216:D2216"/>
    <mergeCell ref="C2217:D2217"/>
    <mergeCell ref="C2218:D2218"/>
    <mergeCell ref="C2219:D2219"/>
    <mergeCell ref="C2220:D2220"/>
    <mergeCell ref="C2221:D2221"/>
    <mergeCell ref="C2222:D2222"/>
    <mergeCell ref="C2223:D2223"/>
    <mergeCell ref="C2224:D2224"/>
    <mergeCell ref="B2225:F2225"/>
    <mergeCell ref="G2227:G2228"/>
    <mergeCell ref="A2229:B2229"/>
    <mergeCell ref="D2229:I2230"/>
    <mergeCell ref="A2231:A2232"/>
    <mergeCell ref="B2231:B2232"/>
    <mergeCell ref="C2231:D2232"/>
    <mergeCell ref="E2231:E2232"/>
    <mergeCell ref="F2231:F2232"/>
    <mergeCell ref="G2231:G2232"/>
    <mergeCell ref="C2233:D2233"/>
    <mergeCell ref="C2234:D2234"/>
    <mergeCell ref="C2235:D2235"/>
    <mergeCell ref="C2236:D2236"/>
    <mergeCell ref="C2237:D2237"/>
    <mergeCell ref="C2238:D2238"/>
    <mergeCell ref="C2239:D2239"/>
    <mergeCell ref="C2240:D2240"/>
    <mergeCell ref="C2241:D2241"/>
    <mergeCell ref="C2242:D2242"/>
    <mergeCell ref="C2243:D2243"/>
    <mergeCell ref="C2244:D2244"/>
    <mergeCell ref="C2245:D2245"/>
    <mergeCell ref="B2246:F2246"/>
    <mergeCell ref="G2248:G2249"/>
    <mergeCell ref="A2250:B2250"/>
    <mergeCell ref="D2250:I2251"/>
    <mergeCell ref="A2252:A2253"/>
    <mergeCell ref="B2252:B2253"/>
    <mergeCell ref="C2252:D2253"/>
    <mergeCell ref="E2252:E2253"/>
    <mergeCell ref="F2252:F2253"/>
    <mergeCell ref="G2252:G2253"/>
    <mergeCell ref="C2254:D2254"/>
    <mergeCell ref="C2255:D2255"/>
    <mergeCell ref="C2256:D2256"/>
    <mergeCell ref="C2257:D2257"/>
    <mergeCell ref="C2258:D2258"/>
    <mergeCell ref="C2259:D2259"/>
    <mergeCell ref="C2260:D2260"/>
    <mergeCell ref="C2261:D2261"/>
    <mergeCell ref="C2262:D2262"/>
    <mergeCell ref="C2263:D2263"/>
    <mergeCell ref="C2264:D2264"/>
    <mergeCell ref="C2265:D2265"/>
    <mergeCell ref="C2266:D2266"/>
    <mergeCell ref="B2267:F2267"/>
    <mergeCell ref="G2269:G2270"/>
    <mergeCell ref="A2271:B2271"/>
    <mergeCell ref="D2271:I2272"/>
    <mergeCell ref="A2273:A2274"/>
    <mergeCell ref="B2273:B2274"/>
    <mergeCell ref="C2273:D2274"/>
    <mergeCell ref="E2273:E2274"/>
    <mergeCell ref="F2273:F2274"/>
    <mergeCell ref="G2273:G2274"/>
    <mergeCell ref="C2275:D2275"/>
    <mergeCell ref="C2276:D2276"/>
    <mergeCell ref="C2277:D2277"/>
    <mergeCell ref="C2278:D2278"/>
    <mergeCell ref="C2279:D2279"/>
    <mergeCell ref="C2280:D2280"/>
    <mergeCell ref="C2281:D2281"/>
    <mergeCell ref="C2282:D2282"/>
    <mergeCell ref="C2283:D2283"/>
    <mergeCell ref="C2284:D2284"/>
    <mergeCell ref="C2285:D2285"/>
    <mergeCell ref="C2286:D2286"/>
    <mergeCell ref="C2287:D2287"/>
    <mergeCell ref="B2288:F2288"/>
    <mergeCell ref="G2290:G2291"/>
    <mergeCell ref="A2292:B2292"/>
    <mergeCell ref="D2292:I2293"/>
    <mergeCell ref="A2294:A2295"/>
    <mergeCell ref="B2294:B2295"/>
    <mergeCell ref="C2294:D2295"/>
    <mergeCell ref="E2294:E2295"/>
    <mergeCell ref="F2294:F2295"/>
    <mergeCell ref="G2294:G2295"/>
    <mergeCell ref="C2296:D2296"/>
    <mergeCell ref="C2297:D2297"/>
    <mergeCell ref="C2298:D2298"/>
    <mergeCell ref="C2299:D2299"/>
    <mergeCell ref="C2300:D2300"/>
    <mergeCell ref="C2301:D2301"/>
    <mergeCell ref="C2302:D2302"/>
    <mergeCell ref="C2303:D2303"/>
    <mergeCell ref="C2304:D2304"/>
    <mergeCell ref="C2305:D2305"/>
    <mergeCell ref="C2306:D2306"/>
    <mergeCell ref="C2307:D2307"/>
    <mergeCell ref="C2308:D2308"/>
    <mergeCell ref="B2309:F2309"/>
    <mergeCell ref="G2311:G2312"/>
    <mergeCell ref="A2313:B2313"/>
    <mergeCell ref="D2313:I2314"/>
    <mergeCell ref="A2315:A2316"/>
    <mergeCell ref="B2315:B2316"/>
    <mergeCell ref="C2315:D2316"/>
    <mergeCell ref="E2315:E2316"/>
    <mergeCell ref="F2315:F2316"/>
    <mergeCell ref="G2315:G2316"/>
    <mergeCell ref="C2317:D2317"/>
    <mergeCell ref="C2318:D2318"/>
    <mergeCell ref="C2319:D2319"/>
    <mergeCell ref="C2320:D2320"/>
    <mergeCell ref="C2321:D2321"/>
    <mergeCell ref="C2322:D2322"/>
    <mergeCell ref="C2323:D2323"/>
    <mergeCell ref="C2324:D2324"/>
    <mergeCell ref="C2325:D2325"/>
    <mergeCell ref="C2326:D2326"/>
    <mergeCell ref="C2327:D2327"/>
    <mergeCell ref="C2328:D2328"/>
    <mergeCell ref="C2329:D2329"/>
    <mergeCell ref="B2330:F2330"/>
    <mergeCell ref="G2332:G2333"/>
    <mergeCell ref="A2334:B2334"/>
    <mergeCell ref="D2334:I2335"/>
    <mergeCell ref="A2336:A2337"/>
    <mergeCell ref="B2336:B2337"/>
    <mergeCell ref="C2336:D2337"/>
    <mergeCell ref="E2336:E2337"/>
    <mergeCell ref="F2336:F2337"/>
    <mergeCell ref="G2336:G2337"/>
    <mergeCell ref="C2338:D2338"/>
    <mergeCell ref="C2339:D2339"/>
    <mergeCell ref="C2340:D2340"/>
    <mergeCell ref="C2341:D2341"/>
    <mergeCell ref="C2342:D2342"/>
    <mergeCell ref="C2343:D2343"/>
    <mergeCell ref="C2344:D2344"/>
    <mergeCell ref="C2345:D2345"/>
    <mergeCell ref="C2346:D2346"/>
    <mergeCell ref="C2347:D2347"/>
    <mergeCell ref="C2348:D2348"/>
    <mergeCell ref="C2349:D2349"/>
    <mergeCell ref="C2350:D2350"/>
    <mergeCell ref="B2351:F2351"/>
    <mergeCell ref="G2353:G2354"/>
    <mergeCell ref="A2355:B2355"/>
    <mergeCell ref="D2355:I2356"/>
    <mergeCell ref="A2357:A2358"/>
    <mergeCell ref="B2357:B2358"/>
    <mergeCell ref="C2357:D2358"/>
    <mergeCell ref="E2357:E2358"/>
    <mergeCell ref="F2357:F2358"/>
    <mergeCell ref="G2357:G2358"/>
    <mergeCell ref="C2359:D2359"/>
    <mergeCell ref="C2360:D2360"/>
    <mergeCell ref="C2361:D2361"/>
    <mergeCell ref="C2362:D2362"/>
    <mergeCell ref="C2363:D2363"/>
    <mergeCell ref="C2364:D2364"/>
    <mergeCell ref="C2365:D2365"/>
    <mergeCell ref="C2366:D2366"/>
    <mergeCell ref="C2367:D2367"/>
    <mergeCell ref="C2368:D2368"/>
    <mergeCell ref="C2369:D2369"/>
    <mergeCell ref="C2370:D2370"/>
    <mergeCell ref="C2371:D2371"/>
    <mergeCell ref="B2372:F2372"/>
    <mergeCell ref="G2374:G2375"/>
    <mergeCell ref="A2376:B2376"/>
    <mergeCell ref="D2376:I2377"/>
    <mergeCell ref="A2378:A2379"/>
    <mergeCell ref="B2378:B2379"/>
    <mergeCell ref="C2378:D2379"/>
    <mergeCell ref="E2378:E2379"/>
    <mergeCell ref="F2378:F2379"/>
    <mergeCell ref="G2378:G2379"/>
    <mergeCell ref="C2380:D2380"/>
    <mergeCell ref="C2381:D2381"/>
    <mergeCell ref="C2382:D2382"/>
    <mergeCell ref="C2383:D2383"/>
    <mergeCell ref="C2384:D2384"/>
    <mergeCell ref="C2385:D2385"/>
    <mergeCell ref="C2386:D2386"/>
    <mergeCell ref="C2387:D2387"/>
    <mergeCell ref="C2388:D2388"/>
    <mergeCell ref="C2389:D2389"/>
    <mergeCell ref="C2390:D2390"/>
    <mergeCell ref="C2391:D2391"/>
    <mergeCell ref="C2392:D2392"/>
    <mergeCell ref="B2393:F2393"/>
    <mergeCell ref="G2395:G2396"/>
    <mergeCell ref="A2397:B2397"/>
    <mergeCell ref="D2397:I2398"/>
    <mergeCell ref="A2399:A2400"/>
    <mergeCell ref="B2399:B2400"/>
    <mergeCell ref="C2399:D2400"/>
    <mergeCell ref="E2399:E2400"/>
    <mergeCell ref="F2399:F2400"/>
    <mergeCell ref="G2399:G2400"/>
    <mergeCell ref="C2401:D2401"/>
    <mergeCell ref="C2402:D2402"/>
    <mergeCell ref="C2403:D2403"/>
    <mergeCell ref="C2404:D2404"/>
    <mergeCell ref="C2405:D2405"/>
    <mergeCell ref="C2406:D2406"/>
    <mergeCell ref="C2407:D2407"/>
    <mergeCell ref="C2408:D2408"/>
    <mergeCell ref="C2409:D2409"/>
    <mergeCell ref="C2410:D2410"/>
    <mergeCell ref="C2411:D2411"/>
    <mergeCell ref="C2412:D2412"/>
    <mergeCell ref="C2413:D2413"/>
    <mergeCell ref="B2414:F2414"/>
    <mergeCell ref="G2416:G2417"/>
    <mergeCell ref="A2418:B2418"/>
    <mergeCell ref="D2418:I2419"/>
    <mergeCell ref="A2420:A2421"/>
    <mergeCell ref="B2420:B2421"/>
    <mergeCell ref="C2420:D2421"/>
    <mergeCell ref="E2420:E2421"/>
    <mergeCell ref="F2420:F2421"/>
    <mergeCell ref="G2420:G2421"/>
    <mergeCell ref="C2422:D2422"/>
    <mergeCell ref="C2423:D2423"/>
    <mergeCell ref="C2424:D2424"/>
    <mergeCell ref="C2425:D2425"/>
    <mergeCell ref="C2426:D2426"/>
    <mergeCell ref="C2427:D2427"/>
    <mergeCell ref="C2428:D2428"/>
    <mergeCell ref="C2429:D2429"/>
    <mergeCell ref="C2430:D2430"/>
    <mergeCell ref="C2431:D2431"/>
    <mergeCell ref="C2432:D2432"/>
    <mergeCell ref="C2433:D2433"/>
    <mergeCell ref="C2434:D2434"/>
    <mergeCell ref="B2435:F2435"/>
    <mergeCell ref="G2437:G2438"/>
    <mergeCell ref="A2439:B2439"/>
    <mergeCell ref="D2439:I2440"/>
    <mergeCell ref="A2441:A2442"/>
    <mergeCell ref="B2441:B2442"/>
    <mergeCell ref="C2441:D2442"/>
    <mergeCell ref="E2441:E2442"/>
    <mergeCell ref="F2441:F2442"/>
    <mergeCell ref="G2441:G2442"/>
    <mergeCell ref="C2443:D2443"/>
    <mergeCell ref="C2444:D2444"/>
    <mergeCell ref="C2445:D2445"/>
    <mergeCell ref="C2446:D2446"/>
    <mergeCell ref="C2447:D2447"/>
    <mergeCell ref="C2448:D2448"/>
    <mergeCell ref="C2449:D2449"/>
    <mergeCell ref="C2450:D2450"/>
    <mergeCell ref="C2451:D2451"/>
    <mergeCell ref="C2452:D2452"/>
    <mergeCell ref="C2453:D2453"/>
    <mergeCell ref="C2454:D2454"/>
    <mergeCell ref="C2455:D2455"/>
    <mergeCell ref="B2456:F2456"/>
    <mergeCell ref="G2458:G2459"/>
    <mergeCell ref="A2460:B2460"/>
    <mergeCell ref="D2460:I2461"/>
    <mergeCell ref="A2462:A2463"/>
    <mergeCell ref="B2462:B2463"/>
    <mergeCell ref="C2462:D2463"/>
    <mergeCell ref="E2462:E2463"/>
    <mergeCell ref="F2462:F2463"/>
    <mergeCell ref="G2462:G2463"/>
    <mergeCell ref="C2464:D2464"/>
    <mergeCell ref="C2465:D2465"/>
    <mergeCell ref="C2466:D2466"/>
    <mergeCell ref="C2467:D2467"/>
    <mergeCell ref="C2468:D2468"/>
    <mergeCell ref="C2469:D2469"/>
    <mergeCell ref="C2470:D2470"/>
    <mergeCell ref="C2471:D2471"/>
    <mergeCell ref="C2472:D2472"/>
    <mergeCell ref="C2473:D2473"/>
    <mergeCell ref="C2474:D2474"/>
    <mergeCell ref="C2475:D2475"/>
    <mergeCell ref="C2476:D2476"/>
    <mergeCell ref="B2477:F2477"/>
    <mergeCell ref="G2479:G2480"/>
    <mergeCell ref="A2481:B2481"/>
    <mergeCell ref="D2481:I2482"/>
    <mergeCell ref="A2483:A2484"/>
    <mergeCell ref="B2483:B2484"/>
    <mergeCell ref="C2483:D2484"/>
    <mergeCell ref="E2483:E2484"/>
    <mergeCell ref="F2483:F2484"/>
    <mergeCell ref="G2483:G2484"/>
    <mergeCell ref="C2485:D2485"/>
    <mergeCell ref="C2486:D2486"/>
    <mergeCell ref="C2487:D2487"/>
    <mergeCell ref="C2488:D2488"/>
    <mergeCell ref="C2489:D2489"/>
    <mergeCell ref="C2490:D2490"/>
    <mergeCell ref="C2491:D2491"/>
    <mergeCell ref="C2492:D2492"/>
    <mergeCell ref="C2493:D2493"/>
    <mergeCell ref="C2494:D2494"/>
    <mergeCell ref="C2495:D2495"/>
    <mergeCell ref="C2496:D2496"/>
    <mergeCell ref="C2497:D2497"/>
    <mergeCell ref="B2498:F2498"/>
    <mergeCell ref="G2500:G2501"/>
    <mergeCell ref="A2502:B2502"/>
    <mergeCell ref="D2502:I2503"/>
    <mergeCell ref="A2504:A2505"/>
    <mergeCell ref="B2504:B2505"/>
    <mergeCell ref="C2504:D2505"/>
    <mergeCell ref="E2504:E2505"/>
    <mergeCell ref="F2504:F2505"/>
    <mergeCell ref="G2504:G2505"/>
    <mergeCell ref="C2506:D2506"/>
    <mergeCell ref="C2507:D2507"/>
    <mergeCell ref="C2508:D2508"/>
    <mergeCell ref="C2509:D2509"/>
    <mergeCell ref="C2510:D2510"/>
    <mergeCell ref="C2511:D2511"/>
    <mergeCell ref="C2512:D2512"/>
    <mergeCell ref="C2513:D2513"/>
    <mergeCell ref="C2514:D2514"/>
    <mergeCell ref="C2515:D2515"/>
    <mergeCell ref="C2516:D2516"/>
    <mergeCell ref="C2517:D2517"/>
    <mergeCell ref="C2518:D2518"/>
    <mergeCell ref="B2519:F2519"/>
    <mergeCell ref="G2521:G2522"/>
    <mergeCell ref="A2523:B2523"/>
    <mergeCell ref="D2523:I2524"/>
    <mergeCell ref="A2525:A2526"/>
    <mergeCell ref="B2525:B2526"/>
    <mergeCell ref="C2525:D2526"/>
    <mergeCell ref="E2525:E2526"/>
    <mergeCell ref="F2525:F2526"/>
    <mergeCell ref="G2525:G2526"/>
    <mergeCell ref="C2527:D2527"/>
    <mergeCell ref="C2528:D2528"/>
    <mergeCell ref="C2529:D2529"/>
    <mergeCell ref="C2530:D2530"/>
    <mergeCell ref="C2531:D2531"/>
    <mergeCell ref="C2532:D2532"/>
    <mergeCell ref="C2533:D2533"/>
    <mergeCell ref="C2534:D2534"/>
    <mergeCell ref="C2535:D2535"/>
    <mergeCell ref="C2536:D2536"/>
    <mergeCell ref="C2537:D2537"/>
    <mergeCell ref="C2538:D2538"/>
    <mergeCell ref="C2539:D2539"/>
    <mergeCell ref="B2540:F2540"/>
    <mergeCell ref="G2542:G2543"/>
    <mergeCell ref="A2544:B2544"/>
    <mergeCell ref="D2544:I2545"/>
    <mergeCell ref="A2546:A2547"/>
    <mergeCell ref="B2546:B2547"/>
    <mergeCell ref="C2546:D2547"/>
    <mergeCell ref="E2546:E2547"/>
    <mergeCell ref="F2546:F2547"/>
    <mergeCell ref="G2546:G2547"/>
    <mergeCell ref="C2548:D2548"/>
    <mergeCell ref="C2549:D2549"/>
    <mergeCell ref="C2550:D2550"/>
    <mergeCell ref="C2551:D2551"/>
    <mergeCell ref="C2552:D2552"/>
    <mergeCell ref="C2553:D2553"/>
    <mergeCell ref="C2554:D2554"/>
    <mergeCell ref="C2555:D2555"/>
    <mergeCell ref="C2556:D2556"/>
    <mergeCell ref="C2557:D2557"/>
    <mergeCell ref="C2558:D2558"/>
    <mergeCell ref="C2559:D2559"/>
    <mergeCell ref="C2560:D2560"/>
    <mergeCell ref="B2561:F2561"/>
    <mergeCell ref="G2563:G2564"/>
    <mergeCell ref="A2565:B2565"/>
    <mergeCell ref="D2565:I2566"/>
    <mergeCell ref="A2567:A2568"/>
    <mergeCell ref="B2567:B2568"/>
    <mergeCell ref="C2567:D2568"/>
    <mergeCell ref="E2567:E2568"/>
    <mergeCell ref="F2567:F2568"/>
    <mergeCell ref="G2567:G2568"/>
    <mergeCell ref="C2569:D2569"/>
    <mergeCell ref="C2570:D2570"/>
    <mergeCell ref="C2571:D2571"/>
    <mergeCell ref="C2572:D2572"/>
    <mergeCell ref="C2573:D2573"/>
    <mergeCell ref="G2605:G2606"/>
    <mergeCell ref="C2574:D2574"/>
    <mergeCell ref="C2575:D2575"/>
    <mergeCell ref="C2576:D2576"/>
    <mergeCell ref="C2577:D2577"/>
    <mergeCell ref="C2578:D2578"/>
    <mergeCell ref="C2579:D2579"/>
    <mergeCell ref="C2580:D2580"/>
    <mergeCell ref="C2581:D2581"/>
    <mergeCell ref="B2582:F2582"/>
    <mergeCell ref="G2584:G2585"/>
    <mergeCell ref="A2586:B2586"/>
    <mergeCell ref="D2586:I2587"/>
    <mergeCell ref="A2588:A2589"/>
    <mergeCell ref="B2588:B2589"/>
    <mergeCell ref="C2588:D2589"/>
    <mergeCell ref="E2588:E2589"/>
    <mergeCell ref="F2588:F2589"/>
    <mergeCell ref="G2588:G2589"/>
    <mergeCell ref="C2617:D2617"/>
    <mergeCell ref="C2618:D2618"/>
    <mergeCell ref="C2619:D2619"/>
    <mergeCell ref="C2620:D2620"/>
    <mergeCell ref="C2621:D2621"/>
    <mergeCell ref="C2590:D2590"/>
    <mergeCell ref="C2591:D2591"/>
    <mergeCell ref="C2592:D2592"/>
    <mergeCell ref="C2593:D2593"/>
    <mergeCell ref="C2594:D2594"/>
    <mergeCell ref="C2595:D2595"/>
    <mergeCell ref="C2596:D2596"/>
    <mergeCell ref="C2597:D2597"/>
    <mergeCell ref="C2598:D2598"/>
    <mergeCell ref="C2599:D2599"/>
    <mergeCell ref="C2600:D2600"/>
    <mergeCell ref="C2601:D2601"/>
    <mergeCell ref="C2602:D2602"/>
    <mergeCell ref="B2603:F2603"/>
    <mergeCell ref="E2651:E2652"/>
    <mergeCell ref="F2651:F2652"/>
    <mergeCell ref="G2651:G2652"/>
    <mergeCell ref="C2622:D2622"/>
    <mergeCell ref="C2623:D2623"/>
    <mergeCell ref="B2624:F2624"/>
    <mergeCell ref="G2626:G2627"/>
    <mergeCell ref="A2607:B2607"/>
    <mergeCell ref="D2607:I2608"/>
    <mergeCell ref="A2628:B2628"/>
    <mergeCell ref="D2628:I2629"/>
    <mergeCell ref="A2630:A2631"/>
    <mergeCell ref="B2630:B2631"/>
    <mergeCell ref="C2630:D2631"/>
    <mergeCell ref="E2630:E2631"/>
    <mergeCell ref="F2630:F2631"/>
    <mergeCell ref="G2630:G2631"/>
    <mergeCell ref="C2632:D2632"/>
    <mergeCell ref="C2633:D2633"/>
    <mergeCell ref="C2634:D2634"/>
    <mergeCell ref="A2609:A2610"/>
    <mergeCell ref="B2609:B2610"/>
    <mergeCell ref="C2609:D2610"/>
    <mergeCell ref="E2609:E2610"/>
    <mergeCell ref="F2609:F2610"/>
    <mergeCell ref="G2609:G2610"/>
    <mergeCell ref="C2611:D2611"/>
    <mergeCell ref="C2612:D2612"/>
    <mergeCell ref="C2613:D2613"/>
    <mergeCell ref="C2614:D2614"/>
    <mergeCell ref="C2615:D2615"/>
    <mergeCell ref="C2616:D2616"/>
    <mergeCell ref="C2653:D2653"/>
    <mergeCell ref="C2654:D2654"/>
    <mergeCell ref="C2655:D2655"/>
    <mergeCell ref="C2656:D2656"/>
    <mergeCell ref="C2657:D2657"/>
    <mergeCell ref="C2658:D2658"/>
    <mergeCell ref="C2659:D2659"/>
    <mergeCell ref="C2660:D2660"/>
    <mergeCell ref="C2661:D2661"/>
    <mergeCell ref="C2662:D2662"/>
    <mergeCell ref="C2663:D2663"/>
    <mergeCell ref="C2664:D2664"/>
    <mergeCell ref="C2665:D2665"/>
    <mergeCell ref="B2666:F2666"/>
    <mergeCell ref="G2668:G2669"/>
    <mergeCell ref="C2635:D2635"/>
    <mergeCell ref="C2636:D2636"/>
    <mergeCell ref="C2637:D2637"/>
    <mergeCell ref="C2638:D2638"/>
    <mergeCell ref="C2639:D2639"/>
    <mergeCell ref="C2640:D2640"/>
    <mergeCell ref="C2641:D2641"/>
    <mergeCell ref="C2642:D2642"/>
    <mergeCell ref="C2643:D2643"/>
    <mergeCell ref="C2644:D2644"/>
    <mergeCell ref="B2645:F2645"/>
    <mergeCell ref="G2647:G2648"/>
    <mergeCell ref="A2649:B2649"/>
    <mergeCell ref="D2649:I2650"/>
    <mergeCell ref="A2651:A2652"/>
    <mergeCell ref="B2651:B2652"/>
    <mergeCell ref="C2651:D2652"/>
    <mergeCell ref="C2685:D2685"/>
    <mergeCell ref="C2686:D2686"/>
    <mergeCell ref="B2687:F2687"/>
    <mergeCell ref="G2689:G2690"/>
    <mergeCell ref="A2670:B2670"/>
    <mergeCell ref="D2670:I2671"/>
    <mergeCell ref="A2672:A2673"/>
    <mergeCell ref="B2672:B2673"/>
    <mergeCell ref="C2672:D2673"/>
    <mergeCell ref="E2672:E2673"/>
    <mergeCell ref="F2672:F2673"/>
    <mergeCell ref="G2672:G2673"/>
    <mergeCell ref="C2674:D2674"/>
    <mergeCell ref="C2675:D2675"/>
    <mergeCell ref="C2676:D2676"/>
    <mergeCell ref="C2677:D2677"/>
    <mergeCell ref="C2678:D2678"/>
    <mergeCell ref="C2679:D2679"/>
    <mergeCell ref="C2680:D2680"/>
    <mergeCell ref="C2681:D2681"/>
    <mergeCell ref="C2682:D2682"/>
    <mergeCell ref="C2683:D2683"/>
    <mergeCell ref="C2684:D2684"/>
    <mergeCell ref="A2712:B2712"/>
    <mergeCell ref="D2712:I2713"/>
    <mergeCell ref="A2714:A2715"/>
    <mergeCell ref="B2714:B2715"/>
    <mergeCell ref="C2714:D2715"/>
    <mergeCell ref="E2714:E2715"/>
    <mergeCell ref="F2714:F2715"/>
    <mergeCell ref="G2714:G2715"/>
    <mergeCell ref="C2716:D2716"/>
    <mergeCell ref="C2717:D2717"/>
    <mergeCell ref="C2718:D2718"/>
    <mergeCell ref="C2719:D2719"/>
    <mergeCell ref="C2720:D2720"/>
    <mergeCell ref="C2721:D2721"/>
    <mergeCell ref="C2722:D2722"/>
    <mergeCell ref="C2723:D2723"/>
    <mergeCell ref="C2724:D2724"/>
    <mergeCell ref="C2725:D2725"/>
    <mergeCell ref="C2726:D2726"/>
    <mergeCell ref="C2727:D2727"/>
    <mergeCell ref="C2728:D2728"/>
    <mergeCell ref="B2729:F2729"/>
    <mergeCell ref="G2731:G2732"/>
    <mergeCell ref="A2733:B2733"/>
    <mergeCell ref="D2733:I2734"/>
    <mergeCell ref="A2735:A2736"/>
    <mergeCell ref="B2735:B2736"/>
    <mergeCell ref="C2735:D2736"/>
    <mergeCell ref="E2735:E2736"/>
    <mergeCell ref="F2735:F2736"/>
    <mergeCell ref="G2735:G2736"/>
    <mergeCell ref="C2737:D2737"/>
    <mergeCell ref="C2738:D2738"/>
    <mergeCell ref="C2739:D2739"/>
    <mergeCell ref="C2740:D2740"/>
    <mergeCell ref="C2741:D2741"/>
    <mergeCell ref="C2742:D2742"/>
    <mergeCell ref="C2743:D2743"/>
    <mergeCell ref="C2744:D2744"/>
    <mergeCell ref="C2745:D2745"/>
    <mergeCell ref="C2746:D2746"/>
    <mergeCell ref="C2747:D2747"/>
    <mergeCell ref="C2748:D2748"/>
    <mergeCell ref="C2749:D2749"/>
    <mergeCell ref="B2750:F2750"/>
    <mergeCell ref="G2752:G2753"/>
    <mergeCell ref="A2754:B2754"/>
    <mergeCell ref="D2754:I2755"/>
    <mergeCell ref="A2756:A2757"/>
    <mergeCell ref="B2756:B2757"/>
    <mergeCell ref="C2756:D2757"/>
    <mergeCell ref="E2756:E2757"/>
    <mergeCell ref="F2756:F2757"/>
    <mergeCell ref="G2756:G2757"/>
    <mergeCell ref="C2758:D2758"/>
    <mergeCell ref="C2759:D2759"/>
    <mergeCell ref="C2760:D2760"/>
    <mergeCell ref="C2761:D2761"/>
    <mergeCell ref="C2762:D2762"/>
    <mergeCell ref="C2763:D2763"/>
    <mergeCell ref="C2764:D2764"/>
    <mergeCell ref="C2765:D2765"/>
    <mergeCell ref="C2766:D2766"/>
    <mergeCell ref="C2767:D2767"/>
    <mergeCell ref="C2768:D2768"/>
    <mergeCell ref="C2769:D2769"/>
    <mergeCell ref="C2770:D2770"/>
    <mergeCell ref="B2771:F2771"/>
    <mergeCell ref="G2773:G2774"/>
    <mergeCell ref="A2775:B2775"/>
    <mergeCell ref="D2775:I2776"/>
    <mergeCell ref="A2777:A2778"/>
    <mergeCell ref="B2777:B2778"/>
    <mergeCell ref="C2777:D2778"/>
    <mergeCell ref="E2777:E2778"/>
    <mergeCell ref="F2777:F2778"/>
    <mergeCell ref="G2777:G2778"/>
    <mergeCell ref="C2779:D2779"/>
    <mergeCell ref="C2780:D2780"/>
    <mergeCell ref="C2781:D2781"/>
    <mergeCell ref="C2782:D2782"/>
    <mergeCell ref="C2783:D2783"/>
    <mergeCell ref="C2784:D2784"/>
    <mergeCell ref="C2785:D2785"/>
    <mergeCell ref="C2786:D2786"/>
    <mergeCell ref="C2787:D2787"/>
    <mergeCell ref="C2788:D2788"/>
    <mergeCell ref="C2789:D2789"/>
    <mergeCell ref="G2819:G2820"/>
    <mergeCell ref="C2790:D2790"/>
    <mergeCell ref="C2791:D2791"/>
    <mergeCell ref="B2792:F2792"/>
    <mergeCell ref="G2794:G2795"/>
    <mergeCell ref="A2796:B2796"/>
    <mergeCell ref="D2796:I2797"/>
    <mergeCell ref="A2798:A2799"/>
    <mergeCell ref="B2798:B2799"/>
    <mergeCell ref="C2798:D2799"/>
    <mergeCell ref="E2798:E2799"/>
    <mergeCell ref="F2798:F2799"/>
    <mergeCell ref="G2798:G2799"/>
    <mergeCell ref="C2800:D2800"/>
    <mergeCell ref="C2801:D2801"/>
    <mergeCell ref="C2802:D2802"/>
    <mergeCell ref="C2803:D2803"/>
    <mergeCell ref="C2804:D2804"/>
    <mergeCell ref="C2821:D2821"/>
    <mergeCell ref="C2822:D2822"/>
    <mergeCell ref="C2823:D2823"/>
    <mergeCell ref="C2824:D2824"/>
    <mergeCell ref="C2825:D2825"/>
    <mergeCell ref="C2826:D2826"/>
    <mergeCell ref="C2827:D2827"/>
    <mergeCell ref="C2828:D2828"/>
    <mergeCell ref="C2829:D2829"/>
    <mergeCell ref="C2830:D2830"/>
    <mergeCell ref="C2831:D2831"/>
    <mergeCell ref="C2832:D2832"/>
    <mergeCell ref="C2833:D2833"/>
    <mergeCell ref="B2834:F2834"/>
    <mergeCell ref="G2836:G2837"/>
    <mergeCell ref="C2805:D2805"/>
    <mergeCell ref="C2806:D2806"/>
    <mergeCell ref="C2807:D2807"/>
    <mergeCell ref="C2808:D2808"/>
    <mergeCell ref="C2809:D2809"/>
    <mergeCell ref="C2810:D2810"/>
    <mergeCell ref="C2811:D2811"/>
    <mergeCell ref="C2812:D2812"/>
    <mergeCell ref="B2813:F2813"/>
    <mergeCell ref="G2815:G2816"/>
    <mergeCell ref="A2817:B2817"/>
    <mergeCell ref="D2817:I2818"/>
    <mergeCell ref="A2819:A2820"/>
    <mergeCell ref="B2819:B2820"/>
    <mergeCell ref="C2819:D2820"/>
    <mergeCell ref="E2819:E2820"/>
    <mergeCell ref="F2819:F2820"/>
    <mergeCell ref="A2838:B2838"/>
    <mergeCell ref="D2838:I2839"/>
    <mergeCell ref="A2840:A2841"/>
    <mergeCell ref="B2840:B2841"/>
    <mergeCell ref="C2840:D2841"/>
    <mergeCell ref="E2840:E2841"/>
    <mergeCell ref="F2840:F2841"/>
    <mergeCell ref="G2840:G2841"/>
    <mergeCell ref="C2842:D2842"/>
    <mergeCell ref="C2843:D2843"/>
    <mergeCell ref="C2844:D2844"/>
    <mergeCell ref="C2845:D2845"/>
    <mergeCell ref="C2846:D2846"/>
    <mergeCell ref="C2847:D2847"/>
    <mergeCell ref="C2848:D2848"/>
    <mergeCell ref="C2849:D2849"/>
    <mergeCell ref="C2850:D2850"/>
    <mergeCell ref="C2866:D2866"/>
    <mergeCell ref="C2867:D2867"/>
    <mergeCell ref="C2868:D2868"/>
    <mergeCell ref="C2869:D2869"/>
    <mergeCell ref="C2870:D2870"/>
    <mergeCell ref="C2871:D2871"/>
    <mergeCell ref="C2872:D2872"/>
    <mergeCell ref="C2873:D2873"/>
    <mergeCell ref="C2874:D2874"/>
    <mergeCell ref="C2875:D2875"/>
    <mergeCell ref="B2876:F2876"/>
    <mergeCell ref="G2878:G2879"/>
    <mergeCell ref="C2851:D2851"/>
    <mergeCell ref="C2852:D2852"/>
    <mergeCell ref="C2853:D2853"/>
    <mergeCell ref="C2854:D2854"/>
    <mergeCell ref="B2855:F2855"/>
    <mergeCell ref="G2857:G2858"/>
    <mergeCell ref="A2859:B2859"/>
    <mergeCell ref="D2859:I2860"/>
    <mergeCell ref="A2861:A2862"/>
    <mergeCell ref="B2861:B2862"/>
    <mergeCell ref="C2861:D2862"/>
    <mergeCell ref="E2861:E2862"/>
    <mergeCell ref="F2861:F2862"/>
    <mergeCell ref="G2861:G2862"/>
    <mergeCell ref="C2863:D2863"/>
    <mergeCell ref="C2864:D2864"/>
    <mergeCell ref="C2865:D2865"/>
    <mergeCell ref="A2880:B2880"/>
    <mergeCell ref="D2880:I2881"/>
    <mergeCell ref="A2882:A2883"/>
    <mergeCell ref="B2882:B2883"/>
    <mergeCell ref="C2882:D2883"/>
    <mergeCell ref="E2882:E2883"/>
    <mergeCell ref="F2882:F2883"/>
    <mergeCell ref="G2882:G2883"/>
    <mergeCell ref="C2884:D2884"/>
    <mergeCell ref="C2885:D2885"/>
    <mergeCell ref="C2886:D2886"/>
    <mergeCell ref="C2887:D2887"/>
    <mergeCell ref="C2888:D2888"/>
    <mergeCell ref="C2889:D2889"/>
    <mergeCell ref="C2890:D2890"/>
    <mergeCell ref="C2891:D2891"/>
    <mergeCell ref="C2892:D2892"/>
    <mergeCell ref="C2893:D2893"/>
    <mergeCell ref="C2894:D2894"/>
    <mergeCell ref="C2895:D2895"/>
    <mergeCell ref="C2896:D2896"/>
    <mergeCell ref="B2897:F2897"/>
    <mergeCell ref="G2899:G2900"/>
    <mergeCell ref="A2901:B2901"/>
    <mergeCell ref="D2901:I2902"/>
    <mergeCell ref="A2903:A2904"/>
    <mergeCell ref="B2903:B2904"/>
    <mergeCell ref="C2903:D2904"/>
    <mergeCell ref="E2903:E2904"/>
    <mergeCell ref="F2903:F2904"/>
    <mergeCell ref="G2903:G2904"/>
    <mergeCell ref="C2905:D2905"/>
    <mergeCell ref="C2906:D2906"/>
    <mergeCell ref="C2907:D2907"/>
    <mergeCell ref="C2908:D2908"/>
    <mergeCell ref="C2909:D2909"/>
    <mergeCell ref="C2910:D2910"/>
    <mergeCell ref="C2911:D2911"/>
    <mergeCell ref="C2912:D2912"/>
    <mergeCell ref="C2913:D2913"/>
    <mergeCell ref="C2914:D2914"/>
    <mergeCell ref="C2915:D2915"/>
    <mergeCell ref="C2916:D2916"/>
    <mergeCell ref="C2917:D2917"/>
    <mergeCell ref="B2918:F2918"/>
    <mergeCell ref="G2920:G2921"/>
    <mergeCell ref="A2922:B2922"/>
    <mergeCell ref="D2922:I2923"/>
    <mergeCell ref="A2924:A2925"/>
    <mergeCell ref="B2924:B2925"/>
    <mergeCell ref="C2924:D2925"/>
    <mergeCell ref="E2924:E2925"/>
    <mergeCell ref="F2924:F2925"/>
    <mergeCell ref="G2924:G2925"/>
    <mergeCell ref="C2926:D2926"/>
    <mergeCell ref="C2927:D2927"/>
    <mergeCell ref="C2928:D2928"/>
    <mergeCell ref="C2929:D2929"/>
    <mergeCell ref="C2930:D2930"/>
    <mergeCell ref="C2931:D2931"/>
    <mergeCell ref="C2932:D2932"/>
    <mergeCell ref="C2933:D2933"/>
    <mergeCell ref="C2934:D2934"/>
    <mergeCell ref="C2935:D2935"/>
    <mergeCell ref="C2936:D2936"/>
    <mergeCell ref="C2937:D2937"/>
    <mergeCell ref="C2938:D2938"/>
    <mergeCell ref="B2939:F2939"/>
    <mergeCell ref="G2941:G2942"/>
    <mergeCell ref="A2943:B2943"/>
    <mergeCell ref="D2943:I2944"/>
    <mergeCell ref="A2945:A2946"/>
    <mergeCell ref="B2945:B2946"/>
    <mergeCell ref="C2945:D2946"/>
    <mergeCell ref="E2945:E2946"/>
    <mergeCell ref="F2945:F2946"/>
    <mergeCell ref="G2945:G2946"/>
    <mergeCell ref="C2947:D2947"/>
    <mergeCell ref="C2948:D2948"/>
    <mergeCell ref="C2949:D2949"/>
    <mergeCell ref="C2950:D2950"/>
    <mergeCell ref="C2951:D2951"/>
    <mergeCell ref="C2952:D2952"/>
    <mergeCell ref="C2953:D2953"/>
    <mergeCell ref="C2954:D2954"/>
    <mergeCell ref="C2955:D2955"/>
    <mergeCell ref="C2956:D2956"/>
    <mergeCell ref="C2957:D2957"/>
    <mergeCell ref="A2987:A2988"/>
    <mergeCell ref="B2987:B2988"/>
    <mergeCell ref="C2987:D2988"/>
    <mergeCell ref="E2987:E2988"/>
    <mergeCell ref="F2987:F2988"/>
    <mergeCell ref="G2987:G2988"/>
    <mergeCell ref="C2958:D2958"/>
    <mergeCell ref="C2959:D2959"/>
    <mergeCell ref="B2960:F2960"/>
    <mergeCell ref="G2962:G2963"/>
    <mergeCell ref="A2964:B2964"/>
    <mergeCell ref="D2964:I2965"/>
    <mergeCell ref="A2966:A2967"/>
    <mergeCell ref="B2966:B2967"/>
    <mergeCell ref="C2966:D2967"/>
    <mergeCell ref="E2966:E2967"/>
    <mergeCell ref="F2966:F2967"/>
    <mergeCell ref="G2966:G2967"/>
    <mergeCell ref="C2968:D2968"/>
    <mergeCell ref="C2969:D2969"/>
    <mergeCell ref="C2970:D2970"/>
    <mergeCell ref="C2971:D2971"/>
    <mergeCell ref="C2972:D2972"/>
    <mergeCell ref="C3010:D3010"/>
    <mergeCell ref="C3011:D3011"/>
    <mergeCell ref="C3012:D3012"/>
    <mergeCell ref="C3013:D3013"/>
    <mergeCell ref="C3014:D3014"/>
    <mergeCell ref="C3015:D3015"/>
    <mergeCell ref="C3016:D3016"/>
    <mergeCell ref="C3017:D3017"/>
    <mergeCell ref="C3018:D3018"/>
    <mergeCell ref="C3019:D3019"/>
    <mergeCell ref="C3020:D3020"/>
    <mergeCell ref="C2989:D2989"/>
    <mergeCell ref="C2990:D2990"/>
    <mergeCell ref="C2991:D2991"/>
    <mergeCell ref="C2992:D2992"/>
    <mergeCell ref="C2993:D2993"/>
    <mergeCell ref="C2994:D2994"/>
    <mergeCell ref="C2995:D2995"/>
    <mergeCell ref="C2996:D2996"/>
    <mergeCell ref="C2997:D2997"/>
    <mergeCell ref="C2998:D2998"/>
    <mergeCell ref="C2999:D2999"/>
    <mergeCell ref="C3000:D3000"/>
    <mergeCell ref="C3001:D3001"/>
    <mergeCell ref="B3002:F3002"/>
    <mergeCell ref="A3006:B3006"/>
    <mergeCell ref="D3006:I3007"/>
    <mergeCell ref="F3008:F3009"/>
    <mergeCell ref="A1726:B1726"/>
    <mergeCell ref="D1726:I1727"/>
    <mergeCell ref="A1728:A1729"/>
    <mergeCell ref="B1728:B1729"/>
    <mergeCell ref="C1728:D1729"/>
    <mergeCell ref="E1728:E1729"/>
    <mergeCell ref="F1728:F1729"/>
    <mergeCell ref="G1728:G1729"/>
    <mergeCell ref="C1730:D1730"/>
    <mergeCell ref="C1731:D1731"/>
    <mergeCell ref="C1732:D1732"/>
    <mergeCell ref="C1733:D1733"/>
    <mergeCell ref="C1734:D1734"/>
    <mergeCell ref="C1735:D1735"/>
    <mergeCell ref="C1736:D1736"/>
    <mergeCell ref="C1737:D1737"/>
    <mergeCell ref="C1738:D1738"/>
    <mergeCell ref="G3008:G3009"/>
    <mergeCell ref="G3004:G3005"/>
    <mergeCell ref="C2973:D2973"/>
    <mergeCell ref="C2974:D2974"/>
    <mergeCell ref="C2975:D2975"/>
    <mergeCell ref="C2976:D2976"/>
    <mergeCell ref="C2977:D2977"/>
    <mergeCell ref="C2978:D2978"/>
    <mergeCell ref="C2979:D2979"/>
    <mergeCell ref="C2980:D2980"/>
    <mergeCell ref="B2981:F2981"/>
    <mergeCell ref="G2983:G2984"/>
    <mergeCell ref="A2985:B2985"/>
    <mergeCell ref="D2985:I2986"/>
    <mergeCell ref="C2:G2"/>
    <mergeCell ref="C3123:D3123"/>
    <mergeCell ref="C3124:D3124"/>
    <mergeCell ref="C3125:D3125"/>
    <mergeCell ref="C3126:D3126"/>
    <mergeCell ref="B3127:F3127"/>
    <mergeCell ref="G3129:G3130"/>
    <mergeCell ref="C1739:D1739"/>
    <mergeCell ref="C1740:D1740"/>
    <mergeCell ref="C1741:D1741"/>
    <mergeCell ref="B1742:F1742"/>
    <mergeCell ref="G1744:G1745"/>
    <mergeCell ref="A3111:B3111"/>
    <mergeCell ref="D3111:I3112"/>
    <mergeCell ref="A3113:A3114"/>
    <mergeCell ref="B3113:B3114"/>
    <mergeCell ref="C3113:D3114"/>
    <mergeCell ref="E3113:E3114"/>
    <mergeCell ref="F3113:F3114"/>
    <mergeCell ref="G3113:G3114"/>
    <mergeCell ref="C3115:D3115"/>
    <mergeCell ref="C3116:D3116"/>
    <mergeCell ref="C3117:D3117"/>
    <mergeCell ref="C3118:D3118"/>
    <mergeCell ref="C3021:D3021"/>
    <mergeCell ref="C3022:D3022"/>
    <mergeCell ref="B3023:F3023"/>
    <mergeCell ref="G3025:G3026"/>
    <mergeCell ref="A3008:A3009"/>
    <mergeCell ref="B3008:B3009"/>
    <mergeCell ref="C3008:D3009"/>
    <mergeCell ref="E3008:E3009"/>
  </mergeCells>
  <printOptions horizontalCentered="1"/>
  <pageMargins left="0.23622047244094491" right="0.23622047244094491" top="0.74803149606299213" bottom="0.74803149606299213" header="0.31496062992125984" footer="0.31496062992125984"/>
  <pageSetup paperSize="9" scale="35" fitToHeight="25" orientation="portrait" r:id="rId1"/>
  <rowBreaks count="25" manualBreakCount="25">
    <brk id="112" max="9" man="1"/>
    <brk id="223" max="9" man="1"/>
    <brk id="332" max="9" man="1"/>
    <brk id="436" max="9" man="1"/>
    <brk id="541" max="9" man="1"/>
    <brk id="646" max="9" man="1"/>
    <brk id="751" max="9" man="1"/>
    <brk id="856" max="9" man="1"/>
    <brk id="961" max="9" man="1"/>
    <brk id="1087" max="9" man="1"/>
    <brk id="1213" max="9" man="1"/>
    <brk id="1339" max="9" man="1"/>
    <brk id="1465" max="9" man="1"/>
    <brk id="1585" max="9" man="1"/>
    <brk id="1725" max="9" man="1"/>
    <brk id="1871" max="9" man="1"/>
    <brk id="2018" max="9" man="1"/>
    <brk id="2165" max="9" man="1"/>
    <brk id="2312" max="9" man="1"/>
    <brk id="2438" max="9" man="1"/>
    <brk id="2585" max="9" man="1"/>
    <brk id="2720" max="9" man="1"/>
    <brk id="2900" max="9" man="1"/>
    <brk id="3026" max="9" man="1"/>
    <brk id="3130" max="9" man="1"/>
  </rowBreaks>
  <ignoredErrors>
    <ignoredError sqref="B195:B198 B203:B204 B211 B206:B207 B201 B200 B202 B208:B210 B212:B218 B205 B304:B307 B173:B176 B316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3"/>
  <sheetViews>
    <sheetView view="pageBreakPreview" topLeftCell="A34" zoomScale="115" zoomScaleNormal="70" zoomScaleSheetLayoutView="115" workbookViewId="0">
      <selection activeCell="D42" sqref="D42"/>
    </sheetView>
  </sheetViews>
  <sheetFormatPr defaultColWidth="9.140625" defaultRowHeight="15" x14ac:dyDescent="0.25"/>
  <cols>
    <col min="1" max="1" width="9.140625" style="150"/>
    <col min="2" max="2" width="24.5703125" style="151" customWidth="1"/>
    <col min="3" max="3" width="23" style="151" customWidth="1"/>
    <col min="4" max="4" width="51.85546875" style="149" customWidth="1"/>
    <col min="5" max="16384" width="9.140625" style="151"/>
  </cols>
  <sheetData>
    <row r="1" spans="1:7" x14ac:dyDescent="0.25">
      <c r="A1" s="152"/>
      <c r="B1" s="153"/>
      <c r="C1" s="153"/>
      <c r="D1" s="154"/>
      <c r="E1" s="153"/>
    </row>
    <row r="2" spans="1:7" x14ac:dyDescent="0.25">
      <c r="A2" s="152"/>
      <c r="B2" s="153"/>
      <c r="C2" s="544"/>
      <c r="D2" s="545"/>
      <c r="E2" s="545"/>
      <c r="F2" s="545"/>
      <c r="G2" s="545"/>
    </row>
    <row r="3" spans="1:7" x14ac:dyDescent="0.25">
      <c r="A3" s="152"/>
      <c r="B3" s="153"/>
      <c r="C3" s="153"/>
      <c r="D3" s="154"/>
      <c r="E3" s="153"/>
    </row>
    <row r="4" spans="1:7" x14ac:dyDescent="0.25">
      <c r="A4" s="152"/>
      <c r="B4" s="153"/>
      <c r="C4" s="153"/>
      <c r="D4" s="154"/>
      <c r="E4" s="153"/>
    </row>
    <row r="5" spans="1:7" x14ac:dyDescent="0.25">
      <c r="A5" s="152"/>
      <c r="B5" s="153"/>
      <c r="C5" s="153"/>
      <c r="D5" s="154"/>
      <c r="E5" s="153"/>
    </row>
    <row r="6" spans="1:7" x14ac:dyDescent="0.25">
      <c r="A6" s="152"/>
      <c r="B6" s="153"/>
      <c r="C6" s="153"/>
      <c r="D6" s="154"/>
      <c r="E6" s="153"/>
    </row>
    <row r="7" spans="1:7" x14ac:dyDescent="0.25">
      <c r="A7" s="152"/>
      <c r="B7" s="153"/>
      <c r="C7" s="153"/>
      <c r="D7" s="154"/>
      <c r="E7" s="153"/>
    </row>
    <row r="8" spans="1:7" ht="41.25" customHeight="1" x14ac:dyDescent="0.25">
      <c r="A8" s="152"/>
      <c r="B8" s="510" t="s">
        <v>35</v>
      </c>
      <c r="C8" s="510"/>
      <c r="D8" s="510"/>
      <c r="E8" s="153"/>
    </row>
    <row r="9" spans="1:7" ht="18.75" x14ac:dyDescent="0.25">
      <c r="A9" s="152"/>
      <c r="B9" s="546" t="s">
        <v>36</v>
      </c>
      <c r="C9" s="546"/>
      <c r="D9" s="546"/>
      <c r="E9" s="153"/>
    </row>
    <row r="10" spans="1:7" ht="18.75" x14ac:dyDescent="0.25">
      <c r="A10" s="152"/>
      <c r="B10" s="546" t="s">
        <v>4</v>
      </c>
      <c r="C10" s="546"/>
      <c r="D10" s="546"/>
      <c r="E10" s="153"/>
    </row>
    <row r="11" spans="1:7" x14ac:dyDescent="0.25">
      <c r="A11" s="152"/>
      <c r="B11" s="153"/>
      <c r="C11" s="153"/>
      <c r="D11" s="154"/>
      <c r="E11" s="153"/>
    </row>
    <row r="12" spans="1:7" x14ac:dyDescent="0.25">
      <c r="A12" s="550" t="s">
        <v>4418</v>
      </c>
      <c r="B12" s="550"/>
      <c r="C12" s="550"/>
      <c r="D12" s="550"/>
      <c r="E12" s="550"/>
    </row>
    <row r="13" spans="1:7" ht="5.0999999999999996" customHeight="1" x14ac:dyDescent="0.25">
      <c r="A13" s="152"/>
      <c r="B13" s="153"/>
      <c r="C13" s="153"/>
      <c r="D13" s="154"/>
      <c r="E13" s="153"/>
    </row>
    <row r="14" spans="1:7" x14ac:dyDescent="0.25">
      <c r="A14" s="549" t="s">
        <v>4419</v>
      </c>
      <c r="B14" s="549"/>
      <c r="C14" s="549"/>
      <c r="D14" s="549"/>
      <c r="E14" s="549"/>
    </row>
    <row r="15" spans="1:7" ht="5.0999999999999996" customHeight="1" x14ac:dyDescent="0.25">
      <c r="A15" s="152"/>
      <c r="B15" s="153"/>
      <c r="C15" s="153"/>
      <c r="D15" s="154"/>
      <c r="E15" s="153"/>
    </row>
    <row r="16" spans="1:7" ht="36.75" customHeight="1" x14ac:dyDescent="0.25">
      <c r="A16" s="548" t="s">
        <v>4422</v>
      </c>
      <c r="B16" s="548"/>
      <c r="C16" s="548"/>
      <c r="D16" s="548"/>
      <c r="E16" s="548"/>
    </row>
    <row r="17" spans="1:5" ht="5.0999999999999996" customHeight="1" x14ac:dyDescent="0.25">
      <c r="A17" s="152"/>
      <c r="B17" s="153"/>
      <c r="C17" s="153"/>
      <c r="D17" s="154"/>
      <c r="E17" s="153"/>
    </row>
    <row r="18" spans="1:5" ht="15" customHeight="1" x14ac:dyDescent="0.25">
      <c r="A18" s="549" t="s">
        <v>4420</v>
      </c>
      <c r="B18" s="549"/>
      <c r="C18" s="549"/>
      <c r="D18" s="549"/>
      <c r="E18" s="549"/>
    </row>
    <row r="19" spans="1:5" ht="15" customHeight="1" x14ac:dyDescent="0.25">
      <c r="A19" s="152"/>
      <c r="B19" s="153"/>
      <c r="C19" s="153"/>
      <c r="D19" s="154"/>
      <c r="E19" s="153"/>
    </row>
    <row r="20" spans="1:5" ht="15" customHeight="1" x14ac:dyDescent="0.25">
      <c r="A20" s="152"/>
      <c r="B20" s="153"/>
      <c r="C20" s="153"/>
      <c r="D20" s="154"/>
      <c r="E20" s="153"/>
    </row>
    <row r="21" spans="1:5" ht="15" customHeight="1" x14ac:dyDescent="0.25">
      <c r="A21" s="152"/>
      <c r="B21" s="153"/>
      <c r="C21" s="153"/>
      <c r="D21" s="154"/>
      <c r="E21" s="153"/>
    </row>
    <row r="22" spans="1:5" x14ac:dyDescent="0.25">
      <c r="A22" s="156" t="s">
        <v>4402</v>
      </c>
      <c r="B22" s="158" t="s">
        <v>4408</v>
      </c>
      <c r="C22" s="153"/>
      <c r="D22" s="157">
        <v>0.04</v>
      </c>
      <c r="E22" s="153"/>
    </row>
    <row r="23" spans="1:5" ht="5.0999999999999996" customHeight="1" x14ac:dyDescent="0.25">
      <c r="A23" s="156"/>
      <c r="B23" s="158"/>
      <c r="C23" s="153"/>
      <c r="D23" s="157"/>
      <c r="E23" s="153"/>
    </row>
    <row r="24" spans="1:5" x14ac:dyDescent="0.25">
      <c r="A24" s="156" t="s">
        <v>4403</v>
      </c>
      <c r="B24" s="158" t="s">
        <v>4409</v>
      </c>
      <c r="C24" s="153"/>
      <c r="D24" s="157">
        <v>0.01</v>
      </c>
      <c r="E24" s="153"/>
    </row>
    <row r="25" spans="1:5" ht="5.0999999999999996" customHeight="1" x14ac:dyDescent="0.25">
      <c r="A25" s="156"/>
      <c r="B25" s="158"/>
      <c r="C25" s="153"/>
      <c r="D25" s="157"/>
      <c r="E25" s="153"/>
    </row>
    <row r="26" spans="1:5" x14ac:dyDescent="0.25">
      <c r="A26" s="156" t="s">
        <v>4404</v>
      </c>
      <c r="B26" s="158" t="s">
        <v>4410</v>
      </c>
      <c r="C26" s="153"/>
      <c r="D26" s="157">
        <v>1.2699999999999999E-2</v>
      </c>
      <c r="E26" s="153"/>
    </row>
    <row r="27" spans="1:5" ht="5.0999999999999996" customHeight="1" x14ac:dyDescent="0.25">
      <c r="A27" s="156"/>
      <c r="B27" s="158"/>
      <c r="C27" s="153"/>
      <c r="D27" s="157"/>
      <c r="E27" s="153"/>
    </row>
    <row r="28" spans="1:5" x14ac:dyDescent="0.25">
      <c r="A28" s="156" t="s">
        <v>4405</v>
      </c>
      <c r="B28" s="158" t="s">
        <v>4411</v>
      </c>
      <c r="C28" s="153"/>
      <c r="D28" s="157">
        <v>1.3899999999999999E-2</v>
      </c>
      <c r="E28" s="153"/>
    </row>
    <row r="29" spans="1:5" ht="5.0999999999999996" customHeight="1" x14ac:dyDescent="0.25">
      <c r="A29" s="156"/>
      <c r="B29" s="158"/>
      <c r="C29" s="153"/>
      <c r="D29" s="157"/>
      <c r="E29" s="153"/>
    </row>
    <row r="30" spans="1:5" x14ac:dyDescent="0.25">
      <c r="A30" s="156" t="s">
        <v>4406</v>
      </c>
      <c r="B30" s="158" t="s">
        <v>4412</v>
      </c>
      <c r="C30" s="153"/>
      <c r="D30" s="157">
        <v>8.3000000000000004E-2</v>
      </c>
      <c r="E30" s="153"/>
    </row>
    <row r="31" spans="1:5" ht="5.0999999999999996" customHeight="1" x14ac:dyDescent="0.25">
      <c r="A31" s="156"/>
      <c r="B31" s="158"/>
      <c r="C31" s="153"/>
      <c r="D31" s="154"/>
      <c r="E31" s="153"/>
    </row>
    <row r="32" spans="1:5" x14ac:dyDescent="0.25">
      <c r="A32" s="156" t="s">
        <v>4407</v>
      </c>
      <c r="B32" s="158" t="s">
        <v>4413</v>
      </c>
      <c r="C32" s="153" t="s">
        <v>4414</v>
      </c>
      <c r="D32" s="154">
        <v>6.4999999999999997E-3</v>
      </c>
      <c r="E32" s="153"/>
    </row>
    <row r="33" spans="1:5" x14ac:dyDescent="0.25">
      <c r="A33" s="152"/>
      <c r="B33" s="153"/>
      <c r="C33" s="153" t="s">
        <v>4415</v>
      </c>
      <c r="D33" s="154">
        <v>0.03</v>
      </c>
      <c r="E33" s="153"/>
    </row>
    <row r="34" spans="1:5" x14ac:dyDescent="0.25">
      <c r="A34" s="152"/>
      <c r="B34" s="153"/>
      <c r="C34" s="153" t="s">
        <v>4416</v>
      </c>
      <c r="D34" s="154">
        <v>0.03</v>
      </c>
      <c r="E34" s="153"/>
    </row>
    <row r="35" spans="1:5" x14ac:dyDescent="0.25">
      <c r="A35" s="152"/>
      <c r="B35" s="153"/>
      <c r="C35" s="153" t="s">
        <v>4417</v>
      </c>
      <c r="D35" s="154">
        <v>4.4999999999999998E-2</v>
      </c>
      <c r="E35" s="153"/>
    </row>
    <row r="36" spans="1:5" x14ac:dyDescent="0.25">
      <c r="A36" s="152"/>
      <c r="B36" s="153"/>
      <c r="C36" s="153"/>
      <c r="D36" s="157">
        <f>SUM(D32:D35)</f>
        <v>0.1115</v>
      </c>
      <c r="E36" s="153"/>
    </row>
    <row r="37" spans="1:5" x14ac:dyDescent="0.25">
      <c r="A37" s="152"/>
      <c r="B37" s="153"/>
      <c r="C37" s="153"/>
      <c r="D37" s="154"/>
      <c r="E37" s="153"/>
    </row>
    <row r="38" spans="1:5" x14ac:dyDescent="0.25">
      <c r="A38" s="152"/>
      <c r="B38" s="153"/>
      <c r="C38" s="153"/>
      <c r="D38" s="154"/>
      <c r="E38" s="153"/>
    </row>
    <row r="39" spans="1:5" ht="43.5" customHeight="1" x14ac:dyDescent="0.25">
      <c r="A39" s="547"/>
      <c r="B39" s="547"/>
      <c r="C39" s="547"/>
      <c r="D39" s="547"/>
      <c r="E39" s="547"/>
    </row>
    <row r="40" spans="1:5" x14ac:dyDescent="0.25">
      <c r="A40" s="152"/>
      <c r="B40" s="153"/>
      <c r="C40" s="153"/>
      <c r="D40" s="154"/>
      <c r="E40" s="153"/>
    </row>
    <row r="41" spans="1:5" x14ac:dyDescent="0.25">
      <c r="A41" s="152"/>
      <c r="B41" s="153"/>
      <c r="C41" s="153"/>
      <c r="D41" s="154"/>
      <c r="E41" s="153"/>
    </row>
    <row r="42" spans="1:5" s="167" customFormat="1" ht="21" x14ac:dyDescent="0.25">
      <c r="A42" s="159"/>
      <c r="B42" s="159" t="s">
        <v>4423</v>
      </c>
      <c r="C42" s="159"/>
      <c r="D42" s="168">
        <f>(((1+D22+D24+D26)*(1+D28)*(1+D30))/(1-D36))-1</f>
        <v>0.31333896115925719</v>
      </c>
      <c r="E42" s="159"/>
    </row>
    <row r="43" spans="1:5" ht="5.0999999999999996" customHeight="1" x14ac:dyDescent="0.25">
      <c r="A43" s="152"/>
      <c r="B43" s="153"/>
      <c r="C43" s="153"/>
      <c r="D43" s="169"/>
      <c r="E43" s="153"/>
    </row>
    <row r="44" spans="1:5" s="167" customFormat="1" ht="21" x14ac:dyDescent="0.25">
      <c r="A44" s="159"/>
      <c r="B44" s="160" t="s">
        <v>4424</v>
      </c>
      <c r="C44" s="160"/>
      <c r="D44" s="161">
        <f>ROUND(D42,4)</f>
        <v>0.31330000000000002</v>
      </c>
      <c r="E44" s="159"/>
    </row>
    <row r="45" spans="1:5" x14ac:dyDescent="0.25">
      <c r="A45" s="152"/>
      <c r="B45" s="153"/>
      <c r="C45" s="153"/>
      <c r="D45" s="154"/>
      <c r="E45" s="153"/>
    </row>
    <row r="46" spans="1:5" x14ac:dyDescent="0.25">
      <c r="A46" s="152"/>
      <c r="B46" s="153"/>
      <c r="C46" s="153"/>
      <c r="D46" s="154"/>
      <c r="E46" s="153"/>
    </row>
    <row r="47" spans="1:5" x14ac:dyDescent="0.25">
      <c r="A47" s="152"/>
      <c r="B47" s="164"/>
      <c r="C47" s="164"/>
      <c r="D47" s="165"/>
      <c r="E47" s="153"/>
    </row>
    <row r="48" spans="1:5" x14ac:dyDescent="0.25">
      <c r="A48" s="152"/>
      <c r="B48" s="153"/>
      <c r="C48" s="153"/>
      <c r="D48" s="154"/>
      <c r="E48" s="153"/>
    </row>
    <row r="49" spans="1:5" x14ac:dyDescent="0.25">
      <c r="A49" s="152"/>
      <c r="B49" s="153"/>
      <c r="C49" s="162" t="str">
        <f>'PO-SEDE'!D408</f>
        <v>RESPONSÁVEL TÉCNICO PELO ORÇAMENTO</v>
      </c>
      <c r="D49" s="154"/>
      <c r="E49" s="153"/>
    </row>
    <row r="50" spans="1:5" x14ac:dyDescent="0.25">
      <c r="A50" s="152"/>
      <c r="B50" s="153"/>
      <c r="C50" s="163" t="str">
        <f>'PO-SEDE'!C409</f>
        <v>Arq. Urb. Carlos Wieck</v>
      </c>
      <c r="D50" s="154"/>
      <c r="E50" s="153"/>
    </row>
    <row r="51" spans="1:5" x14ac:dyDescent="0.25">
      <c r="A51" s="152"/>
      <c r="B51" s="153"/>
      <c r="C51" s="163" t="str">
        <f>'PO-SEDE'!C410</f>
        <v>CAU-SP Nº A 116.079-6</v>
      </c>
      <c r="D51" s="154"/>
      <c r="E51" s="153"/>
    </row>
    <row r="52" spans="1:5" x14ac:dyDescent="0.25">
      <c r="A52" s="152"/>
      <c r="B52" s="153"/>
      <c r="C52" s="163" t="str">
        <f>'PO-SEDE'!C411</f>
        <v>RRT Nº 4774233</v>
      </c>
      <c r="D52" s="154"/>
      <c r="E52" s="153"/>
    </row>
    <row r="53" spans="1:5" x14ac:dyDescent="0.25">
      <c r="A53" s="152"/>
      <c r="B53" s="153"/>
      <c r="C53" s="153"/>
      <c r="D53" s="154"/>
      <c r="E53" s="153"/>
    </row>
  </sheetData>
  <mergeCells count="9">
    <mergeCell ref="C2:G2"/>
    <mergeCell ref="B9:D9"/>
    <mergeCell ref="B10:D10"/>
    <mergeCell ref="A39:E39"/>
    <mergeCell ref="B8:D8"/>
    <mergeCell ref="A16:E16"/>
    <mergeCell ref="A14:E14"/>
    <mergeCell ref="A12:E12"/>
    <mergeCell ref="A18:E18"/>
  </mergeCells>
  <pageMargins left="0.51181102362204722" right="0.51181102362204722" top="0.78740157480314965" bottom="0.78740157480314965" header="0.31496062992125984" footer="0.31496062992125984"/>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85"/>
  <sheetViews>
    <sheetView view="pageBreakPreview" topLeftCell="A40" zoomScale="55" zoomScaleNormal="70" zoomScaleSheetLayoutView="55" workbookViewId="0">
      <pane xSplit="3" topLeftCell="D1" activePane="topRight" state="frozen"/>
      <selection activeCell="F5" sqref="F4:F5"/>
      <selection pane="topRight" activeCell="B184" sqref="A1:J184"/>
    </sheetView>
  </sheetViews>
  <sheetFormatPr defaultRowHeight="15" x14ac:dyDescent="0.25"/>
  <cols>
    <col min="1" max="1" width="10.7109375" customWidth="1"/>
    <col min="2" max="2" width="60.7109375" customWidth="1"/>
    <col min="3" max="3" width="10.7109375" customWidth="1"/>
    <col min="4" max="4" width="51.85546875" customWidth="1"/>
    <col min="5" max="10" width="20.7109375" customWidth="1"/>
    <col min="12" max="12" width="11.5703125" bestFit="1" customWidth="1"/>
  </cols>
  <sheetData>
    <row r="1" spans="1:10" x14ac:dyDescent="0.25">
      <c r="A1" s="44"/>
      <c r="B1" s="45"/>
      <c r="C1" s="45"/>
      <c r="D1" s="45"/>
      <c r="E1" s="47"/>
      <c r="F1" s="45"/>
      <c r="G1" s="45"/>
      <c r="H1" s="45"/>
      <c r="I1" s="249"/>
      <c r="J1" s="250"/>
    </row>
    <row r="2" spans="1:10" ht="39" customHeight="1" x14ac:dyDescent="0.25">
      <c r="A2" s="66"/>
      <c r="B2" s="67"/>
      <c r="C2" s="509" t="s">
        <v>35</v>
      </c>
      <c r="D2" s="509"/>
      <c r="E2" s="509"/>
      <c r="F2" s="509"/>
      <c r="G2" s="509"/>
      <c r="H2" s="83" t="s">
        <v>0</v>
      </c>
      <c r="I2" s="84">
        <f>'PO-SEDE'!G2</f>
        <v>0</v>
      </c>
      <c r="J2" s="85"/>
    </row>
    <row r="3" spans="1:10" ht="18.75" x14ac:dyDescent="0.25">
      <c r="A3" s="66"/>
      <c r="B3" s="67"/>
      <c r="C3" s="68" t="s">
        <v>36</v>
      </c>
      <c r="D3" s="68"/>
      <c r="E3" s="69"/>
      <c r="F3" s="52"/>
      <c r="G3" s="52"/>
      <c r="H3" s="83" t="s">
        <v>1</v>
      </c>
      <c r="I3" s="86" t="s">
        <v>2</v>
      </c>
      <c r="J3" s="85" t="str">
        <f>'PO-SEDE'!$H$3</f>
        <v>Rev. 01</v>
      </c>
    </row>
    <row r="4" spans="1:10" ht="18.75" x14ac:dyDescent="0.25">
      <c r="A4" s="66"/>
      <c r="B4" s="67"/>
      <c r="C4" s="68" t="s">
        <v>4</v>
      </c>
      <c r="D4" s="68"/>
      <c r="E4" s="69"/>
      <c r="F4" s="52"/>
      <c r="G4" s="52"/>
      <c r="H4" s="83" t="s">
        <v>5</v>
      </c>
      <c r="I4" s="87" t="str">
        <f>'PO-SEDE'!G5</f>
        <v>A 116.079-6</v>
      </c>
      <c r="J4" s="88" t="str">
        <f>'PO-SEDE'!$H$5</f>
        <v>data base:</v>
      </c>
    </row>
    <row r="5" spans="1:10" ht="18.75" x14ac:dyDescent="0.25">
      <c r="A5" s="66"/>
      <c r="B5" s="67"/>
      <c r="C5" s="68" t="s">
        <v>5352</v>
      </c>
      <c r="D5" s="68"/>
      <c r="E5" s="69"/>
      <c r="F5" s="52"/>
      <c r="G5" s="52"/>
      <c r="H5" s="83" t="s">
        <v>8</v>
      </c>
      <c r="I5" s="87">
        <f>'PO-SEDE'!G6</f>
        <v>4774233</v>
      </c>
      <c r="J5" s="90">
        <f>'PO-SEDE'!$H$6</f>
        <v>43040</v>
      </c>
    </row>
    <row r="6" spans="1:10" x14ac:dyDescent="0.25">
      <c r="A6" s="50"/>
      <c r="B6" s="51"/>
      <c r="C6" s="51"/>
      <c r="D6" s="51"/>
      <c r="E6" s="70"/>
      <c r="F6" s="52"/>
      <c r="G6" s="52"/>
      <c r="H6" s="51"/>
      <c r="I6" s="71"/>
      <c r="J6" s="248" t="str">
        <f>'PO-SEDE'!$H$7</f>
        <v>C/ DESONERAÇÃO</v>
      </c>
    </row>
    <row r="7" spans="1:10" x14ac:dyDescent="0.25">
      <c r="A7" s="251"/>
      <c r="B7" s="252"/>
      <c r="C7" s="252"/>
      <c r="D7" s="252"/>
      <c r="E7" s="252"/>
      <c r="F7" s="252"/>
      <c r="G7" s="252"/>
      <c r="H7" s="253"/>
      <c r="I7" s="254"/>
      <c r="J7" s="255"/>
    </row>
    <row r="8" spans="1:10" x14ac:dyDescent="0.25">
      <c r="A8" s="553" t="s">
        <v>4719</v>
      </c>
      <c r="B8" s="553" t="s">
        <v>12</v>
      </c>
      <c r="C8" s="554" t="s">
        <v>4720</v>
      </c>
      <c r="D8" s="557" t="s">
        <v>4721</v>
      </c>
      <c r="E8" s="557"/>
      <c r="F8" s="557" t="s">
        <v>4722</v>
      </c>
      <c r="G8" s="557"/>
      <c r="H8" s="557" t="s">
        <v>4723</v>
      </c>
      <c r="I8" s="557"/>
      <c r="J8" s="558" t="s">
        <v>4724</v>
      </c>
    </row>
    <row r="9" spans="1:10" ht="95.1" customHeight="1" x14ac:dyDescent="0.25">
      <c r="A9" s="553"/>
      <c r="B9" s="553"/>
      <c r="C9" s="555"/>
      <c r="D9" s="551" t="s">
        <v>4732</v>
      </c>
      <c r="E9" s="552"/>
      <c r="F9" s="551" t="s">
        <v>4733</v>
      </c>
      <c r="G9" s="552"/>
      <c r="H9" s="551" t="s">
        <v>4734</v>
      </c>
      <c r="I9" s="552"/>
      <c r="J9" s="558"/>
    </row>
    <row r="10" spans="1:10" x14ac:dyDescent="0.25">
      <c r="A10" s="553"/>
      <c r="B10" s="553"/>
      <c r="C10" s="555"/>
      <c r="D10" s="240" t="s">
        <v>4725</v>
      </c>
      <c r="E10" s="240" t="s">
        <v>4726</v>
      </c>
      <c r="F10" s="240" t="s">
        <v>4725</v>
      </c>
      <c r="G10" s="240" t="s">
        <v>4726</v>
      </c>
      <c r="H10" s="240" t="s">
        <v>4725</v>
      </c>
      <c r="I10" s="240" t="s">
        <v>4726</v>
      </c>
      <c r="J10" s="558"/>
    </row>
    <row r="11" spans="1:10" x14ac:dyDescent="0.25">
      <c r="A11" s="553"/>
      <c r="B11" s="553"/>
      <c r="C11" s="555"/>
      <c r="D11" s="241">
        <v>42491</v>
      </c>
      <c r="E11" s="241">
        <v>42309</v>
      </c>
      <c r="F11" s="241">
        <v>42491</v>
      </c>
      <c r="G11" s="241">
        <v>42309</v>
      </c>
      <c r="H11" s="241">
        <v>42491</v>
      </c>
      <c r="I11" s="241">
        <v>42309</v>
      </c>
      <c r="J11" s="558"/>
    </row>
    <row r="12" spans="1:10" x14ac:dyDescent="0.25">
      <c r="A12" s="553"/>
      <c r="B12" s="553"/>
      <c r="C12" s="556"/>
      <c r="D12" s="242" t="s">
        <v>4727</v>
      </c>
      <c r="E12" s="243">
        <f>VLOOKUP(D11,ÍNDICES!A:G,7,0)</f>
        <v>0.998</v>
      </c>
      <c r="F12" s="242" t="s">
        <v>4727</v>
      </c>
      <c r="G12" s="243">
        <f>VLOOKUP(F11,ÍNDICES!A:G,7,0)</f>
        <v>0.998</v>
      </c>
      <c r="H12" s="242" t="s">
        <v>4727</v>
      </c>
      <c r="I12" s="243">
        <f>VLOOKUP(H11,ÍNDICES!A:G,7,0)</f>
        <v>0.998</v>
      </c>
      <c r="J12" s="558"/>
    </row>
    <row r="13" spans="1:10" ht="30" x14ac:dyDescent="0.25">
      <c r="A13" s="244" t="s">
        <v>4728</v>
      </c>
      <c r="B13" s="245" t="str">
        <f>VLOOKUP(A13,INSUMOS!B:D,3,0)</f>
        <v>Cuba de semi encaixe quadrada com mesa em louça branca ref. Deca L.830.17 ou equivalente</v>
      </c>
      <c r="C13" s="246" t="str">
        <f>VLOOKUP(A13,INSUMOS!B:E,4,0)</f>
        <v>un</v>
      </c>
      <c r="D13" s="247">
        <v>498.9</v>
      </c>
      <c r="E13" s="247">
        <f>D13*$E$12</f>
        <v>497.90219999999999</v>
      </c>
      <c r="F13" s="247">
        <v>499.9</v>
      </c>
      <c r="G13" s="247">
        <f>F13*$G$12</f>
        <v>498.90019999999998</v>
      </c>
      <c r="H13" s="247">
        <v>499.9</v>
      </c>
      <c r="I13" s="247">
        <f>H13*$I$12</f>
        <v>498.90019999999998</v>
      </c>
      <c r="J13" s="247">
        <f>MEDIAN(I13,G13,E13)</f>
        <v>498.90019999999998</v>
      </c>
    </row>
    <row r="14" spans="1:10" x14ac:dyDescent="0.25">
      <c r="A14" s="316"/>
      <c r="B14" s="317"/>
      <c r="C14" s="317"/>
      <c r="D14" s="317"/>
      <c r="E14" s="317"/>
      <c r="F14" s="317"/>
      <c r="G14" s="317"/>
      <c r="H14" s="317"/>
      <c r="I14" s="317"/>
      <c r="J14" s="318"/>
    </row>
    <row r="15" spans="1:10" x14ac:dyDescent="0.25">
      <c r="A15" s="553" t="s">
        <v>4719</v>
      </c>
      <c r="B15" s="553" t="s">
        <v>12</v>
      </c>
      <c r="C15" s="554" t="s">
        <v>4720</v>
      </c>
      <c r="D15" s="557" t="s">
        <v>4721</v>
      </c>
      <c r="E15" s="557"/>
      <c r="F15" s="557" t="s">
        <v>4722</v>
      </c>
      <c r="G15" s="557"/>
      <c r="H15" s="557" t="s">
        <v>4723</v>
      </c>
      <c r="I15" s="557"/>
      <c r="J15" s="558" t="s">
        <v>4724</v>
      </c>
    </row>
    <row r="16" spans="1:10" ht="115.5" customHeight="1" x14ac:dyDescent="0.25">
      <c r="A16" s="553"/>
      <c r="B16" s="553"/>
      <c r="C16" s="555"/>
      <c r="D16" s="551" t="s">
        <v>4854</v>
      </c>
      <c r="E16" s="552"/>
      <c r="F16" s="551" t="s">
        <v>4882</v>
      </c>
      <c r="G16" s="552"/>
      <c r="H16" s="551" t="s">
        <v>5521</v>
      </c>
      <c r="I16" s="552"/>
      <c r="J16" s="558"/>
    </row>
    <row r="17" spans="1:10" x14ac:dyDescent="0.25">
      <c r="A17" s="553"/>
      <c r="B17" s="553"/>
      <c r="C17" s="555"/>
      <c r="D17" s="240" t="s">
        <v>4725</v>
      </c>
      <c r="E17" s="240" t="s">
        <v>4726</v>
      </c>
      <c r="F17" s="240" t="s">
        <v>4725</v>
      </c>
      <c r="G17" s="240" t="s">
        <v>4726</v>
      </c>
      <c r="H17" s="240" t="s">
        <v>4725</v>
      </c>
      <c r="I17" s="240" t="s">
        <v>4726</v>
      </c>
      <c r="J17" s="558"/>
    </row>
    <row r="18" spans="1:10" x14ac:dyDescent="0.25">
      <c r="A18" s="553"/>
      <c r="B18" s="553"/>
      <c r="C18" s="555"/>
      <c r="D18" s="241">
        <v>42491</v>
      </c>
      <c r="E18" s="241">
        <v>42309</v>
      </c>
      <c r="F18" s="241">
        <v>42491</v>
      </c>
      <c r="G18" s="241">
        <v>42309</v>
      </c>
      <c r="H18" s="241">
        <v>42491</v>
      </c>
      <c r="I18" s="241">
        <v>42309</v>
      </c>
      <c r="J18" s="558"/>
    </row>
    <row r="19" spans="1:10" x14ac:dyDescent="0.25">
      <c r="A19" s="553"/>
      <c r="B19" s="553"/>
      <c r="C19" s="556"/>
      <c r="D19" s="242" t="s">
        <v>4727</v>
      </c>
      <c r="E19" s="243">
        <f>VLOOKUP(D18,ÍNDICES!A:G,7,0)</f>
        <v>0.998</v>
      </c>
      <c r="F19" s="242" t="s">
        <v>4727</v>
      </c>
      <c r="G19" s="243">
        <f>VLOOKUP(F18,ÍNDICES!A:G,7,0)</f>
        <v>0.998</v>
      </c>
      <c r="H19" s="242" t="s">
        <v>4727</v>
      </c>
      <c r="I19" s="243">
        <f>VLOOKUP(H18,ÍNDICES!A:G,7,0)</f>
        <v>0.998</v>
      </c>
      <c r="J19" s="558"/>
    </row>
    <row r="20" spans="1:10" ht="45" x14ac:dyDescent="0.25">
      <c r="A20" s="244" t="s">
        <v>4855</v>
      </c>
      <c r="B20" s="245" t="str">
        <f>VLOOKUP(A20,INSUMOS!B:D,3,0)</f>
        <v>Fornecimento e Instalação de Sistema com 10 módulos 265W e inversor Fronius 2,5kWp, inclusive homologação junto à concessionária.</v>
      </c>
      <c r="C20" s="246" t="str">
        <f>VLOOKUP(A20,INSUMOS!B:E,4,0)</f>
        <v>cj</v>
      </c>
      <c r="D20" s="247">
        <v>27530</v>
      </c>
      <c r="E20" s="247">
        <f>D20*$E$19</f>
        <v>27474.94</v>
      </c>
      <c r="F20" s="247">
        <v>26000</v>
      </c>
      <c r="G20" s="247">
        <f>IF(F20=0,,F20*$G$19)</f>
        <v>25948</v>
      </c>
      <c r="H20" s="428">
        <v>28600</v>
      </c>
      <c r="I20" s="247">
        <f>H20*$I$19</f>
        <v>28542.799999999999</v>
      </c>
      <c r="J20" s="247">
        <f>MEDIAN(I20,G20,E20)</f>
        <v>27474.94</v>
      </c>
    </row>
    <row r="21" spans="1:10" ht="45" x14ac:dyDescent="0.25">
      <c r="A21" s="244" t="s">
        <v>4856</v>
      </c>
      <c r="B21" s="245" t="str">
        <f>VLOOKUP(A21,INSUMOS!B:D,3,0)</f>
        <v>Fornecimento e Instalação de Sistema com 60 módulos  265 W e inversor 12,5 ABB kWp, inclusive homologação junto à concessionária.</v>
      </c>
      <c r="C21" s="246" t="str">
        <f>VLOOKUP(A21,INSUMOS!B:E,4,0)</f>
        <v>cj</v>
      </c>
      <c r="D21" s="247">
        <v>105600</v>
      </c>
      <c r="E21" s="247">
        <f t="shared" ref="E21:E23" si="0">D21*$E$19</f>
        <v>105388.8</v>
      </c>
      <c r="F21" s="247">
        <v>104300</v>
      </c>
      <c r="G21" s="247">
        <f t="shared" ref="G21:G22" si="1">IF(F21=0,,F21*$G$19)</f>
        <v>104091.4</v>
      </c>
      <c r="H21" s="428">
        <v>118296</v>
      </c>
      <c r="I21" s="247">
        <f t="shared" ref="I21:I23" si="2">H21*$I$19</f>
        <v>118059.408</v>
      </c>
      <c r="J21" s="247">
        <f t="shared" ref="J21:J23" si="3">MEDIAN(I21,G21,E21)</f>
        <v>105388.8</v>
      </c>
    </row>
    <row r="22" spans="1:10" ht="45" x14ac:dyDescent="0.25">
      <c r="A22" s="244" t="s">
        <v>4857</v>
      </c>
      <c r="B22" s="245" t="str">
        <f>VLOOKUP(A22,INSUMOS!B:D,3,0)</f>
        <v>Fornecimento e Instalação de Sistema com 10 módulos 265 W e inversor Fronius 2,5 kWp, inclusive homologação junto à concessionária.</v>
      </c>
      <c r="C22" s="246" t="str">
        <f>VLOOKUP(A22,INSUMOS!B:E,4,0)</f>
        <v>cj</v>
      </c>
      <c r="D22" s="247">
        <v>24830</v>
      </c>
      <c r="E22" s="247">
        <f t="shared" si="0"/>
        <v>24780.34</v>
      </c>
      <c r="F22" s="247">
        <v>26000</v>
      </c>
      <c r="G22" s="247">
        <f t="shared" si="1"/>
        <v>25948</v>
      </c>
      <c r="H22" s="428">
        <v>28600</v>
      </c>
      <c r="I22" s="247">
        <f t="shared" si="2"/>
        <v>28542.799999999999</v>
      </c>
      <c r="J22" s="247">
        <f t="shared" si="3"/>
        <v>25948</v>
      </c>
    </row>
    <row r="23" spans="1:10" ht="30" x14ac:dyDescent="0.25">
      <c r="A23" s="244" t="s">
        <v>4858</v>
      </c>
      <c r="B23" s="245" t="str">
        <f>VLOOKUP(A23,INSUMOS!B:D,3,0)</f>
        <v>Fornecimento e Instalação de Sistema com 12 módulos 265W com sistema off-grid, inclusive homologação junto à concessionária.</v>
      </c>
      <c r="C23" s="246" t="str">
        <f>VLOOKUP(A23,INSUMOS!B:E,4,0)</f>
        <v>cj</v>
      </c>
      <c r="D23" s="247">
        <v>59280</v>
      </c>
      <c r="E23" s="247">
        <f t="shared" si="0"/>
        <v>59161.440000000002</v>
      </c>
      <c r="F23" s="247"/>
      <c r="G23" s="247"/>
      <c r="H23" s="428">
        <v>82506</v>
      </c>
      <c r="I23" s="247">
        <f t="shared" si="2"/>
        <v>82340.987999999998</v>
      </c>
      <c r="J23" s="247">
        <f t="shared" si="3"/>
        <v>70751.214000000007</v>
      </c>
    </row>
    <row r="24" spans="1:10" x14ac:dyDescent="0.25">
      <c r="A24" s="316"/>
      <c r="B24" s="317"/>
      <c r="C24" s="317"/>
      <c r="D24" s="317"/>
      <c r="E24" s="317"/>
      <c r="F24" s="317"/>
      <c r="G24" s="317"/>
      <c r="H24" s="317"/>
      <c r="I24" s="317"/>
      <c r="J24" s="318"/>
    </row>
    <row r="25" spans="1:10" x14ac:dyDescent="0.25">
      <c r="A25" s="553" t="s">
        <v>4719</v>
      </c>
      <c r="B25" s="553" t="s">
        <v>12</v>
      </c>
      <c r="C25" s="554" t="s">
        <v>4720</v>
      </c>
      <c r="D25" s="557" t="s">
        <v>4721</v>
      </c>
      <c r="E25" s="557"/>
      <c r="F25" s="557" t="s">
        <v>4722</v>
      </c>
      <c r="G25" s="557"/>
      <c r="H25" s="557" t="s">
        <v>4723</v>
      </c>
      <c r="I25" s="557"/>
      <c r="J25" s="558" t="s">
        <v>4724</v>
      </c>
    </row>
    <row r="26" spans="1:10" ht="115.5" customHeight="1" x14ac:dyDescent="0.25">
      <c r="A26" s="553"/>
      <c r="B26" s="553"/>
      <c r="C26" s="555"/>
      <c r="D26" s="551" t="s">
        <v>5345</v>
      </c>
      <c r="E26" s="552"/>
      <c r="F26" s="551" t="s">
        <v>5405</v>
      </c>
      <c r="G26" s="552"/>
      <c r="H26" s="561" t="s">
        <v>5406</v>
      </c>
      <c r="I26" s="552"/>
      <c r="J26" s="558"/>
    </row>
    <row r="27" spans="1:10" x14ac:dyDescent="0.25">
      <c r="A27" s="553"/>
      <c r="B27" s="553"/>
      <c r="C27" s="555"/>
      <c r="D27" s="240" t="s">
        <v>4725</v>
      </c>
      <c r="E27" s="240" t="s">
        <v>4726</v>
      </c>
      <c r="F27" s="240" t="s">
        <v>4725</v>
      </c>
      <c r="G27" s="240" t="s">
        <v>4726</v>
      </c>
      <c r="H27" s="240" t="s">
        <v>4725</v>
      </c>
      <c r="I27" s="240" t="s">
        <v>4726</v>
      </c>
      <c r="J27" s="558"/>
    </row>
    <row r="28" spans="1:10" x14ac:dyDescent="0.25">
      <c r="A28" s="553"/>
      <c r="B28" s="553"/>
      <c r="C28" s="555"/>
      <c r="D28" s="241">
        <v>42522</v>
      </c>
      <c r="E28" s="241">
        <v>42309</v>
      </c>
      <c r="F28" s="241">
        <v>42522</v>
      </c>
      <c r="G28" s="241">
        <v>42309</v>
      </c>
      <c r="H28" s="241">
        <v>42522</v>
      </c>
      <c r="I28" s="241">
        <v>42309</v>
      </c>
      <c r="J28" s="558"/>
    </row>
    <row r="29" spans="1:10" x14ac:dyDescent="0.25">
      <c r="A29" s="553"/>
      <c r="B29" s="553"/>
      <c r="C29" s="556"/>
      <c r="D29" s="242" t="s">
        <v>4727</v>
      </c>
      <c r="E29" s="243">
        <f>VLOOKUP(D28,ÍNDICES!A:G,7,0)</f>
        <v>0.998</v>
      </c>
      <c r="F29" s="242" t="s">
        <v>4727</v>
      </c>
      <c r="G29" s="243">
        <f>VLOOKUP(F28,ÍNDICES!A:G,7,0)</f>
        <v>0.998</v>
      </c>
      <c r="H29" s="242" t="s">
        <v>4727</v>
      </c>
      <c r="I29" s="243">
        <f>VLOOKUP(H28,ÍNDICES!A:G,7,0)</f>
        <v>0.998</v>
      </c>
      <c r="J29" s="558"/>
    </row>
    <row r="30" spans="1:10" ht="45" x14ac:dyDescent="0.25">
      <c r="A30" s="244" t="s">
        <v>4860</v>
      </c>
      <c r="B30" s="245" t="str">
        <f>VLOOKUP(A30,INSUMOS!B:D,3,0)</f>
        <v>CX 02-A - Painéis de policarbonato alveolar transparente de 40mm e porta central de madeira, abertura sentido horário, com bandeira basculante dim.3,00x2,56m. Fornecimento e instalação</v>
      </c>
      <c r="C30" s="246" t="str">
        <f>VLOOKUP(A30,INSUMOS!B:E,4,0)</f>
        <v>un</v>
      </c>
      <c r="D30" s="428">
        <v>4255</v>
      </c>
      <c r="E30" s="428">
        <f t="shared" ref="E30:E55" si="4">D30*$E$29</f>
        <v>4246.49</v>
      </c>
      <c r="F30" s="428">
        <v>914.03</v>
      </c>
      <c r="G30" s="428">
        <f>F30*$G$29</f>
        <v>912.20193999999992</v>
      </c>
      <c r="H30" s="429">
        <f>(2458.42/(3*2.56))*(3*2.56)</f>
        <v>2458.42</v>
      </c>
      <c r="I30" s="428">
        <f t="shared" ref="I30:I33" si="5">H30*$I$29</f>
        <v>2453.5031600000002</v>
      </c>
      <c r="J30" s="247">
        <f>MEDIAN(I30,G30,E30)</f>
        <v>2453.5031600000002</v>
      </c>
    </row>
    <row r="31" spans="1:10" ht="45" x14ac:dyDescent="0.25">
      <c r="A31" s="244" t="s">
        <v>4861</v>
      </c>
      <c r="B31" s="245" t="str">
        <f>VLOOKUP(A31,INSUMOS!B:D,3,0)</f>
        <v>CX 02-B - Painéis de policarbonato alveolar transparente de 40mm e porta de madeira à direita, abertura sentido horário, com bandeira basculante dim.3,00x2,56m. Fornecimento e instalação</v>
      </c>
      <c r="C31" s="246" t="str">
        <f>VLOOKUP(A31,INSUMOS!B:E,4,0)</f>
        <v>un</v>
      </c>
      <c r="D31" s="428">
        <v>4255</v>
      </c>
      <c r="E31" s="428">
        <f t="shared" si="4"/>
        <v>4246.49</v>
      </c>
      <c r="F31" s="428">
        <v>914.03</v>
      </c>
      <c r="G31" s="428">
        <f t="shared" ref="G31:G55" si="6">F31*$G$29</f>
        <v>912.20193999999992</v>
      </c>
      <c r="H31" s="429">
        <f t="shared" ref="H31:H32" si="7">(2458.42/(3*2.56))*(3*2.56)</f>
        <v>2458.42</v>
      </c>
      <c r="I31" s="428">
        <f t="shared" si="5"/>
        <v>2453.5031600000002</v>
      </c>
      <c r="J31" s="247">
        <f>MEDIAN(I31,G31,E31)</f>
        <v>2453.5031600000002</v>
      </c>
    </row>
    <row r="32" spans="1:10" ht="60" x14ac:dyDescent="0.25">
      <c r="A32" s="244" t="s">
        <v>4862</v>
      </c>
      <c r="B32" s="245" t="str">
        <f>VLOOKUP(A32,INSUMOS!B:D,3,0)</f>
        <v>CX 02-C - Painéis de policarbonato alveolar transparente de 40mm e porta de madeira à esquerda, abertura sentido anti-horário, com bandeira basculante dim.3,00x2,56m. Fornecimento e instalação</v>
      </c>
      <c r="C32" s="246" t="str">
        <f>VLOOKUP(A32,INSUMOS!B:E,4,0)</f>
        <v>un</v>
      </c>
      <c r="D32" s="428">
        <v>4255</v>
      </c>
      <c r="E32" s="428">
        <f t="shared" si="4"/>
        <v>4246.49</v>
      </c>
      <c r="F32" s="428">
        <v>914.03</v>
      </c>
      <c r="G32" s="428">
        <f t="shared" si="6"/>
        <v>912.20193999999992</v>
      </c>
      <c r="H32" s="429">
        <f t="shared" si="7"/>
        <v>2458.42</v>
      </c>
      <c r="I32" s="428">
        <f t="shared" si="5"/>
        <v>2453.5031600000002</v>
      </c>
      <c r="J32" s="247">
        <f>MEDIAN(I32,G32,E32)</f>
        <v>2453.5031600000002</v>
      </c>
    </row>
    <row r="33" spans="1:10" ht="45" x14ac:dyDescent="0.25">
      <c r="A33" s="244" t="s">
        <v>4863</v>
      </c>
      <c r="B33" s="245" t="str">
        <f>VLOOKUP(A33,INSUMOS!B:D,3,0)</f>
        <v>CX 02-D - Painel (0,44x2,56m) de policarbonato alveolar de 40mm e porta de madeira à esquerda, abertura anti-horário, com bandeira basculante dim.1,44x2,56m. Fornecimento e instalação</v>
      </c>
      <c r="C33" s="246" t="str">
        <f>VLOOKUP(A33,INSUMOS!B:E,4,0)</f>
        <v>un</v>
      </c>
      <c r="D33" s="428">
        <v>4255</v>
      </c>
      <c r="E33" s="428">
        <f t="shared" si="4"/>
        <v>4246.49</v>
      </c>
      <c r="F33" s="428">
        <v>914.03</v>
      </c>
      <c r="G33" s="428">
        <f t="shared" si="6"/>
        <v>912.20193999999992</v>
      </c>
      <c r="H33" s="429">
        <f>(2458.42/(3*2.56))*(1.44*2.56)</f>
        <v>1180.0416</v>
      </c>
      <c r="I33" s="428">
        <f t="shared" si="5"/>
        <v>1177.6815168000001</v>
      </c>
      <c r="J33" s="247">
        <f t="shared" ref="J33:J54" si="8">MEDIAN(I33,G33,E33)</f>
        <v>1177.6815168000001</v>
      </c>
    </row>
    <row r="34" spans="1:10" ht="60" x14ac:dyDescent="0.25">
      <c r="A34" s="244" t="s">
        <v>4864</v>
      </c>
      <c r="B34" s="245" t="str">
        <f>VLOOKUP(A34,INSUMOS!B:D,3,0)</f>
        <v>CX 03-A - Porta de madeira - estruturada com fechamento de chapa de compensado 6mm - tipo camarão em dois pares de folhas, suspensa por trilho superior e com guia inferior embutida no piso dim.3,00x2,56m. Fornecimento e instalação</v>
      </c>
      <c r="C34" s="246" t="str">
        <f>VLOOKUP(A34,INSUMOS!B:E,4,0)</f>
        <v>un</v>
      </c>
      <c r="D34" s="428">
        <v>12534.999999999998</v>
      </c>
      <c r="E34" s="428">
        <f t="shared" si="4"/>
        <v>12509.929999999998</v>
      </c>
      <c r="F34" s="428">
        <v>4551.72</v>
      </c>
      <c r="G34" s="428">
        <f t="shared" si="6"/>
        <v>4542.6165600000004</v>
      </c>
      <c r="H34" s="428">
        <v>9950.75</v>
      </c>
      <c r="I34" s="428">
        <f t="shared" ref="I34:I55" si="9">H34*$I$29</f>
        <v>9930.8485000000001</v>
      </c>
      <c r="J34" s="247">
        <f t="shared" si="8"/>
        <v>9930.8485000000001</v>
      </c>
    </row>
    <row r="35" spans="1:10" ht="75" x14ac:dyDescent="0.25">
      <c r="A35" s="244" t="s">
        <v>4865</v>
      </c>
      <c r="B35" s="245" t="str">
        <f>VLOOKUP(A35,INSUMOS!B:D,3,0)</f>
        <v>CX 03-B - Painel de policarbonato alveolar transparente de 40mm e porta de madeira - estruturada com fechamento de chapa de compensado 6mm - tipo camarão em um par de duas folhas, suspensa por trilho superior e com guia inferior embutida no piso dim.3,00x2,56m. Fornecimento e instalação</v>
      </c>
      <c r="C35" s="246" t="str">
        <f>VLOOKUP(A35,INSUMOS!B:E,4,0)</f>
        <v>un</v>
      </c>
      <c r="D35" s="428">
        <v>7129.9999999999991</v>
      </c>
      <c r="E35" s="428">
        <f t="shared" si="4"/>
        <v>7115.7399999999989</v>
      </c>
      <c r="F35" s="428">
        <v>2559.48</v>
      </c>
      <c r="G35" s="428">
        <f t="shared" si="6"/>
        <v>2554.3610400000002</v>
      </c>
      <c r="H35" s="428">
        <v>5176.99</v>
      </c>
      <c r="I35" s="428">
        <f t="shared" si="9"/>
        <v>5166.6360199999999</v>
      </c>
      <c r="J35" s="247">
        <f t="shared" si="8"/>
        <v>5166.6360199999999</v>
      </c>
    </row>
    <row r="36" spans="1:10" ht="60" x14ac:dyDescent="0.25">
      <c r="A36" s="244" t="s">
        <v>4866</v>
      </c>
      <c r="B36" s="245" t="str">
        <f>VLOOKUP(A36,INSUMOS!B:D,3,0)</f>
        <v>CX 04-A - Painéis com moldura de madeira, fechamento em policarbonato alveolar transparente de 40mm e esquadria maxim-ar com vidro temperado de 8mm dim.3,00x2,56m. Fornecimento e instalação</v>
      </c>
      <c r="C36" s="246" t="str">
        <f>VLOOKUP(A36,INSUMOS!B:E,4,0)</f>
        <v>un</v>
      </c>
      <c r="D36" s="428">
        <v>5175</v>
      </c>
      <c r="E36" s="428">
        <f t="shared" si="4"/>
        <v>5164.6499999999996</v>
      </c>
      <c r="F36" s="428">
        <v>4788.47</v>
      </c>
      <c r="G36" s="428">
        <f t="shared" si="6"/>
        <v>4778.8930600000003</v>
      </c>
      <c r="H36" s="428">
        <v>2458.42</v>
      </c>
      <c r="I36" s="428">
        <f t="shared" si="9"/>
        <v>2453.5031600000002</v>
      </c>
      <c r="J36" s="247">
        <f t="shared" si="8"/>
        <v>4778.8930600000003</v>
      </c>
    </row>
    <row r="37" spans="1:10" ht="60" x14ac:dyDescent="0.25">
      <c r="A37" s="244" t="s">
        <v>4867</v>
      </c>
      <c r="B37" s="245" t="str">
        <f>VLOOKUP(A37,INSUMOS!B:D,3,0)</f>
        <v>CX 04-B - Painéis com moldura de madeira e fechamento em policarbonato alveolar transparente de 40mm, esquadria maxim-ar e vidro fixo temperado de 8mm dim.3,00x2,56m. Fornecimento e instalação</v>
      </c>
      <c r="C37" s="246" t="str">
        <f>VLOOKUP(A37,INSUMOS!B:E,4,0)</f>
        <v>un</v>
      </c>
      <c r="D37" s="428">
        <v>6324.9999999999991</v>
      </c>
      <c r="E37" s="428">
        <f t="shared" si="4"/>
        <v>6312.3499999999995</v>
      </c>
      <c r="F37" s="428">
        <v>4788.47</v>
      </c>
      <c r="G37" s="428">
        <f t="shared" si="6"/>
        <v>4778.8930600000003</v>
      </c>
      <c r="H37" s="428">
        <v>2458.42</v>
      </c>
      <c r="I37" s="428">
        <f t="shared" si="9"/>
        <v>2453.5031600000002</v>
      </c>
      <c r="J37" s="247">
        <f t="shared" si="8"/>
        <v>4778.8930600000003</v>
      </c>
    </row>
    <row r="38" spans="1:10" ht="75" x14ac:dyDescent="0.25">
      <c r="A38" s="244" t="s">
        <v>4868</v>
      </c>
      <c r="B38" s="245" t="str">
        <f>VLOOKUP(A38,INSUMOS!B:D,3,0)</f>
        <v>CX 04-C - Painéis com moldura de madeira e fechamento em policarbonato alveolar transparente de 40mm, esquadria maxim-ar e vidro fixo temperado de 8mm. Porta (0,70x2,56m) com moldura de madeira, fechamento em policarbonato e dois vidros fixos dim.3,00x2,56m. Fornecimento e instalação</v>
      </c>
      <c r="C38" s="246" t="str">
        <f>VLOOKUP(A38,INSUMOS!B:E,4,0)</f>
        <v>un</v>
      </c>
      <c r="D38" s="428">
        <v>6324.9999999999991</v>
      </c>
      <c r="E38" s="428">
        <f t="shared" si="4"/>
        <v>6312.3499999999995</v>
      </c>
      <c r="F38" s="428">
        <v>4788.47</v>
      </c>
      <c r="G38" s="428">
        <f t="shared" si="6"/>
        <v>4778.8930600000003</v>
      </c>
      <c r="H38" s="428">
        <v>1664.96</v>
      </c>
      <c r="I38" s="428">
        <f t="shared" si="9"/>
        <v>1661.6300800000001</v>
      </c>
      <c r="J38" s="247">
        <f t="shared" si="8"/>
        <v>4778.8930600000003</v>
      </c>
    </row>
    <row r="39" spans="1:10" ht="75" x14ac:dyDescent="0.25">
      <c r="A39" s="244" t="s">
        <v>4869</v>
      </c>
      <c r="B39" s="245" t="str">
        <f>VLOOKUP(A39,INSUMOS!B:D,3,0)</f>
        <v>CX 04-D - Painéis com moldura de madeira, fechamento em policarbonato alveolar transparente de 40mm e esquadria maxim-ar com vidro temperado de 8mm. No vão do elevador, fechamento somente com policarbonato. Dim.3,00x2,56m. Fornecimento e instalação</v>
      </c>
      <c r="C39" s="246" t="str">
        <f>VLOOKUP(A39,INSUMOS!B:E,4,0)</f>
        <v>un</v>
      </c>
      <c r="D39" s="428">
        <v>6324.9999999999991</v>
      </c>
      <c r="E39" s="428">
        <f t="shared" si="4"/>
        <v>6312.3499999999995</v>
      </c>
      <c r="F39" s="428">
        <v>4788.47</v>
      </c>
      <c r="G39" s="428">
        <f t="shared" si="6"/>
        <v>4778.8930600000003</v>
      </c>
      <c r="H39" s="429">
        <f>(2458.42/(3*2.56))*(3*2.56)</f>
        <v>2458.42</v>
      </c>
      <c r="I39" s="428">
        <f t="shared" si="9"/>
        <v>2453.5031600000002</v>
      </c>
      <c r="J39" s="247">
        <f t="shared" si="8"/>
        <v>4778.8930600000003</v>
      </c>
    </row>
    <row r="40" spans="1:10" ht="30" x14ac:dyDescent="0.25">
      <c r="A40" s="244" t="s">
        <v>4870</v>
      </c>
      <c r="B40" s="245" t="str">
        <f>VLOOKUP(A40,INSUMOS!B:D,3,0)</f>
        <v>PM01 - Porta de madeira com bandeira dim.0,90x2,56m. Fornecimento e instalação</v>
      </c>
      <c r="C40" s="246" t="str">
        <f>VLOOKUP(A40,INSUMOS!B:E,4,0)</f>
        <v>un</v>
      </c>
      <c r="D40" s="428">
        <v>4255</v>
      </c>
      <c r="E40" s="428">
        <f t="shared" si="4"/>
        <v>4246.49</v>
      </c>
      <c r="F40" s="428">
        <v>775.67</v>
      </c>
      <c r="G40" s="428">
        <f>F40*$G$29</f>
        <v>774.11865999999998</v>
      </c>
      <c r="H40" s="428">
        <v>3733.16</v>
      </c>
      <c r="I40" s="428">
        <f t="shared" si="9"/>
        <v>3725.6936799999999</v>
      </c>
      <c r="J40" s="247">
        <f t="shared" si="8"/>
        <v>3725.6936799999999</v>
      </c>
    </row>
    <row r="41" spans="1:10" ht="30" x14ac:dyDescent="0.25">
      <c r="A41" s="244" t="s">
        <v>4871</v>
      </c>
      <c r="B41" s="245" t="str">
        <f>VLOOKUP(A41,INSUMOS!B:D,3,0)</f>
        <v>PM02 - Porta de madeira com bandeira dim.0,80x2,56m. Fornecimento e instalação</v>
      </c>
      <c r="C41" s="246" t="str">
        <f>VLOOKUP(A41,INSUMOS!B:E,4,0)</f>
        <v>un</v>
      </c>
      <c r="D41" s="428">
        <v>4255</v>
      </c>
      <c r="E41" s="428">
        <f t="shared" si="4"/>
        <v>4246.49</v>
      </c>
      <c r="F41" s="428">
        <v>722.73</v>
      </c>
      <c r="G41" s="428">
        <f t="shared" si="6"/>
        <v>721.28453999999999</v>
      </c>
      <c r="H41" s="428">
        <v>329.92</v>
      </c>
      <c r="I41" s="428">
        <f t="shared" si="9"/>
        <v>329.26016000000004</v>
      </c>
      <c r="J41" s="247">
        <f t="shared" si="8"/>
        <v>721.28453999999999</v>
      </c>
    </row>
    <row r="42" spans="1:10" ht="30" x14ac:dyDescent="0.25">
      <c r="A42" s="244" t="s">
        <v>4872</v>
      </c>
      <c r="B42" s="245" t="str">
        <f>VLOOKUP(A42,INSUMOS!B:D,3,0)</f>
        <v>PM03 - Porta de madeira com bandeira dim.0,74x2,56m. Fornecimento e instalação</v>
      </c>
      <c r="C42" s="246" t="str">
        <f>VLOOKUP(A42,INSUMOS!B:E,4,0)</f>
        <v>un</v>
      </c>
      <c r="D42" s="428">
        <v>4255</v>
      </c>
      <c r="E42" s="428">
        <f t="shared" si="4"/>
        <v>4246.49</v>
      </c>
      <c r="F42" s="428">
        <v>3613.66</v>
      </c>
      <c r="G42" s="428">
        <f t="shared" si="6"/>
        <v>3606.4326799999999</v>
      </c>
      <c r="H42" s="428">
        <v>2848.65</v>
      </c>
      <c r="I42" s="428">
        <f t="shared" si="9"/>
        <v>2842.9527000000003</v>
      </c>
      <c r="J42" s="247">
        <f t="shared" si="8"/>
        <v>3606.4326799999999</v>
      </c>
    </row>
    <row r="43" spans="1:10" ht="60" x14ac:dyDescent="0.25">
      <c r="A43" s="244" t="s">
        <v>4875</v>
      </c>
      <c r="B43" s="245" t="str">
        <f>VLOOKUP(A43,INSUMOS!B:D,3,0)</f>
        <v>CX02 - Porta de madeira - estruturada com fechamento de chapa de compensado 6mm - tipo camarão em dois pares de duas folhas, suspensa por trilho superior e com guia inferior embutida no piso dim.3,50x2,85m. Fornecimento e instalação</v>
      </c>
      <c r="C43" s="246" t="str">
        <f>VLOOKUP(A43,INSUMOS!B:E,4,0)</f>
        <v>un</v>
      </c>
      <c r="D43" s="428">
        <v>13224.999999999998</v>
      </c>
      <c r="E43" s="428">
        <f t="shared" si="4"/>
        <v>13198.549999999997</v>
      </c>
      <c r="F43" s="428">
        <v>5702.42</v>
      </c>
      <c r="G43" s="428">
        <f t="shared" si="6"/>
        <v>5691.0151599999999</v>
      </c>
      <c r="H43" s="428">
        <v>3043.76</v>
      </c>
      <c r="I43" s="428">
        <f t="shared" si="9"/>
        <v>3037.6724800000002</v>
      </c>
      <c r="J43" s="247">
        <f t="shared" si="8"/>
        <v>5691.0151599999999</v>
      </c>
    </row>
    <row r="44" spans="1:10" ht="45" x14ac:dyDescent="0.25">
      <c r="A44" s="244" t="s">
        <v>4876</v>
      </c>
      <c r="B44" s="245" t="str">
        <f>VLOOKUP(A44,INSUMOS!B:D,3,0)</f>
        <v>CX 03 - Portão de madeira - estruturada com fechamento de chapa de compensado 6mm - de correr com trilho inferior e guia superior dim.3,60x2,71m. Fornecimento e instalação</v>
      </c>
      <c r="C44" s="246" t="str">
        <f>VLOOKUP(A44,INSUMOS!B:E,4,0)</f>
        <v>un</v>
      </c>
      <c r="D44" s="428">
        <v>16445</v>
      </c>
      <c r="E44" s="428">
        <f t="shared" si="4"/>
        <v>16412.11</v>
      </c>
      <c r="F44" s="428">
        <v>5546.04</v>
      </c>
      <c r="G44" s="428">
        <f t="shared" si="6"/>
        <v>5534.9479199999996</v>
      </c>
      <c r="H44" s="428">
        <v>11442.16</v>
      </c>
      <c r="I44" s="428">
        <f t="shared" si="9"/>
        <v>11419.275680000001</v>
      </c>
      <c r="J44" s="247">
        <f t="shared" si="8"/>
        <v>11419.275680000001</v>
      </c>
    </row>
    <row r="45" spans="1:10" ht="45" x14ac:dyDescent="0.25">
      <c r="A45" s="244" t="s">
        <v>4877</v>
      </c>
      <c r="B45" s="245" t="str">
        <f>VLOOKUP(A45,INSUMOS!B:D,3,0)</f>
        <v>CX 04-A - Porta com três folhas separadas, com moldura de madeira e fechamento em policarbonato alveolar transparente de 40mm dim.1,36x3,00m. Fornecimento e instalação</v>
      </c>
      <c r="C45" s="246" t="str">
        <f>VLOOKUP(A45,INSUMOS!B:E,4,0)</f>
        <v>un</v>
      </c>
      <c r="D45" s="428">
        <v>4024.9999999999995</v>
      </c>
      <c r="E45" s="428">
        <f t="shared" si="4"/>
        <v>4016.9499999999994</v>
      </c>
      <c r="F45" s="428">
        <v>2446.34</v>
      </c>
      <c r="G45" s="428">
        <f t="shared" si="6"/>
        <v>2441.4473200000002</v>
      </c>
      <c r="H45" s="429">
        <f>(2458.42/(3*2.56))*(1.5*3)</f>
        <v>1440.4804687500002</v>
      </c>
      <c r="I45" s="428">
        <f t="shared" ref="I45:I46" si="10">H45*$I$29</f>
        <v>1437.5995078125002</v>
      </c>
      <c r="J45" s="247">
        <f t="shared" si="8"/>
        <v>2441.4473200000002</v>
      </c>
    </row>
    <row r="46" spans="1:10" ht="60" x14ac:dyDescent="0.25">
      <c r="A46" s="244" t="s">
        <v>4878</v>
      </c>
      <c r="B46" s="245" t="str">
        <f>VLOOKUP(A46,INSUMOS!B:D,3,0)</f>
        <v>CX 04-B - Painéis com moldura de madeira, fechamento em policarbonato alveolar transparente de 40mm e vidro fixo temperado de 8mm dim.1,50x3,00 (CADA PAINEL, ENTRE EIXOS). Fornecimento e instalação</v>
      </c>
      <c r="C46" s="246" t="str">
        <f>VLOOKUP(A46,INSUMOS!B:E,4,0)</f>
        <v>un</v>
      </c>
      <c r="D46" s="428">
        <v>4140</v>
      </c>
      <c r="E46" s="428">
        <f t="shared" si="4"/>
        <v>4131.72</v>
      </c>
      <c r="F46" s="428">
        <v>2483.9299999999998</v>
      </c>
      <c r="G46" s="428">
        <f t="shared" si="6"/>
        <v>2478.9621399999996</v>
      </c>
      <c r="H46" s="429">
        <f t="shared" ref="H46" si="11">(2458.42/(3*2.56))*(3*2.56)</f>
        <v>2458.42</v>
      </c>
      <c r="I46" s="428">
        <f t="shared" si="10"/>
        <v>2453.5031600000002</v>
      </c>
      <c r="J46" s="247">
        <f t="shared" si="8"/>
        <v>2478.9621399999996</v>
      </c>
    </row>
    <row r="47" spans="1:10" ht="60" x14ac:dyDescent="0.25">
      <c r="A47" s="244" t="s">
        <v>4879</v>
      </c>
      <c r="B47" s="245" t="str">
        <f>VLOOKUP(A47,INSUMOS!B:D,3,0)</f>
        <v>CX 05 - Par de painéis fixos e de esquadrias basculantes com moldura de madeira e fechamento em policarbonato alveolar transparente de 40mm dim.3,40x0,74m (TOTAL). Fornecimento e instalação</v>
      </c>
      <c r="C47" s="246" t="str">
        <f>VLOOKUP(A47,INSUMOS!B:E,4,0)</f>
        <v>un</v>
      </c>
      <c r="D47" s="428">
        <v>4255</v>
      </c>
      <c r="E47" s="428">
        <f t="shared" si="4"/>
        <v>4246.49</v>
      </c>
      <c r="F47" s="428">
        <v>1728.16</v>
      </c>
      <c r="G47" s="428">
        <f t="shared" si="6"/>
        <v>1724.7036800000001</v>
      </c>
      <c r="H47" s="428">
        <v>1668.65</v>
      </c>
      <c r="I47" s="428">
        <f t="shared" si="9"/>
        <v>1665.3127000000002</v>
      </c>
      <c r="J47" s="247">
        <f t="shared" si="8"/>
        <v>1724.7036800000001</v>
      </c>
    </row>
    <row r="48" spans="1:10" ht="45" x14ac:dyDescent="0.25">
      <c r="A48" s="244" t="s">
        <v>4880</v>
      </c>
      <c r="B48" s="245" t="str">
        <f>VLOOKUP(A48,INSUMOS!B:D,3,0)</f>
        <v>CX 06 - Painel de policarbonato alveolar transparente de 40mm com acabamento em perfil de alumínio, para fechamento da treliça dim.. Fornecimento e instalação</v>
      </c>
      <c r="C48" s="246" t="str">
        <f>VLOOKUP(A48,INSUMOS!B:E,4,0)</f>
        <v>un</v>
      </c>
      <c r="D48" s="428">
        <v>6784.9999999999991</v>
      </c>
      <c r="E48" s="428">
        <f t="shared" si="4"/>
        <v>6771.4299999999994</v>
      </c>
      <c r="F48" s="428">
        <v>2483.9299999999998</v>
      </c>
      <c r="G48" s="428">
        <f t="shared" si="6"/>
        <v>2478.9621399999996</v>
      </c>
      <c r="H48" s="429">
        <f>(2458.42/(3*2.56))*(5.18)</f>
        <v>1658.1530729166668</v>
      </c>
      <c r="I48" s="428">
        <f t="shared" si="9"/>
        <v>1654.8367667708335</v>
      </c>
      <c r="J48" s="247">
        <f t="shared" si="8"/>
        <v>2478.9621399999996</v>
      </c>
    </row>
    <row r="49" spans="1:10" ht="45" x14ac:dyDescent="0.25">
      <c r="A49" s="244" t="s">
        <v>4990</v>
      </c>
      <c r="B49" s="245" t="str">
        <f>VLOOKUP(A49,INSUMOS!B:D,3,0)</f>
        <v>PM 01-A - Porta lisa com batente de madeira (pinus tratado autoclavado) L=124,5cm H=240cm e painel fixo de madeira L=20cm H=240cm.</v>
      </c>
      <c r="C49" s="246" t="str">
        <f>VLOOKUP(A49,INSUMOS!B:E,4,0)</f>
        <v>un</v>
      </c>
      <c r="D49" s="428">
        <f>(4255/(0.74*2.56))*(1.245*2.4)</f>
        <v>6711.328125</v>
      </c>
      <c r="E49" s="428">
        <f t="shared" si="4"/>
        <v>6697.9054687500002</v>
      </c>
      <c r="F49" s="428">
        <v>1121.58</v>
      </c>
      <c r="G49" s="428">
        <f t="shared" si="6"/>
        <v>1119.3368399999999</v>
      </c>
      <c r="H49" s="428">
        <v>4290.8100000000004</v>
      </c>
      <c r="I49" s="428">
        <f t="shared" si="9"/>
        <v>4282.2283800000005</v>
      </c>
      <c r="J49" s="247">
        <f>MEDIAN(I49,G49,E49)</f>
        <v>4282.2283800000005</v>
      </c>
    </row>
    <row r="50" spans="1:10" ht="45" x14ac:dyDescent="0.25">
      <c r="A50" s="244" t="s">
        <v>4991</v>
      </c>
      <c r="B50" s="245" t="str">
        <f>VLOOKUP(A50,INSUMOS!B:D,3,0)</f>
        <v>PM 01-B - Porta lisa com batente de madeira (pinus tratado autoclavado) L=124,5cm H=240cm e painel fixo de madeira L=20cm H=240cm.</v>
      </c>
      <c r="C50" s="246" t="str">
        <f>VLOOKUP(A50,INSUMOS!B:E,4,0)</f>
        <v>un</v>
      </c>
      <c r="D50" s="428">
        <f>(4255/(0.74*2.56))*(1.245*2.4)</f>
        <v>6711.328125</v>
      </c>
      <c r="E50" s="428">
        <f t="shared" si="4"/>
        <v>6697.9054687500002</v>
      </c>
      <c r="F50" s="428">
        <v>1121.58</v>
      </c>
      <c r="G50" s="428">
        <f t="shared" si="6"/>
        <v>1119.3368399999999</v>
      </c>
      <c r="H50" s="428">
        <v>4290.8100000000004</v>
      </c>
      <c r="I50" s="428">
        <f t="shared" si="9"/>
        <v>4282.2283800000005</v>
      </c>
      <c r="J50" s="247">
        <f t="shared" si="8"/>
        <v>4282.2283800000005</v>
      </c>
    </row>
    <row r="51" spans="1:10" ht="45" x14ac:dyDescent="0.25">
      <c r="A51" s="244" t="s">
        <v>4992</v>
      </c>
      <c r="B51" s="245" t="str">
        <f>VLOOKUP(A51,INSUMOS!B:D,3,0)</f>
        <v>PM 02 - Porta lisa com batente de madeira (pinus tratado autoclavado) L=124,5cm H=240cm e painel fixo de madeira L=20cm H=240cm.</v>
      </c>
      <c r="C51" s="246" t="str">
        <f>VLOOKUP(A51,INSUMOS!B:E,4,0)</f>
        <v>un</v>
      </c>
      <c r="D51" s="428">
        <f>(4255/(0.74*2.56))*(1.445*2.4)</f>
        <v>7789.453125</v>
      </c>
      <c r="E51" s="428">
        <f t="shared" si="4"/>
        <v>7773.8742187500002</v>
      </c>
      <c r="F51" s="428">
        <v>1121.58</v>
      </c>
      <c r="G51" s="428">
        <f t="shared" si="6"/>
        <v>1119.3368399999999</v>
      </c>
      <c r="H51" s="428">
        <v>2860.54</v>
      </c>
      <c r="I51" s="428">
        <f t="shared" si="9"/>
        <v>2854.8189200000002</v>
      </c>
      <c r="J51" s="247">
        <f t="shared" si="8"/>
        <v>2854.8189200000002</v>
      </c>
    </row>
    <row r="52" spans="1:10" ht="30" x14ac:dyDescent="0.25">
      <c r="A52" s="244" t="s">
        <v>4993</v>
      </c>
      <c r="B52" s="245" t="str">
        <f>VLOOKUP(A52,INSUMOS!B:D,3,0)</f>
        <v>PM 02-B - Porta veneziana com batente de madeira  (pinus tratado autoclavado) L=73cm H=210 + 32cm de bandeira</v>
      </c>
      <c r="C52" s="246" t="str">
        <f>VLOOKUP(A52,INSUMOS!B:E,4,0)</f>
        <v>un</v>
      </c>
      <c r="D52" s="428">
        <f>(4255/(0.74*2.56))*(0.93*2.4)</f>
        <v>5013.2812500000009</v>
      </c>
      <c r="E52" s="428">
        <f t="shared" si="4"/>
        <v>5003.2546875000007</v>
      </c>
      <c r="F52" s="428">
        <f>(1121.85/(1.445*2.4))*(1*2.1)</f>
        <v>679.32093425605535</v>
      </c>
      <c r="G52" s="428">
        <f t="shared" si="6"/>
        <v>677.96229238754324</v>
      </c>
      <c r="H52" s="428">
        <v>2860.54</v>
      </c>
      <c r="I52" s="428">
        <f t="shared" si="9"/>
        <v>2854.8189200000002</v>
      </c>
      <c r="J52" s="247">
        <f t="shared" ref="J52:J53" si="12">MEDIAN(I52,G52,E52)</f>
        <v>2854.8189200000002</v>
      </c>
    </row>
    <row r="53" spans="1:10" ht="45" x14ac:dyDescent="0.25">
      <c r="A53" s="244" t="s">
        <v>4994</v>
      </c>
      <c r="B53" s="245" t="str">
        <f>VLOOKUP(A53,INSUMOS!B:D,3,0)</f>
        <v>PM 03 - Porta lisa com batente de madeira (pinus tratado autoclavado) L=124,5cm H=240cm e painel fixo de madeira L=20cm H=240cm.</v>
      </c>
      <c r="C53" s="246" t="str">
        <f>VLOOKUP(A53,INSUMOS!B:E,4,0)</f>
        <v>un</v>
      </c>
      <c r="D53" s="428">
        <f>(4255/(0.74*2.56))*(1.445*2.4)</f>
        <v>7789.453125</v>
      </c>
      <c r="E53" s="428">
        <f t="shared" si="4"/>
        <v>7773.8742187500002</v>
      </c>
      <c r="F53" s="428">
        <f>(1121.85/(1.445*2.4))*(1.445*2.4)</f>
        <v>1121.8499999999999</v>
      </c>
      <c r="G53" s="428">
        <f t="shared" si="6"/>
        <v>1119.6062999999999</v>
      </c>
      <c r="H53" s="428">
        <v>2860.54</v>
      </c>
      <c r="I53" s="428">
        <f t="shared" si="9"/>
        <v>2854.8189200000002</v>
      </c>
      <c r="J53" s="247">
        <f t="shared" si="12"/>
        <v>2854.8189200000002</v>
      </c>
    </row>
    <row r="54" spans="1:10" ht="45" x14ac:dyDescent="0.25">
      <c r="A54" s="244" t="s">
        <v>4995</v>
      </c>
      <c r="B54" s="245" t="str">
        <f>VLOOKUP(A54,INSUMOS!B:D,3,0)</f>
        <v>PM 04 - Porta lisa com batente de madeira (pinus tratado autoclavado) L=124,5cm H=240cm e painel fixo de madeira L=20cm H=240cm.</v>
      </c>
      <c r="C54" s="246" t="str">
        <f>VLOOKUP(A54,INSUMOS!B:E,4,0)</f>
        <v>un</v>
      </c>
      <c r="D54" s="428">
        <f t="shared" ref="D54:D55" si="13">(4255/(0.74*2.56))*(1.445*2.4)</f>
        <v>7789.453125</v>
      </c>
      <c r="E54" s="428">
        <f t="shared" si="4"/>
        <v>7773.8742187500002</v>
      </c>
      <c r="F54" s="428">
        <f t="shared" ref="F54:F55" si="14">(1121.85/(1.445*2.4))*(1.445*2.4)</f>
        <v>1121.8499999999999</v>
      </c>
      <c r="G54" s="428">
        <f t="shared" si="6"/>
        <v>1119.6062999999999</v>
      </c>
      <c r="H54" s="428">
        <v>3416.76</v>
      </c>
      <c r="I54" s="428">
        <f t="shared" si="9"/>
        <v>3409.9264800000001</v>
      </c>
      <c r="J54" s="247">
        <f t="shared" si="8"/>
        <v>3409.9264800000001</v>
      </c>
    </row>
    <row r="55" spans="1:10" ht="45" x14ac:dyDescent="0.25">
      <c r="A55" s="244" t="s">
        <v>4996</v>
      </c>
      <c r="B55" s="245" t="str">
        <f>VLOOKUP(A55,INSUMOS!B:D,3,0)</f>
        <v>PM 05 - Porta lisa com batente de madeira (pinus tratado autoclavado) L=124,5cm H=240cm e painel fixo de madeira L=20cm H=240cm.</v>
      </c>
      <c r="C55" s="246" t="str">
        <f>VLOOKUP(A55,INSUMOS!B:E,4,0)</f>
        <v>un</v>
      </c>
      <c r="D55" s="428">
        <f t="shared" si="13"/>
        <v>7789.453125</v>
      </c>
      <c r="E55" s="428">
        <f t="shared" si="4"/>
        <v>7773.8742187500002</v>
      </c>
      <c r="F55" s="428">
        <f t="shared" si="14"/>
        <v>1121.8499999999999</v>
      </c>
      <c r="G55" s="428">
        <f t="shared" si="6"/>
        <v>1119.6062999999999</v>
      </c>
      <c r="H55" s="428">
        <v>2383.7800000000002</v>
      </c>
      <c r="I55" s="428">
        <f t="shared" si="9"/>
        <v>2379.01244</v>
      </c>
      <c r="J55" s="247">
        <f t="shared" ref="J55" si="15">MEDIAN(I55,G55,E55)</f>
        <v>2379.01244</v>
      </c>
    </row>
    <row r="56" spans="1:10" x14ac:dyDescent="0.25">
      <c r="A56" s="316"/>
      <c r="B56" s="317"/>
      <c r="C56" s="317"/>
      <c r="D56" s="317"/>
      <c r="E56" s="317"/>
      <c r="F56" s="317"/>
      <c r="G56" s="317"/>
      <c r="H56" s="317"/>
      <c r="I56" s="317"/>
      <c r="J56" s="318"/>
    </row>
    <row r="57" spans="1:10" x14ac:dyDescent="0.25">
      <c r="A57" s="553" t="s">
        <v>4719</v>
      </c>
      <c r="B57" s="553" t="s">
        <v>12</v>
      </c>
      <c r="C57" s="554" t="s">
        <v>4720</v>
      </c>
      <c r="D57" s="557" t="s">
        <v>4721</v>
      </c>
      <c r="E57" s="557"/>
      <c r="F57" s="557" t="s">
        <v>4722</v>
      </c>
      <c r="G57" s="557"/>
      <c r="H57" s="557" t="s">
        <v>4723</v>
      </c>
      <c r="I57" s="557"/>
      <c r="J57" s="558" t="s">
        <v>4724</v>
      </c>
    </row>
    <row r="58" spans="1:10" ht="115.5" customHeight="1" x14ac:dyDescent="0.25">
      <c r="A58" s="553"/>
      <c r="B58" s="553"/>
      <c r="C58" s="555"/>
      <c r="D58" s="551" t="s">
        <v>5384</v>
      </c>
      <c r="E58" s="552"/>
      <c r="F58" s="551" t="s">
        <v>5526</v>
      </c>
      <c r="G58" s="552"/>
      <c r="H58" s="551" t="s">
        <v>5528</v>
      </c>
      <c r="I58" s="552"/>
      <c r="J58" s="558"/>
    </row>
    <row r="59" spans="1:10" x14ac:dyDescent="0.25">
      <c r="A59" s="553"/>
      <c r="B59" s="553"/>
      <c r="C59" s="555"/>
      <c r="D59" s="240" t="s">
        <v>4725</v>
      </c>
      <c r="E59" s="240" t="s">
        <v>4726</v>
      </c>
      <c r="F59" s="240" t="s">
        <v>4725</v>
      </c>
      <c r="G59" s="240" t="s">
        <v>4726</v>
      </c>
      <c r="H59" s="240" t="s">
        <v>4725</v>
      </c>
      <c r="I59" s="240" t="s">
        <v>4726</v>
      </c>
      <c r="J59" s="558"/>
    </row>
    <row r="60" spans="1:10" x14ac:dyDescent="0.25">
      <c r="A60" s="553"/>
      <c r="B60" s="553"/>
      <c r="C60" s="555"/>
      <c r="D60" s="241">
        <v>42522</v>
      </c>
      <c r="E60" s="241">
        <v>42309</v>
      </c>
      <c r="F60" s="241">
        <v>42522</v>
      </c>
      <c r="G60" s="241">
        <v>42309</v>
      </c>
      <c r="H60" s="241">
        <v>42522</v>
      </c>
      <c r="I60" s="241">
        <v>42309</v>
      </c>
      <c r="J60" s="558"/>
    </row>
    <row r="61" spans="1:10" x14ac:dyDescent="0.25">
      <c r="A61" s="553"/>
      <c r="B61" s="553"/>
      <c r="C61" s="556"/>
      <c r="D61" s="242" t="s">
        <v>4727</v>
      </c>
      <c r="E61" s="243">
        <f>VLOOKUP(D60,ÍNDICES!A:G,7,0)</f>
        <v>0.998</v>
      </c>
      <c r="F61" s="242" t="s">
        <v>4727</v>
      </c>
      <c r="G61" s="243">
        <f>VLOOKUP(F60,ÍNDICES!A:G,7,0)</f>
        <v>0.998</v>
      </c>
      <c r="H61" s="242" t="s">
        <v>4727</v>
      </c>
      <c r="I61" s="243">
        <f>VLOOKUP(H60,ÍNDICES!A:G,7,0)</f>
        <v>0.998</v>
      </c>
      <c r="J61" s="558"/>
    </row>
    <row r="62" spans="1:10" ht="30" x14ac:dyDescent="0.25">
      <c r="A62" s="244" t="s">
        <v>4881</v>
      </c>
      <c r="B62" s="245" t="str">
        <f>VLOOKUP(A62,INSUMOS!B:D,3,0)</f>
        <v>Fornecimento e plantio de Hibiscus pernambucensis - Algodão da praia</v>
      </c>
      <c r="C62" s="246" t="str">
        <f>VLOOKUP(A62,INSUMOS!B:E,4,0)</f>
        <v>un</v>
      </c>
      <c r="D62" s="247">
        <v>100</v>
      </c>
      <c r="E62" s="247">
        <f>D62*$E$61</f>
        <v>99.8</v>
      </c>
      <c r="F62" s="428">
        <v>105</v>
      </c>
      <c r="G62" s="247">
        <f>F62*$G$61</f>
        <v>104.79</v>
      </c>
      <c r="H62" s="428">
        <v>105</v>
      </c>
      <c r="I62" s="247">
        <f>H62*$I$61</f>
        <v>104.79</v>
      </c>
      <c r="J62" s="247">
        <f t="shared" ref="J62:J87" si="16">MEDIAN(I62,G62,E62)</f>
        <v>104.79</v>
      </c>
    </row>
    <row r="63" spans="1:10" ht="30" x14ac:dyDescent="0.25">
      <c r="A63" s="244" t="s">
        <v>4943</v>
      </c>
      <c r="B63" s="245" t="str">
        <f>VLOOKUP(A63,INSUMOS!B:D,3,0)</f>
        <v>Fornecimento e plantio de Schinus terebinthifolius - Aroeira da praia</v>
      </c>
      <c r="C63" s="246" t="str">
        <f>VLOOKUP(A63,INSUMOS!B:E,4,0)</f>
        <v>un</v>
      </c>
      <c r="D63" s="247">
        <v>90</v>
      </c>
      <c r="E63" s="247">
        <f t="shared" ref="E63:E87" si="17">D63*$E$61</f>
        <v>89.82</v>
      </c>
      <c r="F63" s="428">
        <v>95</v>
      </c>
      <c r="G63" s="247">
        <f t="shared" ref="G63:G87" si="18">F63*$G$61</f>
        <v>94.81</v>
      </c>
      <c r="H63" s="428">
        <v>92</v>
      </c>
      <c r="I63" s="247">
        <f>H63*$I$61</f>
        <v>91.816000000000003</v>
      </c>
      <c r="J63" s="247">
        <f t="shared" si="16"/>
        <v>91.816000000000003</v>
      </c>
    </row>
    <row r="64" spans="1:10" x14ac:dyDescent="0.25">
      <c r="A64" s="244" t="s">
        <v>4944</v>
      </c>
      <c r="B64" s="245" t="str">
        <f>VLOOKUP(A64,INSUMOS!B:D,3,0)</f>
        <v>Fornecimento e plantio de Tabebuia cassinoides - Caixeta</v>
      </c>
      <c r="C64" s="246" t="str">
        <f>VLOOKUP(A64,INSUMOS!B:E,4,0)</f>
        <v>un</v>
      </c>
      <c r="D64" s="247">
        <v>140</v>
      </c>
      <c r="E64" s="247">
        <f t="shared" si="17"/>
        <v>139.72</v>
      </c>
      <c r="F64" s="428">
        <v>150</v>
      </c>
      <c r="G64" s="247">
        <f t="shared" si="18"/>
        <v>149.69999999999999</v>
      </c>
      <c r="H64" s="428">
        <v>143</v>
      </c>
      <c r="I64" s="247">
        <f t="shared" ref="I64:I87" si="19">H64*$I$61</f>
        <v>142.714</v>
      </c>
      <c r="J64" s="247">
        <f t="shared" si="16"/>
        <v>142.714</v>
      </c>
    </row>
    <row r="65" spans="1:10" x14ac:dyDescent="0.25">
      <c r="A65" s="244" t="s">
        <v>4945</v>
      </c>
      <c r="B65" s="245" t="str">
        <f>VLOOKUP(A65,INSUMOS!B:D,3,0)</f>
        <v>Fornecimento e plantio de Trichilia pallida - Baga de morcego</v>
      </c>
      <c r="C65" s="246" t="str">
        <f>VLOOKUP(A65,INSUMOS!B:E,4,0)</f>
        <v>un</v>
      </c>
      <c r="D65" s="247">
        <v>140</v>
      </c>
      <c r="E65" s="247">
        <f t="shared" si="17"/>
        <v>139.72</v>
      </c>
      <c r="F65" s="428">
        <v>150</v>
      </c>
      <c r="G65" s="247">
        <f t="shared" si="18"/>
        <v>149.69999999999999</v>
      </c>
      <c r="H65" s="428">
        <v>145</v>
      </c>
      <c r="I65" s="247">
        <f t="shared" si="19"/>
        <v>144.71</v>
      </c>
      <c r="J65" s="247">
        <f t="shared" si="16"/>
        <v>144.71</v>
      </c>
    </row>
    <row r="66" spans="1:10" x14ac:dyDescent="0.25">
      <c r="A66" s="244" t="s">
        <v>4946</v>
      </c>
      <c r="B66" s="245" t="str">
        <f>VLOOKUP(A66,INSUMOS!B:D,3,0)</f>
        <v>Fornecimento e plantio de Aechmea distichantha - Planta-vaso</v>
      </c>
      <c r="C66" s="246" t="str">
        <f>VLOOKUP(A66,INSUMOS!B:E,4,0)</f>
        <v>un</v>
      </c>
      <c r="D66" s="247">
        <v>80</v>
      </c>
      <c r="E66" s="247">
        <f t="shared" si="17"/>
        <v>79.84</v>
      </c>
      <c r="F66" s="428">
        <v>85</v>
      </c>
      <c r="G66" s="247">
        <f t="shared" si="18"/>
        <v>84.83</v>
      </c>
      <c r="H66" s="428">
        <v>82</v>
      </c>
      <c r="I66" s="247">
        <f t="shared" si="19"/>
        <v>81.835999999999999</v>
      </c>
      <c r="J66" s="247">
        <f t="shared" si="16"/>
        <v>81.835999999999999</v>
      </c>
    </row>
    <row r="67" spans="1:10" x14ac:dyDescent="0.25">
      <c r="A67" s="244" t="s">
        <v>4947</v>
      </c>
      <c r="B67" s="245" t="str">
        <f>VLOOKUP(A67,INSUMOS!B:D,3,0)</f>
        <v>Fornecimento e plantio de Aechmea gracilis - Bromélia</v>
      </c>
      <c r="C67" s="246" t="str">
        <f>VLOOKUP(A67,INSUMOS!B:E,4,0)</f>
        <v>un</v>
      </c>
      <c r="D67" s="247">
        <v>80</v>
      </c>
      <c r="E67" s="247">
        <f t="shared" si="17"/>
        <v>79.84</v>
      </c>
      <c r="F67" s="428">
        <v>82</v>
      </c>
      <c r="G67" s="247">
        <f t="shared" si="18"/>
        <v>81.835999999999999</v>
      </c>
      <c r="H67" s="428">
        <v>81</v>
      </c>
      <c r="I67" s="247">
        <f t="shared" si="19"/>
        <v>80.837999999999994</v>
      </c>
      <c r="J67" s="247">
        <f t="shared" si="16"/>
        <v>80.837999999999994</v>
      </c>
    </row>
    <row r="68" spans="1:10" x14ac:dyDescent="0.25">
      <c r="A68" s="244" t="s">
        <v>4948</v>
      </c>
      <c r="B68" s="245" t="str">
        <f>VLOOKUP(A68,INSUMOS!B:D,3,0)</f>
        <v>Fornecimento e plantio de Bromelia antiacantha - Caraguatá</v>
      </c>
      <c r="C68" s="246" t="str">
        <f>VLOOKUP(A68,INSUMOS!B:E,4,0)</f>
        <v>un</v>
      </c>
      <c r="D68" s="247">
        <v>80</v>
      </c>
      <c r="E68" s="247">
        <f t="shared" si="17"/>
        <v>79.84</v>
      </c>
      <c r="F68" s="428">
        <v>85</v>
      </c>
      <c r="G68" s="247">
        <f t="shared" si="18"/>
        <v>84.83</v>
      </c>
      <c r="H68" s="428">
        <v>83</v>
      </c>
      <c r="I68" s="247">
        <f t="shared" si="19"/>
        <v>82.834000000000003</v>
      </c>
      <c r="J68" s="247">
        <f t="shared" si="16"/>
        <v>82.834000000000003</v>
      </c>
    </row>
    <row r="69" spans="1:10" ht="30" x14ac:dyDescent="0.25">
      <c r="A69" s="244" t="s">
        <v>4949</v>
      </c>
      <c r="B69" s="245" t="str">
        <f>VLOOKUP(A69,INSUMOS!B:D,3,0)</f>
        <v>Fornecimento e plantio de Ctenanthe pilosa - Araruta/Maranta-dourada</v>
      </c>
      <c r="C69" s="246" t="str">
        <f>VLOOKUP(A69,INSUMOS!B:E,4,0)</f>
        <v>un</v>
      </c>
      <c r="D69" s="247">
        <v>20</v>
      </c>
      <c r="E69" s="247">
        <f t="shared" si="17"/>
        <v>19.96</v>
      </c>
      <c r="F69" s="428">
        <v>23</v>
      </c>
      <c r="G69" s="247">
        <f t="shared" si="18"/>
        <v>22.954000000000001</v>
      </c>
      <c r="H69" s="428">
        <v>21</v>
      </c>
      <c r="I69" s="247">
        <f t="shared" si="19"/>
        <v>20.957999999999998</v>
      </c>
      <c r="J69" s="247">
        <f t="shared" si="16"/>
        <v>20.957999999999998</v>
      </c>
    </row>
    <row r="70" spans="1:10" x14ac:dyDescent="0.25">
      <c r="A70" s="244" t="s">
        <v>4950</v>
      </c>
      <c r="B70" s="245" t="str">
        <f>VLOOKUP(A70,INSUMOS!B:D,3,0)</f>
        <v>Fornecimento e plantio de Scaevola plumieri - Mangue da praia</v>
      </c>
      <c r="C70" s="246" t="str">
        <f>VLOOKUP(A70,INSUMOS!B:E,4,0)</f>
        <v>un</v>
      </c>
      <c r="D70" s="247">
        <v>60</v>
      </c>
      <c r="E70" s="247">
        <f t="shared" si="17"/>
        <v>59.88</v>
      </c>
      <c r="F70" s="428">
        <v>63</v>
      </c>
      <c r="G70" s="247">
        <f t="shared" si="18"/>
        <v>62.874000000000002</v>
      </c>
      <c r="H70" s="428">
        <v>5</v>
      </c>
      <c r="I70" s="247">
        <f t="shared" si="19"/>
        <v>4.99</v>
      </c>
      <c r="J70" s="247">
        <f t="shared" si="16"/>
        <v>59.88</v>
      </c>
    </row>
    <row r="71" spans="1:10" x14ac:dyDescent="0.25">
      <c r="A71" s="244" t="s">
        <v>4951</v>
      </c>
      <c r="B71" s="245" t="str">
        <f>VLOOKUP(A71,INSUMOS!B:D,3,0)</f>
        <v>Fornecimento e plantio de Bactris setosa - Tucum</v>
      </c>
      <c r="C71" s="246" t="str">
        <f>VLOOKUP(A71,INSUMOS!B:E,4,0)</f>
        <v>un</v>
      </c>
      <c r="D71" s="247">
        <v>160</v>
      </c>
      <c r="E71" s="247">
        <f t="shared" si="17"/>
        <v>159.68</v>
      </c>
      <c r="F71" s="428">
        <v>165</v>
      </c>
      <c r="G71" s="247">
        <f t="shared" si="18"/>
        <v>164.67</v>
      </c>
      <c r="H71" s="428">
        <v>170</v>
      </c>
      <c r="I71" s="247">
        <f t="shared" si="19"/>
        <v>169.66</v>
      </c>
      <c r="J71" s="247">
        <f t="shared" si="16"/>
        <v>164.67</v>
      </c>
    </row>
    <row r="72" spans="1:10" x14ac:dyDescent="0.25">
      <c r="A72" s="244" t="s">
        <v>4952</v>
      </c>
      <c r="B72" s="245" t="str">
        <f>VLOOKUP(A72,INSUMOS!B:D,3,0)</f>
        <v>Fornecimento e plantio de Ocotea odorifera - Canela sassafrás</v>
      </c>
      <c r="C72" s="246" t="str">
        <f>VLOOKUP(A72,INSUMOS!B:E,4,0)</f>
        <v>un</v>
      </c>
      <c r="D72" s="247">
        <v>120</v>
      </c>
      <c r="E72" s="247">
        <f t="shared" si="17"/>
        <v>119.76</v>
      </c>
      <c r="F72" s="428">
        <v>124</v>
      </c>
      <c r="G72" s="247">
        <f t="shared" si="18"/>
        <v>123.752</v>
      </c>
      <c r="H72" s="428">
        <v>130</v>
      </c>
      <c r="I72" s="247">
        <f t="shared" si="19"/>
        <v>129.74</v>
      </c>
      <c r="J72" s="247">
        <f t="shared" si="16"/>
        <v>123.752</v>
      </c>
    </row>
    <row r="73" spans="1:10" x14ac:dyDescent="0.25">
      <c r="A73" s="244" t="s">
        <v>4953</v>
      </c>
      <c r="B73" s="245" t="str">
        <f>VLOOKUP(A73,INSUMOS!B:D,3,0)</f>
        <v>Fornecimento e plantio de Aechmea  tomentosa  - Bromélia</v>
      </c>
      <c r="C73" s="246" t="str">
        <f>VLOOKUP(A73,INSUMOS!B:E,4,0)</f>
        <v>un</v>
      </c>
      <c r="D73" s="247">
        <v>50</v>
      </c>
      <c r="E73" s="247">
        <f t="shared" si="17"/>
        <v>49.9</v>
      </c>
      <c r="F73" s="428">
        <v>60</v>
      </c>
      <c r="G73" s="247">
        <f t="shared" si="18"/>
        <v>59.88</v>
      </c>
      <c r="H73" s="428">
        <v>55</v>
      </c>
      <c r="I73" s="247">
        <f t="shared" si="19"/>
        <v>54.89</v>
      </c>
      <c r="J73" s="247">
        <f t="shared" si="16"/>
        <v>54.89</v>
      </c>
    </row>
    <row r="74" spans="1:10" x14ac:dyDescent="0.25">
      <c r="A74" s="244" t="s">
        <v>4954</v>
      </c>
      <c r="B74" s="245" t="str">
        <f>VLOOKUP(A74,INSUMOS!B:D,3,0)</f>
        <v>Fornecimento e plantio de Hydrocotyle bonariensis - Erva capitão</v>
      </c>
      <c r="C74" s="246" t="str">
        <f>VLOOKUP(A74,INSUMOS!B:E,4,0)</f>
        <v>m²</v>
      </c>
      <c r="D74" s="247">
        <v>20</v>
      </c>
      <c r="E74" s="247">
        <f t="shared" si="17"/>
        <v>19.96</v>
      </c>
      <c r="F74" s="428">
        <v>22</v>
      </c>
      <c r="G74" s="247">
        <f t="shared" si="18"/>
        <v>21.956</v>
      </c>
      <c r="H74" s="428">
        <v>21</v>
      </c>
      <c r="I74" s="247">
        <f t="shared" si="19"/>
        <v>20.957999999999998</v>
      </c>
      <c r="J74" s="247">
        <f t="shared" si="16"/>
        <v>20.957999999999998</v>
      </c>
    </row>
    <row r="75" spans="1:10" x14ac:dyDescent="0.25">
      <c r="A75" s="244" t="s">
        <v>4955</v>
      </c>
      <c r="B75" s="245" t="str">
        <f>VLOOKUP(A75,INSUMOS!B:D,3,0)</f>
        <v>Fornecimento e plantio de Ipomea imperati - Ipomeia branca</v>
      </c>
      <c r="C75" s="246" t="str">
        <f>VLOOKUP(A75,INSUMOS!B:E,4,0)</f>
        <v>m²</v>
      </c>
      <c r="D75" s="247">
        <v>40</v>
      </c>
      <c r="E75" s="247">
        <f t="shared" si="17"/>
        <v>39.92</v>
      </c>
      <c r="F75" s="428">
        <v>42</v>
      </c>
      <c r="G75" s="247">
        <f t="shared" si="18"/>
        <v>41.915999999999997</v>
      </c>
      <c r="H75" s="428">
        <v>42</v>
      </c>
      <c r="I75" s="247">
        <f t="shared" si="19"/>
        <v>41.915999999999997</v>
      </c>
      <c r="J75" s="247">
        <f t="shared" si="16"/>
        <v>41.915999999999997</v>
      </c>
    </row>
    <row r="76" spans="1:10" x14ac:dyDescent="0.25">
      <c r="A76" s="244" t="s">
        <v>4956</v>
      </c>
      <c r="B76" s="245" t="str">
        <f>VLOOKUP(A76,INSUMOS!B:D,3,0)</f>
        <v>Fornecimento e plantio de Ipomea pes-caprae - Jundu</v>
      </c>
      <c r="C76" s="246" t="str">
        <f>VLOOKUP(A76,INSUMOS!B:E,4,0)</f>
        <v>m²</v>
      </c>
      <c r="D76" s="247">
        <v>40</v>
      </c>
      <c r="E76" s="247">
        <f t="shared" si="17"/>
        <v>39.92</v>
      </c>
      <c r="F76" s="428">
        <v>42</v>
      </c>
      <c r="G76" s="247">
        <f t="shared" si="18"/>
        <v>41.915999999999997</v>
      </c>
      <c r="H76" s="428">
        <v>42</v>
      </c>
      <c r="I76" s="247">
        <f t="shared" si="19"/>
        <v>41.915999999999997</v>
      </c>
      <c r="J76" s="247">
        <f t="shared" si="16"/>
        <v>41.915999999999997</v>
      </c>
    </row>
    <row r="77" spans="1:10" ht="30" x14ac:dyDescent="0.25">
      <c r="A77" s="244" t="s">
        <v>4957</v>
      </c>
      <c r="B77" s="245" t="str">
        <f>VLOOKUP(A77,INSUMOS!B:D,3,0)</f>
        <v>Fornecimento e plantio de Persea pyrifolia (Sin. Persea willdenovii) - Maçaranduba</v>
      </c>
      <c r="C77" s="246" t="str">
        <f>VLOOKUP(A77,INSUMOS!B:E,4,0)</f>
        <v>un</v>
      </c>
      <c r="D77" s="247">
        <v>180</v>
      </c>
      <c r="E77" s="247">
        <f t="shared" si="17"/>
        <v>179.64</v>
      </c>
      <c r="F77" s="428">
        <v>200</v>
      </c>
      <c r="G77" s="247">
        <f t="shared" si="18"/>
        <v>199.6</v>
      </c>
      <c r="H77" s="428">
        <v>185</v>
      </c>
      <c r="I77" s="247">
        <f t="shared" si="19"/>
        <v>184.63</v>
      </c>
      <c r="J77" s="247">
        <f t="shared" si="16"/>
        <v>184.63</v>
      </c>
    </row>
    <row r="78" spans="1:10" x14ac:dyDescent="0.25">
      <c r="A78" s="244" t="s">
        <v>4958</v>
      </c>
      <c r="B78" s="245" t="str">
        <f>VLOOKUP(A78,INSUMOS!B:D,3,0)</f>
        <v>Fornecimento e plantio de Aphelandra squarrosa - Afelandra</v>
      </c>
      <c r="C78" s="246" t="str">
        <f>VLOOKUP(A78,INSUMOS!B:E,4,0)</f>
        <v>un</v>
      </c>
      <c r="D78" s="247">
        <v>15</v>
      </c>
      <c r="E78" s="247">
        <f t="shared" si="17"/>
        <v>14.97</v>
      </c>
      <c r="F78" s="428">
        <v>18</v>
      </c>
      <c r="G78" s="247">
        <f t="shared" si="18"/>
        <v>17.963999999999999</v>
      </c>
      <c r="H78" s="428">
        <v>16</v>
      </c>
      <c r="I78" s="247">
        <f t="shared" si="19"/>
        <v>15.968</v>
      </c>
      <c r="J78" s="247">
        <f t="shared" si="16"/>
        <v>15.968</v>
      </c>
    </row>
    <row r="79" spans="1:10" ht="30" x14ac:dyDescent="0.25">
      <c r="A79" s="244" t="s">
        <v>4959</v>
      </c>
      <c r="B79" s="245" t="str">
        <f>VLOOKUP(A79,INSUMOS!B:D,3,0)</f>
        <v>Fornecimento e plantio de Blechnum brasiliense - Samambaiaçu do brejo</v>
      </c>
      <c r="C79" s="246" t="str">
        <f>VLOOKUP(A79,INSUMOS!B:E,4,0)</f>
        <v>un</v>
      </c>
      <c r="D79" s="247">
        <v>30</v>
      </c>
      <c r="E79" s="247">
        <f t="shared" si="17"/>
        <v>29.94</v>
      </c>
      <c r="F79" s="428">
        <v>33</v>
      </c>
      <c r="G79" s="247">
        <f t="shared" si="18"/>
        <v>32.933999999999997</v>
      </c>
      <c r="H79" s="428">
        <v>33</v>
      </c>
      <c r="I79" s="247">
        <f t="shared" si="19"/>
        <v>32.933999999999997</v>
      </c>
      <c r="J79" s="247">
        <f t="shared" si="16"/>
        <v>32.933999999999997</v>
      </c>
    </row>
    <row r="80" spans="1:10" ht="30" x14ac:dyDescent="0.25">
      <c r="A80" s="244" t="s">
        <v>4960</v>
      </c>
      <c r="B80" s="245" t="str">
        <f>VLOOKUP(A80,INSUMOS!B:D,3,0)</f>
        <v>Fornecimento e plantio de Costus spiralis - Caatinga/Cana de macaco</v>
      </c>
      <c r="C80" s="246" t="str">
        <f>VLOOKUP(A80,INSUMOS!B:E,4,0)</f>
        <v>un</v>
      </c>
      <c r="D80" s="247">
        <v>30</v>
      </c>
      <c r="E80" s="247">
        <f t="shared" si="17"/>
        <v>29.94</v>
      </c>
      <c r="F80" s="428">
        <v>33</v>
      </c>
      <c r="G80" s="247">
        <f t="shared" si="18"/>
        <v>32.933999999999997</v>
      </c>
      <c r="H80" s="428">
        <v>32</v>
      </c>
      <c r="I80" s="247">
        <f t="shared" si="19"/>
        <v>31.936</v>
      </c>
      <c r="J80" s="247">
        <f t="shared" si="16"/>
        <v>31.936</v>
      </c>
    </row>
    <row r="81" spans="1:10" x14ac:dyDescent="0.25">
      <c r="A81" s="244" t="s">
        <v>4961</v>
      </c>
      <c r="B81" s="245" t="str">
        <f>VLOOKUP(A81,INSUMOS!B:D,3,0)</f>
        <v>Fornecimento e plantio de Dicksonia sellowiana - Xaxim</v>
      </c>
      <c r="C81" s="246" t="str">
        <f>VLOOKUP(A81,INSUMOS!B:E,4,0)</f>
        <v>un</v>
      </c>
      <c r="D81" s="247">
        <v>120</v>
      </c>
      <c r="E81" s="247">
        <f t="shared" si="17"/>
        <v>119.76</v>
      </c>
      <c r="F81" s="428">
        <v>125</v>
      </c>
      <c r="G81" s="247">
        <f t="shared" si="18"/>
        <v>124.75</v>
      </c>
      <c r="H81" s="428">
        <v>124</v>
      </c>
      <c r="I81" s="247">
        <f t="shared" si="19"/>
        <v>123.752</v>
      </c>
      <c r="J81" s="247">
        <f t="shared" si="16"/>
        <v>123.752</v>
      </c>
    </row>
    <row r="82" spans="1:10" ht="30" x14ac:dyDescent="0.25">
      <c r="A82" s="244" t="s">
        <v>4962</v>
      </c>
      <c r="B82" s="245" t="str">
        <f>VLOOKUP(A82,INSUMOS!B:D,3,0)</f>
        <v>Fornecimento e plantio de Monstera adansonii - Monstera do amazonas</v>
      </c>
      <c r="C82" s="246" t="str">
        <f>VLOOKUP(A82,INSUMOS!B:E,4,0)</f>
        <v>un</v>
      </c>
      <c r="D82" s="247">
        <v>30</v>
      </c>
      <c r="E82" s="247">
        <f t="shared" si="17"/>
        <v>29.94</v>
      </c>
      <c r="F82" s="428">
        <v>35</v>
      </c>
      <c r="G82" s="247">
        <f t="shared" si="18"/>
        <v>34.93</v>
      </c>
      <c r="H82" s="428">
        <v>33</v>
      </c>
      <c r="I82" s="247">
        <f t="shared" si="19"/>
        <v>32.933999999999997</v>
      </c>
      <c r="J82" s="247">
        <f t="shared" si="16"/>
        <v>32.933999999999997</v>
      </c>
    </row>
    <row r="83" spans="1:10" ht="30" x14ac:dyDescent="0.25">
      <c r="A83" s="244" t="s">
        <v>4963</v>
      </c>
      <c r="B83" s="245" t="str">
        <f>VLOOKUP(A83,INSUMOS!B:D,3,0)</f>
        <v>Fornecimento e plantio de Philodendron bipinnatifidum - Guaimbê</v>
      </c>
      <c r="C83" s="246" t="str">
        <f>VLOOKUP(A83,INSUMOS!B:E,4,0)</f>
        <v>un</v>
      </c>
      <c r="D83" s="247">
        <v>40</v>
      </c>
      <c r="E83" s="247">
        <f t="shared" si="17"/>
        <v>39.92</v>
      </c>
      <c r="F83" s="428">
        <v>46</v>
      </c>
      <c r="G83" s="247">
        <f t="shared" si="18"/>
        <v>45.908000000000001</v>
      </c>
      <c r="H83" s="428">
        <v>45</v>
      </c>
      <c r="I83" s="247">
        <f t="shared" si="19"/>
        <v>44.91</v>
      </c>
      <c r="J83" s="247">
        <f t="shared" si="16"/>
        <v>44.91</v>
      </c>
    </row>
    <row r="84" spans="1:10" x14ac:dyDescent="0.25">
      <c r="A84" s="244" t="s">
        <v>4964</v>
      </c>
      <c r="B84" s="245" t="str">
        <f>VLOOKUP(A84,INSUMOS!B:D,3,0)</f>
        <v>Fornecimento e plantio de Quesnelia humilis  - Bromélia</v>
      </c>
      <c r="C84" s="246" t="str">
        <f>VLOOKUP(A84,INSUMOS!B:E,4,0)</f>
        <v>un</v>
      </c>
      <c r="D84" s="247">
        <v>40</v>
      </c>
      <c r="E84" s="247">
        <f t="shared" si="17"/>
        <v>39.92</v>
      </c>
      <c r="F84" s="428">
        <v>43</v>
      </c>
      <c r="G84" s="247">
        <f t="shared" si="18"/>
        <v>42.914000000000001</v>
      </c>
      <c r="H84" s="428">
        <v>41</v>
      </c>
      <c r="I84" s="247">
        <f t="shared" si="19"/>
        <v>40.917999999999999</v>
      </c>
      <c r="J84" s="247">
        <f t="shared" si="16"/>
        <v>40.917999999999999</v>
      </c>
    </row>
    <row r="85" spans="1:10" x14ac:dyDescent="0.25">
      <c r="A85" s="244" t="s">
        <v>4965</v>
      </c>
      <c r="B85" s="245" t="str">
        <f>VLOOKUP(A85,INSUMOS!B:D,3,0)</f>
        <v>Fornecimento e plantio de Anthurium jureianum - Antúrio</v>
      </c>
      <c r="C85" s="246" t="str">
        <f>VLOOKUP(A85,INSUMOS!B:E,4,0)</f>
        <v>un</v>
      </c>
      <c r="D85" s="247">
        <v>40</v>
      </c>
      <c r="E85" s="247">
        <f t="shared" si="17"/>
        <v>39.92</v>
      </c>
      <c r="F85" s="428">
        <v>42</v>
      </c>
      <c r="G85" s="247">
        <f t="shared" si="18"/>
        <v>41.915999999999997</v>
      </c>
      <c r="H85" s="428">
        <v>41</v>
      </c>
      <c r="I85" s="247">
        <f t="shared" si="19"/>
        <v>40.917999999999999</v>
      </c>
      <c r="J85" s="247">
        <f t="shared" si="16"/>
        <v>40.917999999999999</v>
      </c>
    </row>
    <row r="86" spans="1:10" x14ac:dyDescent="0.25">
      <c r="A86" s="244" t="s">
        <v>4966</v>
      </c>
      <c r="B86" s="245" t="str">
        <f>VLOOKUP(A86,INSUMOS!B:D,3,0)</f>
        <v xml:space="preserve">Fornecimento e plantio de Begonia jureiensis - Begônia </v>
      </c>
      <c r="C86" s="246" t="str">
        <f>VLOOKUP(A86,INSUMOS!B:E,4,0)</f>
        <v>un</v>
      </c>
      <c r="D86" s="247">
        <v>15</v>
      </c>
      <c r="E86" s="247">
        <f t="shared" si="17"/>
        <v>14.97</v>
      </c>
      <c r="F86" s="428">
        <v>18</v>
      </c>
      <c r="G86" s="247">
        <f t="shared" si="18"/>
        <v>17.963999999999999</v>
      </c>
      <c r="H86" s="428">
        <v>16</v>
      </c>
      <c r="I86" s="247">
        <f t="shared" si="19"/>
        <v>15.968</v>
      </c>
      <c r="J86" s="247">
        <f t="shared" si="16"/>
        <v>15.968</v>
      </c>
    </row>
    <row r="87" spans="1:10" x14ac:dyDescent="0.25">
      <c r="A87" s="244" t="s">
        <v>4967</v>
      </c>
      <c r="B87" s="245" t="str">
        <f>VLOOKUP(A87,INSUMOS!B:D,3,0)</f>
        <v>Fornecimento e plantio de Sinningia micans - Siníngia</v>
      </c>
      <c r="C87" s="246" t="str">
        <f>VLOOKUP(A87,INSUMOS!B:E,4,0)</f>
        <v>un</v>
      </c>
      <c r="D87" s="247">
        <v>20</v>
      </c>
      <c r="E87" s="247">
        <f t="shared" si="17"/>
        <v>19.96</v>
      </c>
      <c r="F87" s="428">
        <v>25</v>
      </c>
      <c r="G87" s="247">
        <f t="shared" si="18"/>
        <v>24.95</v>
      </c>
      <c r="H87" s="428">
        <v>23</v>
      </c>
      <c r="I87" s="247">
        <f t="shared" si="19"/>
        <v>22.954000000000001</v>
      </c>
      <c r="J87" s="247">
        <f t="shared" si="16"/>
        <v>22.954000000000001</v>
      </c>
    </row>
    <row r="88" spans="1:10" x14ac:dyDescent="0.25">
      <c r="A88" s="316"/>
      <c r="B88" s="317"/>
      <c r="C88" s="317"/>
      <c r="D88" s="317"/>
      <c r="E88" s="317"/>
      <c r="F88" s="317"/>
      <c r="G88" s="317"/>
      <c r="H88" s="317"/>
      <c r="I88" s="317"/>
      <c r="J88" s="318"/>
    </row>
    <row r="89" spans="1:10" x14ac:dyDescent="0.25">
      <c r="A89" s="553" t="s">
        <v>4719</v>
      </c>
      <c r="B89" s="553" t="s">
        <v>12</v>
      </c>
      <c r="C89" s="554" t="s">
        <v>4720</v>
      </c>
      <c r="D89" s="557" t="s">
        <v>4721</v>
      </c>
      <c r="E89" s="557"/>
      <c r="F89" s="557" t="s">
        <v>4722</v>
      </c>
      <c r="G89" s="557"/>
      <c r="H89" s="557" t="s">
        <v>4723</v>
      </c>
      <c r="I89" s="557"/>
      <c r="J89" s="558" t="s">
        <v>4724</v>
      </c>
    </row>
    <row r="90" spans="1:10" ht="115.5" customHeight="1" x14ac:dyDescent="0.25">
      <c r="A90" s="553"/>
      <c r="B90" s="553"/>
      <c r="C90" s="555"/>
      <c r="D90" s="551" t="s">
        <v>5385</v>
      </c>
      <c r="E90" s="552"/>
      <c r="F90" s="551" t="s">
        <v>5525</v>
      </c>
      <c r="G90" s="552"/>
      <c r="H90" s="551" t="s">
        <v>5386</v>
      </c>
      <c r="I90" s="552"/>
      <c r="J90" s="558"/>
    </row>
    <row r="91" spans="1:10" x14ac:dyDescent="0.25">
      <c r="A91" s="553"/>
      <c r="B91" s="553"/>
      <c r="C91" s="555"/>
      <c r="D91" s="240" t="s">
        <v>4725</v>
      </c>
      <c r="E91" s="240" t="s">
        <v>4726</v>
      </c>
      <c r="F91" s="240" t="s">
        <v>4725</v>
      </c>
      <c r="G91" s="240" t="s">
        <v>4726</v>
      </c>
      <c r="H91" s="240" t="s">
        <v>4725</v>
      </c>
      <c r="I91" s="240" t="s">
        <v>4726</v>
      </c>
      <c r="J91" s="558"/>
    </row>
    <row r="92" spans="1:10" x14ac:dyDescent="0.25">
      <c r="A92" s="553"/>
      <c r="B92" s="553"/>
      <c r="C92" s="555"/>
      <c r="D92" s="241">
        <v>42522</v>
      </c>
      <c r="E92" s="241">
        <v>42309</v>
      </c>
      <c r="F92" s="241">
        <v>42522</v>
      </c>
      <c r="G92" s="241">
        <v>42309</v>
      </c>
      <c r="H92" s="241">
        <v>42522</v>
      </c>
      <c r="I92" s="241">
        <v>42309</v>
      </c>
      <c r="J92" s="558"/>
    </row>
    <row r="93" spans="1:10" x14ac:dyDescent="0.25">
      <c r="A93" s="553"/>
      <c r="B93" s="553"/>
      <c r="C93" s="556"/>
      <c r="D93" s="242" t="s">
        <v>4727</v>
      </c>
      <c r="E93" s="243">
        <f>VLOOKUP(D92,ÍNDICES!A:G,7,0)</f>
        <v>0.998</v>
      </c>
      <c r="F93" s="242" t="s">
        <v>4727</v>
      </c>
      <c r="G93" s="243">
        <f>VLOOKUP(F92,ÍNDICES!A:G,7,0)</f>
        <v>0.998</v>
      </c>
      <c r="H93" s="242" t="s">
        <v>4727</v>
      </c>
      <c r="I93" s="243">
        <f>VLOOKUP(H92,ÍNDICES!A:G,7,0)</f>
        <v>0.998</v>
      </c>
      <c r="J93" s="558"/>
    </row>
    <row r="94" spans="1:10" ht="30" x14ac:dyDescent="0.25">
      <c r="A94" s="244" t="s">
        <v>4859</v>
      </c>
      <c r="B94" s="245" t="str">
        <f>VLOOKUP(A94,INSUMOS!B:D,3,0)</f>
        <v>Policarbonato 40mm - Fechamento de Caixilhos, sistema Arkowall ou equivalente técnico</v>
      </c>
      <c r="C94" s="246" t="str">
        <f>VLOOKUP(A94,INSUMOS!B:E,4,0)</f>
        <v>m²</v>
      </c>
      <c r="D94" s="247">
        <v>238.97</v>
      </c>
      <c r="E94" s="247">
        <f>D94*$E$93</f>
        <v>238.49206000000001</v>
      </c>
      <c r="F94" s="428">
        <v>265.5</v>
      </c>
      <c r="G94" s="247">
        <f>F94*$G$93</f>
        <v>264.96899999999999</v>
      </c>
      <c r="H94" s="428"/>
      <c r="I94" s="247"/>
      <c r="J94" s="247">
        <f t="shared" ref="J94" si="20">MEDIAN(I94,G94,E94)</f>
        <v>251.73052999999999</v>
      </c>
    </row>
    <row r="95" spans="1:10" ht="30" x14ac:dyDescent="0.25">
      <c r="A95" s="244" t="s">
        <v>4873</v>
      </c>
      <c r="B95" s="245" t="str">
        <f>VLOOKUP(A95,INSUMOS!B:D,3,0)</f>
        <v>Policarbonato 10mm, sistema TOPGAL da Arkos ou equivalente técnico</v>
      </c>
      <c r="C95" s="246" t="str">
        <f>VLOOKUP(A95,INSUMOS!B:E,4,0)</f>
        <v>m²</v>
      </c>
      <c r="D95" s="247">
        <v>126</v>
      </c>
      <c r="E95" s="247">
        <f>D95*$E$93</f>
        <v>125.748</v>
      </c>
      <c r="F95" s="428">
        <v>210.1</v>
      </c>
      <c r="G95" s="247">
        <f>F95*$G$93</f>
        <v>209.6798</v>
      </c>
      <c r="H95" s="428"/>
      <c r="I95" s="247"/>
      <c r="J95" s="247">
        <f t="shared" ref="J95" si="21">MEDIAN(I95,G95,E95)</f>
        <v>167.7139</v>
      </c>
    </row>
    <row r="96" spans="1:10" ht="30" x14ac:dyDescent="0.25">
      <c r="A96" s="244" t="s">
        <v>4874</v>
      </c>
      <c r="B96" s="245" t="str">
        <f>VLOOKUP(A96,INSUMOS!B:D,3,0)</f>
        <v>Policarbonato 10mm, Sistema PCA da Arkos, ou equivalente técnico</v>
      </c>
      <c r="C96" s="246" t="str">
        <f>VLOOKUP(A96,INSUMOS!B:E,4,0)</f>
        <v>m²</v>
      </c>
      <c r="D96" s="247">
        <v>190.5</v>
      </c>
      <c r="E96" s="247">
        <f>D96*$E$93</f>
        <v>190.119</v>
      </c>
      <c r="F96" s="428">
        <v>210.1</v>
      </c>
      <c r="G96" s="247">
        <f>F96*$G$93</f>
        <v>209.6798</v>
      </c>
      <c r="H96" s="428"/>
      <c r="I96" s="247"/>
      <c r="J96" s="247">
        <f t="shared" ref="J96" si="22">MEDIAN(I96,G96,E96)</f>
        <v>199.89940000000001</v>
      </c>
    </row>
    <row r="97" spans="1:10" x14ac:dyDescent="0.25">
      <c r="A97" s="244" t="s">
        <v>4979</v>
      </c>
      <c r="B97" s="245" t="str">
        <f>VLOOKUP(A97,INSUMOS!B:D,3,0)</f>
        <v>Acessórios e instalações do sistema de policarbonato</v>
      </c>
      <c r="C97" s="246" t="str">
        <f>VLOOKUP(A97,INSUMOS!B:E,4,0)</f>
        <v>m²</v>
      </c>
      <c r="D97" s="247">
        <v>314.38</v>
      </c>
      <c r="E97" s="247">
        <f>D97*$E$93</f>
        <v>313.75124</v>
      </c>
      <c r="F97" s="428"/>
      <c r="G97" s="428"/>
      <c r="H97" s="428"/>
      <c r="I97" s="247"/>
      <c r="J97" s="247">
        <f t="shared" ref="J97" si="23">MEDIAN(I97,G97,E97)</f>
        <v>313.75124</v>
      </c>
    </row>
    <row r="98" spans="1:10" ht="30" x14ac:dyDescent="0.25">
      <c r="A98" s="244" t="s">
        <v>4980</v>
      </c>
      <c r="B98" s="245" t="str">
        <f>VLOOKUP(A98,INSUMOS!B:D,3,0)</f>
        <v xml:space="preserve">Cobertura em policarbonato 20mm, sistema TOPGAL da Arkos, ou equivalente técnico. </v>
      </c>
      <c r="C98" s="246" t="str">
        <f>VLOOKUP(A98,INSUMOS!B:E,4,0)</f>
        <v>m²</v>
      </c>
      <c r="D98" s="247">
        <v>183</v>
      </c>
      <c r="E98" s="247">
        <f>D98*$E$93</f>
        <v>182.63399999999999</v>
      </c>
      <c r="F98" s="428">
        <v>210.1</v>
      </c>
      <c r="G98" s="247">
        <f>F98*$G$93</f>
        <v>209.6798</v>
      </c>
      <c r="H98" s="428"/>
      <c r="I98" s="247"/>
      <c r="J98" s="247">
        <f t="shared" ref="J98" si="24">MEDIAN(I98,G98,E98)</f>
        <v>196.15690000000001</v>
      </c>
    </row>
    <row r="99" spans="1:10" ht="29.25" customHeight="1" x14ac:dyDescent="0.25">
      <c r="A99" s="335" t="s">
        <v>5383</v>
      </c>
      <c r="B99" s="566" t="s">
        <v>5530</v>
      </c>
      <c r="C99" s="566"/>
      <c r="D99" s="566"/>
      <c r="E99" s="566"/>
      <c r="F99" s="566"/>
      <c r="G99" s="566"/>
      <c r="H99" s="566"/>
      <c r="I99" s="566"/>
      <c r="J99" s="567"/>
    </row>
    <row r="100" spans="1:10" x14ac:dyDescent="0.25">
      <c r="A100" s="316"/>
      <c r="B100" s="317"/>
      <c r="C100" s="317"/>
      <c r="D100" s="317"/>
      <c r="E100" s="317"/>
      <c r="F100" s="317"/>
      <c r="G100" s="317"/>
      <c r="H100" s="317"/>
      <c r="I100" s="317"/>
      <c r="J100" s="318"/>
    </row>
    <row r="101" spans="1:10" x14ac:dyDescent="0.25">
      <c r="A101" s="553" t="s">
        <v>4719</v>
      </c>
      <c r="B101" s="553" t="s">
        <v>12</v>
      </c>
      <c r="C101" s="554" t="s">
        <v>4720</v>
      </c>
      <c r="D101" s="557" t="s">
        <v>4721</v>
      </c>
      <c r="E101" s="557"/>
      <c r="F101" s="557" t="s">
        <v>4722</v>
      </c>
      <c r="G101" s="557"/>
      <c r="H101" s="557" t="s">
        <v>4723</v>
      </c>
      <c r="I101" s="557"/>
      <c r="J101" s="558" t="s">
        <v>4724</v>
      </c>
    </row>
    <row r="102" spans="1:10" ht="115.5" customHeight="1" x14ac:dyDescent="0.25">
      <c r="A102" s="553"/>
      <c r="B102" s="553"/>
      <c r="C102" s="555"/>
      <c r="D102" s="551" t="s">
        <v>5374</v>
      </c>
      <c r="E102" s="552"/>
      <c r="F102" s="551" t="s">
        <v>5375</v>
      </c>
      <c r="G102" s="552"/>
      <c r="H102" s="561" t="s">
        <v>5517</v>
      </c>
      <c r="I102" s="552"/>
      <c r="J102" s="558"/>
    </row>
    <row r="103" spans="1:10" x14ac:dyDescent="0.25">
      <c r="A103" s="553"/>
      <c r="B103" s="553"/>
      <c r="C103" s="555"/>
      <c r="D103" s="240" t="s">
        <v>4725</v>
      </c>
      <c r="E103" s="240" t="s">
        <v>4726</v>
      </c>
      <c r="F103" s="240" t="s">
        <v>4725</v>
      </c>
      <c r="G103" s="240" t="s">
        <v>4726</v>
      </c>
      <c r="H103" s="240" t="s">
        <v>4725</v>
      </c>
      <c r="I103" s="240" t="s">
        <v>4726</v>
      </c>
      <c r="J103" s="558"/>
    </row>
    <row r="104" spans="1:10" x14ac:dyDescent="0.25">
      <c r="A104" s="553"/>
      <c r="B104" s="553"/>
      <c r="C104" s="555"/>
      <c r="D104" s="241">
        <v>42522</v>
      </c>
      <c r="E104" s="241">
        <v>42309</v>
      </c>
      <c r="F104" s="241">
        <v>42522</v>
      </c>
      <c r="G104" s="241">
        <v>42309</v>
      </c>
      <c r="H104" s="241">
        <v>42522</v>
      </c>
      <c r="I104" s="241">
        <v>42309</v>
      </c>
      <c r="J104" s="558"/>
    </row>
    <row r="105" spans="1:10" x14ac:dyDescent="0.25">
      <c r="A105" s="553"/>
      <c r="B105" s="553"/>
      <c r="C105" s="556"/>
      <c r="D105" s="242" t="s">
        <v>4727</v>
      </c>
      <c r="E105" s="243">
        <f>VLOOKUP(D104,ÍNDICES!A:G,7,0)</f>
        <v>0.998</v>
      </c>
      <c r="F105" s="242" t="s">
        <v>4727</v>
      </c>
      <c r="G105" s="243">
        <f>VLOOKUP(F104,ÍNDICES!A:G,7,0)</f>
        <v>0.998</v>
      </c>
      <c r="H105" s="242" t="s">
        <v>4727</v>
      </c>
      <c r="I105" s="243">
        <f>VLOOKUP(H104,ÍNDICES!A:G,7,0)</f>
        <v>0.998</v>
      </c>
      <c r="J105" s="558"/>
    </row>
    <row r="106" spans="1:10" ht="83.25" customHeight="1" x14ac:dyDescent="0.25">
      <c r="A106" s="244" t="s">
        <v>4968</v>
      </c>
      <c r="B106" s="245" t="str">
        <f>VLOOKUP(A106,INSUMOS!B:D,3,0)</f>
        <v>Fornecimento e instalação de Plataforma Elevatória (elevador acessível) de 2 paradas, desnível de 2,80m entre pisos, com cabine dim. 0,90X1,40m com portas de acesso do mesmo lado e última altura menor que 2,60m, ref. PL 240 da MONTELE ou equivalente técnico.</v>
      </c>
      <c r="C106" s="246" t="str">
        <f>VLOOKUP(A106,INSUMOS!B:E,4,0)</f>
        <v>un</v>
      </c>
      <c r="D106" s="247">
        <f>18474+1000</f>
        <v>19474</v>
      </c>
      <c r="E106" s="247">
        <f>D106*$E$105</f>
        <v>19435.052</v>
      </c>
      <c r="F106" s="247">
        <v>33860</v>
      </c>
      <c r="G106" s="247">
        <f>F106*$G$105</f>
        <v>33792.28</v>
      </c>
      <c r="H106" s="247">
        <f>16850+1700</f>
        <v>18550</v>
      </c>
      <c r="I106" s="247">
        <f>H106*$I$105</f>
        <v>18512.900000000001</v>
      </c>
      <c r="J106" s="247">
        <f>MEDIAN(I106,G106,E106)</f>
        <v>19435.052</v>
      </c>
    </row>
    <row r="107" spans="1:10" x14ac:dyDescent="0.25">
      <c r="A107" s="316"/>
      <c r="B107" s="317"/>
      <c r="C107" s="317"/>
      <c r="D107" s="317"/>
      <c r="E107" s="317"/>
      <c r="F107" s="317"/>
      <c r="G107" s="317"/>
      <c r="H107" s="317"/>
      <c r="I107" s="317"/>
      <c r="J107" s="318"/>
    </row>
    <row r="108" spans="1:10" x14ac:dyDescent="0.25">
      <c r="A108" s="553" t="s">
        <v>4719</v>
      </c>
      <c r="B108" s="553" t="s">
        <v>12</v>
      </c>
      <c r="C108" s="554" t="s">
        <v>4720</v>
      </c>
      <c r="D108" s="557" t="s">
        <v>4721</v>
      </c>
      <c r="E108" s="557"/>
      <c r="F108" s="557" t="s">
        <v>4722</v>
      </c>
      <c r="G108" s="557"/>
      <c r="H108" s="557" t="s">
        <v>4723</v>
      </c>
      <c r="I108" s="557"/>
      <c r="J108" s="558" t="s">
        <v>4724</v>
      </c>
    </row>
    <row r="109" spans="1:10" ht="115.5" customHeight="1" x14ac:dyDescent="0.25">
      <c r="A109" s="553"/>
      <c r="B109" s="553"/>
      <c r="C109" s="555"/>
      <c r="D109" s="551" t="s">
        <v>5470</v>
      </c>
      <c r="E109" s="552"/>
      <c r="F109" s="551" t="s">
        <v>5531</v>
      </c>
      <c r="G109" s="552"/>
      <c r="H109" s="551" t="s">
        <v>5532</v>
      </c>
      <c r="I109" s="552"/>
      <c r="J109" s="558"/>
    </row>
    <row r="110" spans="1:10" x14ac:dyDescent="0.25">
      <c r="A110" s="553"/>
      <c r="B110" s="553"/>
      <c r="C110" s="555"/>
      <c r="D110" s="240" t="s">
        <v>4725</v>
      </c>
      <c r="E110" s="240" t="s">
        <v>4726</v>
      </c>
      <c r="F110" s="240" t="s">
        <v>4725</v>
      </c>
      <c r="G110" s="240" t="s">
        <v>4726</v>
      </c>
      <c r="H110" s="240" t="s">
        <v>4725</v>
      </c>
      <c r="I110" s="240" t="s">
        <v>4726</v>
      </c>
      <c r="J110" s="558"/>
    </row>
    <row r="111" spans="1:10" x14ac:dyDescent="0.25">
      <c r="A111" s="553"/>
      <c r="B111" s="553"/>
      <c r="C111" s="555"/>
      <c r="D111" s="241">
        <v>42522</v>
      </c>
      <c r="E111" s="241">
        <v>42309</v>
      </c>
      <c r="F111" s="241">
        <v>42522</v>
      </c>
      <c r="G111" s="241">
        <v>42309</v>
      </c>
      <c r="H111" s="241">
        <v>42522</v>
      </c>
      <c r="I111" s="241">
        <v>42309</v>
      </c>
      <c r="J111" s="558"/>
    </row>
    <row r="112" spans="1:10" x14ac:dyDescent="0.25">
      <c r="A112" s="553"/>
      <c r="B112" s="553"/>
      <c r="C112" s="556"/>
      <c r="D112" s="242" t="s">
        <v>4727</v>
      </c>
      <c r="E112" s="243">
        <f>VLOOKUP(D111,ÍNDICES!A:G,7,0)</f>
        <v>0.998</v>
      </c>
      <c r="F112" s="242" t="s">
        <v>4727</v>
      </c>
      <c r="G112" s="243">
        <f>VLOOKUP(F111,ÍNDICES!A:G,7,0)</f>
        <v>0.998</v>
      </c>
      <c r="H112" s="242" t="s">
        <v>4727</v>
      </c>
      <c r="I112" s="243">
        <f>VLOOKUP(H111,ÍNDICES!A:G,7,0)</f>
        <v>0.998</v>
      </c>
      <c r="J112" s="558"/>
    </row>
    <row r="113" spans="1:10" ht="83.25" customHeight="1" x14ac:dyDescent="0.25">
      <c r="A113" s="244" t="s">
        <v>4969</v>
      </c>
      <c r="B113" s="245" t="str">
        <f>VLOOKUP(A113,INSUMOS!B:D,3,0)</f>
        <v>Quadro de distribuição de luz e força do tipo de sobrepor com barramento interno 3F + N + T, proteção geral de 15 kA e disjuntores parciais de 5kA, placa de fixação independente, fechadura com chave Yale de acordo com ABNT 60439-1 - ref. GIMI ou equivalente, conforme diagramas de projeto (padrão)</v>
      </c>
      <c r="C113" s="246" t="str">
        <f>VLOOKUP(A113,INSUMOS!B:E,4,0)</f>
        <v>un</v>
      </c>
      <c r="D113" s="247">
        <f>4594.6+(6546.27/4)</f>
        <v>6231.1675000000005</v>
      </c>
      <c r="E113" s="247">
        <f>D113*$E$112</f>
        <v>6218.7051650000003</v>
      </c>
      <c r="F113" s="428">
        <v>6635.07</v>
      </c>
      <c r="G113" s="247">
        <f>F113*$G$112</f>
        <v>6621.7998600000001</v>
      </c>
      <c r="H113" s="428">
        <v>10290.99</v>
      </c>
      <c r="I113" s="247">
        <f>H113*$G$112</f>
        <v>10270.408019999999</v>
      </c>
      <c r="J113" s="247">
        <f>MEDIAN(I113,G113,E113)</f>
        <v>6621.7998600000001</v>
      </c>
    </row>
    <row r="114" spans="1:10" ht="75" x14ac:dyDescent="0.25">
      <c r="A114" s="244" t="s">
        <v>5001</v>
      </c>
      <c r="B114" s="245" t="str">
        <f>VLOOKUP(A114,INSUMOS!B:D,3,0)</f>
        <v>Quadro de distribuição de luz e força do tipo de sobrepor com barramento interno 3F + N + T, proteção geral de 15 kA e disjuntores parciais de 5kA, placa de fixação independente, fechadura com chave Yale de acordo com ABNT 60439-1 - ref. GIMI ou equivalente, conforme diagramas de projeto (sede)</v>
      </c>
      <c r="C114" s="246" t="str">
        <f>VLOOKUP(A114,INSUMOS!B:E,4,0)</f>
        <v>un</v>
      </c>
      <c r="D114" s="247">
        <f>5805.28+(6546.27/4)</f>
        <v>7441.8474999999999</v>
      </c>
      <c r="E114" s="247">
        <f>D114*$E$112</f>
        <v>7426.9638049999994</v>
      </c>
      <c r="F114" s="428">
        <v>5454.91</v>
      </c>
      <c r="G114" s="247">
        <f>F114*$G$112</f>
        <v>5444.00018</v>
      </c>
      <c r="H114" s="428">
        <v>4956.0600000000004</v>
      </c>
      <c r="I114" s="247">
        <f>H114*$G$112</f>
        <v>4946.1478800000004</v>
      </c>
      <c r="J114" s="247">
        <f t="shared" ref="J114" si="25">MEDIAN(I114,G114,E114)</f>
        <v>5444.00018</v>
      </c>
    </row>
    <row r="115" spans="1:10" x14ac:dyDescent="0.25">
      <c r="A115" s="316"/>
      <c r="B115" s="317"/>
      <c r="C115" s="317"/>
      <c r="D115" s="317"/>
      <c r="E115" s="317"/>
      <c r="F115" s="317"/>
      <c r="G115" s="317"/>
      <c r="H115" s="317"/>
      <c r="I115" s="317"/>
      <c r="J115" s="318"/>
    </row>
    <row r="116" spans="1:10" x14ac:dyDescent="0.25">
      <c r="A116" s="553" t="s">
        <v>4719</v>
      </c>
      <c r="B116" s="553" t="s">
        <v>12</v>
      </c>
      <c r="C116" s="554" t="s">
        <v>4720</v>
      </c>
      <c r="D116" s="557" t="s">
        <v>4721</v>
      </c>
      <c r="E116" s="557"/>
      <c r="F116" s="557" t="s">
        <v>4722</v>
      </c>
      <c r="G116" s="557"/>
      <c r="H116" s="557" t="s">
        <v>4723</v>
      </c>
      <c r="I116" s="557"/>
      <c r="J116" s="558" t="s">
        <v>4724</v>
      </c>
    </row>
    <row r="117" spans="1:10" ht="95.1" customHeight="1" x14ac:dyDescent="0.25">
      <c r="A117" s="553"/>
      <c r="B117" s="553"/>
      <c r="C117" s="555"/>
      <c r="D117" s="551" t="s">
        <v>4732</v>
      </c>
      <c r="E117" s="552"/>
      <c r="F117" s="551" t="s">
        <v>4733</v>
      </c>
      <c r="G117" s="552"/>
      <c r="H117" s="551" t="s">
        <v>4734</v>
      </c>
      <c r="I117" s="552"/>
      <c r="J117" s="558"/>
    </row>
    <row r="118" spans="1:10" x14ac:dyDescent="0.25">
      <c r="A118" s="553"/>
      <c r="B118" s="553"/>
      <c r="C118" s="555"/>
      <c r="D118" s="240" t="s">
        <v>4725</v>
      </c>
      <c r="E118" s="240" t="s">
        <v>4726</v>
      </c>
      <c r="F118" s="240" t="s">
        <v>4725</v>
      </c>
      <c r="G118" s="240" t="s">
        <v>4726</v>
      </c>
      <c r="H118" s="240" t="s">
        <v>4725</v>
      </c>
      <c r="I118" s="240" t="s">
        <v>4726</v>
      </c>
      <c r="J118" s="558"/>
    </row>
    <row r="119" spans="1:10" x14ac:dyDescent="0.25">
      <c r="A119" s="553"/>
      <c r="B119" s="553"/>
      <c r="C119" s="555"/>
      <c r="D119" s="241">
        <v>42491</v>
      </c>
      <c r="E119" s="241">
        <v>42309</v>
      </c>
      <c r="F119" s="241">
        <v>42491</v>
      </c>
      <c r="G119" s="241">
        <v>42309</v>
      </c>
      <c r="H119" s="241">
        <v>42491</v>
      </c>
      <c r="I119" s="241">
        <v>42309</v>
      </c>
      <c r="J119" s="558"/>
    </row>
    <row r="120" spans="1:10" x14ac:dyDescent="0.25">
      <c r="A120" s="553"/>
      <c r="B120" s="553"/>
      <c r="C120" s="556"/>
      <c r="D120" s="242" t="s">
        <v>4727</v>
      </c>
      <c r="E120" s="243">
        <f>VLOOKUP(D119,ÍNDICES!A:G,7,0)</f>
        <v>0.998</v>
      </c>
      <c r="F120" s="242" t="s">
        <v>4727</v>
      </c>
      <c r="G120" s="243">
        <f>VLOOKUP(F119,ÍNDICES!A:G,7,0)</f>
        <v>0.998</v>
      </c>
      <c r="H120" s="242" t="s">
        <v>4727</v>
      </c>
      <c r="I120" s="243">
        <f>VLOOKUP(H119,ÍNDICES!A:G,7,0)</f>
        <v>0.998</v>
      </c>
      <c r="J120" s="558"/>
    </row>
    <row r="121" spans="1:10" x14ac:dyDescent="0.25">
      <c r="A121" s="244" t="s">
        <v>4970</v>
      </c>
      <c r="B121" s="245" t="str">
        <f>VLOOKUP(A121,INSUMOS!B:D,3,0)</f>
        <v>Biodigestor 3.000 litros Acqualimp  ou equivalente técnico</v>
      </c>
      <c r="C121" s="246" t="str">
        <f>VLOOKUP(A121,INSUMOS!B:E,4,0)</f>
        <v>un</v>
      </c>
      <c r="D121" s="247">
        <v>6870.9</v>
      </c>
      <c r="E121" s="247">
        <f>D121*$E$120</f>
        <v>6857.1581999999999</v>
      </c>
      <c r="F121" s="247"/>
      <c r="G121" s="247"/>
      <c r="H121" s="247"/>
      <c r="I121" s="247"/>
      <c r="J121" s="247">
        <f>MEDIAN(I121,G121,E121)</f>
        <v>6857.1581999999999</v>
      </c>
    </row>
    <row r="122" spans="1:10" x14ac:dyDescent="0.25">
      <c r="A122" s="244" t="s">
        <v>4971</v>
      </c>
      <c r="B122" s="245" t="str">
        <f>VLOOKUP(A122,INSUMOS!B:D,3,0)</f>
        <v>Caixa de inspeção de esgoto ref. Tigre ou equivalente técnico</v>
      </c>
      <c r="C122" s="246" t="str">
        <f>VLOOKUP(A122,INSUMOS!B:E,4,0)</f>
        <v>un</v>
      </c>
      <c r="D122" s="247">
        <v>199.9</v>
      </c>
      <c r="E122" s="247">
        <f>D122*$E$120</f>
        <v>199.50020000000001</v>
      </c>
      <c r="F122" s="247">
        <v>154.9</v>
      </c>
      <c r="G122" s="247">
        <f>F122*$G$120</f>
        <v>154.59020000000001</v>
      </c>
      <c r="H122" s="247">
        <v>199.9</v>
      </c>
      <c r="I122" s="247">
        <f>H122*$I$120</f>
        <v>199.50020000000001</v>
      </c>
      <c r="J122" s="247">
        <f>MEDIAN(I122,G122,E122)</f>
        <v>199.50020000000001</v>
      </c>
    </row>
    <row r="123" spans="1:10" ht="30" customHeight="1" x14ac:dyDescent="0.25">
      <c r="A123" s="244" t="s">
        <v>4972</v>
      </c>
      <c r="B123" s="245" t="str">
        <f>VLOOKUP(A123,INSUMOS!B:D,3,0)</f>
        <v>Caixa de gordura em PVC com cesto de limpeza ref. Tigre ou equivalente, dim. 250x172x50mm</v>
      </c>
      <c r="C123" s="246" t="str">
        <f>VLOOKUP(A123,INSUMOS!B:E,4,0)</f>
        <v>un</v>
      </c>
      <c r="D123" s="247">
        <v>199.9</v>
      </c>
      <c r="E123" s="247">
        <f>D123*$E$120</f>
        <v>199.50020000000001</v>
      </c>
      <c r="F123" s="247">
        <v>175.9</v>
      </c>
      <c r="G123" s="247">
        <f>F123*$G$120</f>
        <v>175.54820000000001</v>
      </c>
      <c r="H123" s="247">
        <v>199.9</v>
      </c>
      <c r="I123" s="247">
        <f>H123*$I$120</f>
        <v>199.50020000000001</v>
      </c>
      <c r="J123" s="247">
        <f>MEDIAN(I123,G123,E123)</f>
        <v>199.50020000000001</v>
      </c>
    </row>
    <row r="124" spans="1:10" ht="30" customHeight="1" x14ac:dyDescent="0.25">
      <c r="A124" s="244" t="s">
        <v>4973</v>
      </c>
      <c r="B124" s="245" t="str">
        <f>VLOOKUP(A124,INSUMOS!B:D,3,0)</f>
        <v>Caixa de inspeção de águas pluviais ref. Tigre ou equivalente técnico</v>
      </c>
      <c r="C124" s="246" t="str">
        <f>VLOOKUP(A124,INSUMOS!B:E,4,0)</f>
        <v>un</v>
      </c>
      <c r="D124" s="247">
        <v>120.68</v>
      </c>
      <c r="E124" s="247">
        <f>D124*$E$120</f>
        <v>120.43864000000001</v>
      </c>
      <c r="F124" s="247">
        <v>154.9</v>
      </c>
      <c r="G124" s="247">
        <f>F124*$G$120</f>
        <v>154.59020000000001</v>
      </c>
      <c r="H124" s="247">
        <v>199.9</v>
      </c>
      <c r="I124" s="247">
        <f>H124*$I$120</f>
        <v>199.50020000000001</v>
      </c>
      <c r="J124" s="247">
        <f>MEDIAN(I124,G124,E124)</f>
        <v>154.59020000000001</v>
      </c>
    </row>
    <row r="125" spans="1:10" ht="30" customHeight="1" x14ac:dyDescent="0.25">
      <c r="A125" s="244" t="s">
        <v>4974</v>
      </c>
      <c r="B125" s="245" t="str">
        <f>VLOOKUP(A125,INSUMOS!B:D,3,0)</f>
        <v>Cisterna 2.800L, equipada para água de chuva com 2 filtros e bomba 1/2CV ref. Acqualimp ou equivalente técnico</v>
      </c>
      <c r="C125" s="246" t="str">
        <f>VLOOKUP(A125,INSUMOS!B:E,4,0)</f>
        <v>un</v>
      </c>
      <c r="D125" s="247">
        <v>4720.8999999999996</v>
      </c>
      <c r="E125" s="247">
        <f>D125*$E$120</f>
        <v>4711.4582</v>
      </c>
      <c r="F125" s="247">
        <v>4633.8999999999996</v>
      </c>
      <c r="G125" s="247">
        <f>F125*$G$120</f>
        <v>4624.6322</v>
      </c>
      <c r="H125" s="428"/>
      <c r="I125" s="247"/>
      <c r="J125" s="247">
        <f>MEDIAN(I125,G125,E125)</f>
        <v>4668.0452000000005</v>
      </c>
    </row>
    <row r="126" spans="1:10" x14ac:dyDescent="0.25">
      <c r="A126" s="316"/>
      <c r="B126" s="317"/>
      <c r="C126" s="317"/>
      <c r="D126" s="317"/>
      <c r="E126" s="317"/>
      <c r="F126" s="317"/>
      <c r="G126" s="317"/>
      <c r="H126" s="317"/>
      <c r="I126" s="317"/>
      <c r="J126" s="318"/>
    </row>
    <row r="127" spans="1:10" x14ac:dyDescent="0.25">
      <c r="A127" s="554" t="s">
        <v>4719</v>
      </c>
      <c r="B127" s="554" t="s">
        <v>12</v>
      </c>
      <c r="C127" s="554" t="s">
        <v>4720</v>
      </c>
      <c r="D127" s="559" t="s">
        <v>4721</v>
      </c>
      <c r="E127" s="560"/>
      <c r="F127" s="559" t="s">
        <v>4722</v>
      </c>
      <c r="G127" s="560"/>
      <c r="H127" s="559" t="s">
        <v>4723</v>
      </c>
      <c r="I127" s="560"/>
      <c r="J127" s="563" t="s">
        <v>4724</v>
      </c>
    </row>
    <row r="128" spans="1:10" ht="95.1" customHeight="1" x14ac:dyDescent="0.25">
      <c r="A128" s="555"/>
      <c r="B128" s="555"/>
      <c r="C128" s="555"/>
      <c r="D128" s="561" t="s">
        <v>5388</v>
      </c>
      <c r="E128" s="562"/>
      <c r="F128" s="551" t="s">
        <v>5524</v>
      </c>
      <c r="G128" s="562"/>
      <c r="H128" s="551" t="s">
        <v>5529</v>
      </c>
      <c r="I128" s="562"/>
      <c r="J128" s="564"/>
    </row>
    <row r="129" spans="1:10" x14ac:dyDescent="0.25">
      <c r="A129" s="555"/>
      <c r="B129" s="555"/>
      <c r="C129" s="555"/>
      <c r="D129" s="240" t="s">
        <v>4725</v>
      </c>
      <c r="E129" s="240" t="s">
        <v>4726</v>
      </c>
      <c r="F129" s="240" t="s">
        <v>4725</v>
      </c>
      <c r="G129" s="240" t="s">
        <v>4726</v>
      </c>
      <c r="H129" s="240" t="s">
        <v>4725</v>
      </c>
      <c r="I129" s="240" t="s">
        <v>4726</v>
      </c>
      <c r="J129" s="564"/>
    </row>
    <row r="130" spans="1:10" x14ac:dyDescent="0.25">
      <c r="A130" s="555"/>
      <c r="B130" s="555"/>
      <c r="C130" s="555"/>
      <c r="D130" s="241">
        <v>42491</v>
      </c>
      <c r="E130" s="241">
        <v>42309</v>
      </c>
      <c r="F130" s="241">
        <v>42491</v>
      </c>
      <c r="G130" s="241">
        <v>42309</v>
      </c>
      <c r="H130" s="241">
        <v>42491</v>
      </c>
      <c r="I130" s="241">
        <v>42309</v>
      </c>
      <c r="J130" s="564"/>
    </row>
    <row r="131" spans="1:10" x14ac:dyDescent="0.25">
      <c r="A131" s="556"/>
      <c r="B131" s="556"/>
      <c r="C131" s="556"/>
      <c r="D131" s="242" t="s">
        <v>4727</v>
      </c>
      <c r="E131" s="243">
        <f>VLOOKUP(D130,ÍNDICES!A:G,7,0)</f>
        <v>0.998</v>
      </c>
      <c r="F131" s="242" t="s">
        <v>4727</v>
      </c>
      <c r="G131" s="243">
        <f>VLOOKUP(F130,ÍNDICES!A:G,7,0)</f>
        <v>0.998</v>
      </c>
      <c r="H131" s="242" t="s">
        <v>4727</v>
      </c>
      <c r="I131" s="243">
        <f>VLOOKUP(H130,ÍNDICES!A:G,7,0)</f>
        <v>0.998</v>
      </c>
      <c r="J131" s="565"/>
    </row>
    <row r="132" spans="1:10" ht="30" x14ac:dyDescent="0.25">
      <c r="A132" s="244" t="s">
        <v>4975</v>
      </c>
      <c r="B132" s="245" t="str">
        <f>VLOOKUP(A132,INSUMOS!B:D,3,0)</f>
        <v>GC-01 - Guarda-corpo de madeira com fechamento de tela galvanizada + corrimão duplo de aço galvanizado 1/12"</v>
      </c>
      <c r="C132" s="246" t="str">
        <f>VLOOKUP(A132,INSUMOS!B:E,4,0)</f>
        <v>m</v>
      </c>
      <c r="D132" s="247">
        <v>156</v>
      </c>
      <c r="E132" s="247">
        <f>D132*$E$131</f>
        <v>155.68799999999999</v>
      </c>
      <c r="F132" s="428">
        <f>178130/156.3</f>
        <v>1139.6673064619322</v>
      </c>
      <c r="G132" s="247">
        <f>F132*$G$131</f>
        <v>1137.3879718490084</v>
      </c>
      <c r="H132" s="428">
        <v>243.85</v>
      </c>
      <c r="I132" s="247">
        <f>H132*$I$131</f>
        <v>243.3623</v>
      </c>
      <c r="J132" s="247">
        <f>MEDIAN(I132,G132,E132)</f>
        <v>243.3623</v>
      </c>
    </row>
    <row r="133" spans="1:10" ht="30" x14ac:dyDescent="0.25">
      <c r="A133" s="244" t="s">
        <v>4976</v>
      </c>
      <c r="B133" s="245" t="str">
        <f>VLOOKUP(A133,INSUMOS!B:D,3,0)</f>
        <v>GC-02 - Guarda-corpo de madeira com fechamento de tela galvanizada (rampas, escadas e decks externos)</v>
      </c>
      <c r="C133" s="246" t="str">
        <f>VLOOKUP(A133,INSUMOS!B:E,4,0)</f>
        <v>m</v>
      </c>
      <c r="D133" s="247">
        <v>113</v>
      </c>
      <c r="E133" s="247">
        <f>D133*$E$131</f>
        <v>112.774</v>
      </c>
      <c r="F133" s="428">
        <f>72800/113.02</f>
        <v>644.1337816315696</v>
      </c>
      <c r="G133" s="247">
        <f t="shared" ref="G133:G134" si="26">F133*$G$131</f>
        <v>642.84551406830644</v>
      </c>
      <c r="H133" s="428">
        <v>243.85</v>
      </c>
      <c r="I133" s="247">
        <f>H133*$I$131</f>
        <v>243.3623</v>
      </c>
      <c r="J133" s="247">
        <f>MEDIAN(I133,G133,E133)</f>
        <v>243.3623</v>
      </c>
    </row>
    <row r="134" spans="1:10" ht="30" x14ac:dyDescent="0.25">
      <c r="A134" s="244" t="s">
        <v>4977</v>
      </c>
      <c r="B134" s="245" t="str">
        <f>VLOOKUP(A134,INSUMOS!B:D,3,0)</f>
        <v>GC-03 - Guarda-corpo de madeira com fechamento de tela galvanizada (edifício padrão)</v>
      </c>
      <c r="C134" s="246" t="str">
        <f>VLOOKUP(A134,INSUMOS!B:E,4,0)</f>
        <v>m</v>
      </c>
      <c r="D134" s="247">
        <f>75036/115.44</f>
        <v>650</v>
      </c>
      <c r="E134" s="247">
        <f>D134*$E$131</f>
        <v>648.70000000000005</v>
      </c>
      <c r="F134" s="428">
        <f>74340/115.44</f>
        <v>643.97089397089394</v>
      </c>
      <c r="G134" s="247">
        <f t="shared" si="26"/>
        <v>642.68295218295214</v>
      </c>
      <c r="H134" s="428">
        <v>243.85</v>
      </c>
      <c r="I134" s="247">
        <f>H134*$I$131</f>
        <v>243.3623</v>
      </c>
      <c r="J134" s="247">
        <f>MEDIAN(I134,G134,E134)</f>
        <v>642.68295218295214</v>
      </c>
    </row>
    <row r="135" spans="1:10" x14ac:dyDescent="0.25">
      <c r="A135" s="316"/>
      <c r="B135" s="317"/>
      <c r="C135" s="317"/>
      <c r="D135" s="317"/>
      <c r="E135" s="317"/>
      <c r="F135" s="317"/>
      <c r="G135" s="317"/>
      <c r="H135" s="317"/>
      <c r="I135" s="317"/>
      <c r="J135" s="318"/>
    </row>
    <row r="136" spans="1:10" x14ac:dyDescent="0.25">
      <c r="A136" s="553" t="s">
        <v>4719</v>
      </c>
      <c r="B136" s="553" t="s">
        <v>12</v>
      </c>
      <c r="C136" s="554" t="s">
        <v>4720</v>
      </c>
      <c r="D136" s="557" t="s">
        <v>4721</v>
      </c>
      <c r="E136" s="557"/>
      <c r="F136" s="557" t="s">
        <v>4722</v>
      </c>
      <c r="G136" s="557"/>
      <c r="H136" s="557" t="s">
        <v>4723</v>
      </c>
      <c r="I136" s="557"/>
      <c r="J136" s="558" t="s">
        <v>4724</v>
      </c>
    </row>
    <row r="137" spans="1:10" ht="95.1" customHeight="1" x14ac:dyDescent="0.25">
      <c r="A137" s="553"/>
      <c r="B137" s="553"/>
      <c r="C137" s="555"/>
      <c r="D137" s="551" t="s">
        <v>5387</v>
      </c>
      <c r="E137" s="552"/>
      <c r="F137" s="551" t="s">
        <v>5447</v>
      </c>
      <c r="G137" s="552"/>
      <c r="H137" s="551" t="s">
        <v>5516</v>
      </c>
      <c r="I137" s="552"/>
      <c r="J137" s="558"/>
    </row>
    <row r="138" spans="1:10" x14ac:dyDescent="0.25">
      <c r="A138" s="553"/>
      <c r="B138" s="553"/>
      <c r="C138" s="555"/>
      <c r="D138" s="240" t="s">
        <v>4725</v>
      </c>
      <c r="E138" s="240" t="s">
        <v>4726</v>
      </c>
      <c r="F138" s="240" t="s">
        <v>4725</v>
      </c>
      <c r="G138" s="240" t="s">
        <v>4726</v>
      </c>
      <c r="H138" s="240" t="s">
        <v>4725</v>
      </c>
      <c r="I138" s="240" t="s">
        <v>4726</v>
      </c>
      <c r="J138" s="558"/>
    </row>
    <row r="139" spans="1:10" x14ac:dyDescent="0.25">
      <c r="A139" s="553"/>
      <c r="B139" s="553"/>
      <c r="C139" s="555"/>
      <c r="D139" s="241">
        <v>42491</v>
      </c>
      <c r="E139" s="241">
        <v>42309</v>
      </c>
      <c r="F139" s="241">
        <v>42491</v>
      </c>
      <c r="G139" s="241">
        <v>42309</v>
      </c>
      <c r="H139" s="241">
        <v>42491</v>
      </c>
      <c r="I139" s="241">
        <v>42309</v>
      </c>
      <c r="J139" s="558"/>
    </row>
    <row r="140" spans="1:10" x14ac:dyDescent="0.25">
      <c r="A140" s="553"/>
      <c r="B140" s="553"/>
      <c r="C140" s="556"/>
      <c r="D140" s="242" t="s">
        <v>4727</v>
      </c>
      <c r="E140" s="243">
        <f>VLOOKUP(D139,ÍNDICES!A:G,7,0)</f>
        <v>0.998</v>
      </c>
      <c r="F140" s="242" t="s">
        <v>4727</v>
      </c>
      <c r="G140" s="243">
        <f>VLOOKUP(F139,ÍNDICES!A:G,7,0)</f>
        <v>0.998</v>
      </c>
      <c r="H140" s="242" t="s">
        <v>4727</v>
      </c>
      <c r="I140" s="243">
        <f>VLOOKUP(H139,ÍNDICES!A:G,7,0)</f>
        <v>0.998</v>
      </c>
      <c r="J140" s="558"/>
    </row>
    <row r="141" spans="1:10" ht="30" x14ac:dyDescent="0.25">
      <c r="A141" s="244" t="s">
        <v>4978</v>
      </c>
      <c r="B141" s="245" t="str">
        <f>VLOOKUP(A141,INSUMOS!B:D,3,0)</f>
        <v>Piso tátil de alerta com elementos soltos de poliéster instalação parafusada - cor preta - largura 25cm</v>
      </c>
      <c r="C141" s="246" t="str">
        <f>VLOOKUP(A141,INSUMOS!B:E,4,0)</f>
        <v>m²</v>
      </c>
      <c r="D141" s="247">
        <v>56.25</v>
      </c>
      <c r="E141" s="247">
        <f>D141*$E$140</f>
        <v>56.137500000000003</v>
      </c>
      <c r="F141" s="247">
        <f>(144+0.13+(104/37.2))</f>
        <v>146.92569892473117</v>
      </c>
      <c r="G141" s="247">
        <f>F141*$G$140</f>
        <v>146.6318475268817</v>
      </c>
      <c r="H141" s="247">
        <v>840</v>
      </c>
      <c r="I141" s="247">
        <f>H141*$I$140</f>
        <v>838.32</v>
      </c>
      <c r="J141" s="247">
        <f>MEDIAN(I141,G141,E141)</f>
        <v>146.6318475268817</v>
      </c>
    </row>
    <row r="142" spans="1:10" x14ac:dyDescent="0.25">
      <c r="A142" s="316"/>
      <c r="B142" s="317"/>
      <c r="C142" s="317"/>
      <c r="D142" s="317"/>
      <c r="E142" s="317"/>
      <c r="F142" s="317"/>
      <c r="G142" s="317"/>
      <c r="H142" s="317"/>
      <c r="I142" s="317"/>
      <c r="J142" s="318"/>
    </row>
    <row r="143" spans="1:10" x14ac:dyDescent="0.25">
      <c r="A143" s="553" t="s">
        <v>4719</v>
      </c>
      <c r="B143" s="553" t="s">
        <v>12</v>
      </c>
      <c r="C143" s="554" t="s">
        <v>4720</v>
      </c>
      <c r="D143" s="557" t="s">
        <v>4721</v>
      </c>
      <c r="E143" s="557"/>
      <c r="F143" s="557" t="s">
        <v>4722</v>
      </c>
      <c r="G143" s="557"/>
      <c r="H143" s="557" t="s">
        <v>4723</v>
      </c>
      <c r="I143" s="557"/>
      <c r="J143" s="558" t="s">
        <v>4724</v>
      </c>
    </row>
    <row r="144" spans="1:10" ht="95.1" customHeight="1" x14ac:dyDescent="0.25">
      <c r="A144" s="553"/>
      <c r="B144" s="553"/>
      <c r="C144" s="555"/>
      <c r="D144" s="551" t="s">
        <v>5404</v>
      </c>
      <c r="E144" s="552"/>
      <c r="F144" s="551" t="s">
        <v>5515</v>
      </c>
      <c r="G144" s="552"/>
      <c r="H144" s="551" t="s">
        <v>5519</v>
      </c>
      <c r="I144" s="552"/>
      <c r="J144" s="558"/>
    </row>
    <row r="145" spans="1:10" x14ac:dyDescent="0.25">
      <c r="A145" s="553"/>
      <c r="B145" s="553"/>
      <c r="C145" s="555"/>
      <c r="D145" s="240" t="s">
        <v>4725</v>
      </c>
      <c r="E145" s="240" t="s">
        <v>4726</v>
      </c>
      <c r="F145" s="240" t="s">
        <v>4725</v>
      </c>
      <c r="G145" s="240" t="s">
        <v>4726</v>
      </c>
      <c r="H145" s="240" t="s">
        <v>4725</v>
      </c>
      <c r="I145" s="240" t="s">
        <v>4726</v>
      </c>
      <c r="J145" s="558"/>
    </row>
    <row r="146" spans="1:10" x14ac:dyDescent="0.25">
      <c r="A146" s="553"/>
      <c r="B146" s="553"/>
      <c r="C146" s="555"/>
      <c r="D146" s="241">
        <v>42491</v>
      </c>
      <c r="E146" s="241">
        <v>42309</v>
      </c>
      <c r="F146" s="241">
        <v>42491</v>
      </c>
      <c r="G146" s="241">
        <v>42309</v>
      </c>
      <c r="H146" s="241">
        <v>42491</v>
      </c>
      <c r="I146" s="241">
        <v>42309</v>
      </c>
      <c r="J146" s="558"/>
    </row>
    <row r="147" spans="1:10" x14ac:dyDescent="0.25">
      <c r="A147" s="553"/>
      <c r="B147" s="553"/>
      <c r="C147" s="556"/>
      <c r="D147" s="242" t="s">
        <v>4727</v>
      </c>
      <c r="E147" s="243">
        <f>VLOOKUP(D146,ÍNDICES!A:G,7,0)</f>
        <v>0.998</v>
      </c>
      <c r="F147" s="242" t="s">
        <v>4727</v>
      </c>
      <c r="G147" s="243">
        <f>VLOOKUP(F146,ÍNDICES!A:G,7,0)</f>
        <v>0.998</v>
      </c>
      <c r="H147" s="242" t="s">
        <v>4727</v>
      </c>
      <c r="I147" s="243">
        <f>VLOOKUP(H146,ÍNDICES!A:G,7,0)</f>
        <v>0.998</v>
      </c>
      <c r="J147" s="558"/>
    </row>
    <row r="148" spans="1:10" ht="45" x14ac:dyDescent="0.25">
      <c r="A148" s="244" t="s">
        <v>4981</v>
      </c>
      <c r="B148" s="245" t="str">
        <f>VLOOKUP(A148,INSUMOS!B:D,3,0)</f>
        <v>Luminária tipo Spot com  foco orientável, corpo em alumínio pintado, refletor em alumínio anodizado, para uma lâmpada LED COB 15 W, abertura 50º, temperatura de cor 3000K.</v>
      </c>
      <c r="C148" s="246" t="str">
        <f>VLOOKUP(A148,INSUMOS!B:E,4,0)</f>
        <v>un</v>
      </c>
      <c r="D148" s="247">
        <v>639.41</v>
      </c>
      <c r="E148" s="247">
        <f t="shared" ref="E148:E153" si="27">D148*$E$147</f>
        <v>638.13117999999997</v>
      </c>
      <c r="F148" s="247">
        <v>940.42312206572763</v>
      </c>
      <c r="G148" s="247">
        <f>F148*$G$147</f>
        <v>938.54227582159615</v>
      </c>
      <c r="H148" s="428">
        <v>655</v>
      </c>
      <c r="I148" s="247">
        <f>H148*$I$147</f>
        <v>653.69000000000005</v>
      </c>
      <c r="J148" s="247">
        <f>MEDIAN(I148,G148,E148)</f>
        <v>653.69000000000005</v>
      </c>
    </row>
    <row r="149" spans="1:10" ht="45" x14ac:dyDescent="0.25">
      <c r="A149" s="244" t="s">
        <v>4982</v>
      </c>
      <c r="B149" s="245" t="str">
        <f>VLOOKUP(A149,INSUMOS!B:D,3,0)</f>
        <v>Luminária circular de embutir com foco orbital. Corpo e Orbital em alumínio injetado. Lâmpada LED 15W ângulo de abertura 20 graus, temperatura de cor 3000K.</v>
      </c>
      <c r="C149" s="246" t="str">
        <f>VLOOKUP(A149,INSUMOS!B:E,4,0)</f>
        <v>un</v>
      </c>
      <c r="D149" s="247">
        <v>414.18</v>
      </c>
      <c r="E149" s="247">
        <f t="shared" si="27"/>
        <v>413.35164000000003</v>
      </c>
      <c r="F149" s="247">
        <v>631.60493951612909</v>
      </c>
      <c r="G149" s="247">
        <f t="shared" ref="G149:G153" si="28">F149*$G$147</f>
        <v>630.34172963709682</v>
      </c>
      <c r="H149" s="428">
        <v>596</v>
      </c>
      <c r="I149" s="247">
        <f t="shared" ref="I149:I153" si="29">H149*$I$147</f>
        <v>594.80799999999999</v>
      </c>
      <c r="J149" s="247">
        <f t="shared" ref="J149:J153" si="30">MEDIAN(I149,G149,E149)</f>
        <v>594.80799999999999</v>
      </c>
    </row>
    <row r="150" spans="1:10" ht="60" x14ac:dyDescent="0.25">
      <c r="A150" s="244" t="s">
        <v>4983</v>
      </c>
      <c r="B150" s="245" t="str">
        <f>VLOOKUP(A150,INSUMOS!B:D,3,0)</f>
        <v>Luminária de embutir com corpo em alumínio injetado com acabamento em pintura na cor branca. Difusor recuado translúcido. Dissipador de calor em alumínio injetado na cor titânio. Temperatura de cor 3000K.</v>
      </c>
      <c r="C150" s="246" t="str">
        <f>VLOOKUP(A150,INSUMOS!B:E,4,0)</f>
        <v>un</v>
      </c>
      <c r="D150" s="247">
        <v>336.77</v>
      </c>
      <c r="E150" s="247">
        <f t="shared" si="27"/>
        <v>336.09645999999998</v>
      </c>
      <c r="F150" s="247">
        <v>510.65312499999999</v>
      </c>
      <c r="G150" s="247">
        <f t="shared" si="28"/>
        <v>509.63181874999998</v>
      </c>
      <c r="H150" s="428">
        <v>339.6</v>
      </c>
      <c r="I150" s="247">
        <f t="shared" si="29"/>
        <v>338.92080000000004</v>
      </c>
      <c r="J150" s="247">
        <f t="shared" si="30"/>
        <v>338.92080000000004</v>
      </c>
    </row>
    <row r="151" spans="1:10" ht="45" x14ac:dyDescent="0.25">
      <c r="A151" s="244" t="s">
        <v>4984</v>
      </c>
      <c r="B151" s="245" t="str">
        <f>VLOOKUP(A151,INSUMOS!B:D,3,0)</f>
        <v>Luminária de sobrepor com corpo de alumínio injetado com acabamento em pintura na cor branca. Difusor recuado em acrílico translúcido e IP20. Temperatura de cor 3000K.</v>
      </c>
      <c r="C151" s="246" t="str">
        <f>VLOOKUP(A151,INSUMOS!B:E,4,0)</f>
        <v>un</v>
      </c>
      <c r="D151" s="247">
        <v>212.8</v>
      </c>
      <c r="E151" s="247">
        <f t="shared" si="27"/>
        <v>212.37440000000001</v>
      </c>
      <c r="F151" s="247">
        <v>316.95125000000002</v>
      </c>
      <c r="G151" s="247">
        <f t="shared" si="28"/>
        <v>316.31734750000004</v>
      </c>
      <c r="H151" s="428">
        <v>725.6</v>
      </c>
      <c r="I151" s="247">
        <f t="shared" si="29"/>
        <v>724.14880000000005</v>
      </c>
      <c r="J151" s="247">
        <f t="shared" si="30"/>
        <v>316.31734750000004</v>
      </c>
    </row>
    <row r="152" spans="1:10" ht="60" x14ac:dyDescent="0.25">
      <c r="A152" s="244" t="s">
        <v>4985</v>
      </c>
      <c r="B152" s="245" t="str">
        <f>VLOOKUP(A152,INSUMOS!B:D,3,0)</f>
        <v>Luminária circular de embutir no piso ou parede. Aro externo em alumínio, difusor em vidro plano temperado transparente. Corpo em alumínio injetado. Grau de proteção IP67. Temperatura de cor 3000K.</v>
      </c>
      <c r="C152" s="246" t="str">
        <f>VLOOKUP(A152,INSUMOS!B:E,4,0)</f>
        <v>un</v>
      </c>
      <c r="D152" s="247">
        <v>450.48</v>
      </c>
      <c r="E152" s="247">
        <f t="shared" si="27"/>
        <v>449.57904000000002</v>
      </c>
      <c r="F152" s="247">
        <v>688.31818181818176</v>
      </c>
      <c r="G152" s="247">
        <f t="shared" si="28"/>
        <v>686.94154545454535</v>
      </c>
      <c r="H152" s="428">
        <v>647.4</v>
      </c>
      <c r="I152" s="247">
        <f t="shared" si="29"/>
        <v>646.10519999999997</v>
      </c>
      <c r="J152" s="247">
        <f t="shared" si="30"/>
        <v>646.10519999999997</v>
      </c>
    </row>
    <row r="153" spans="1:10" ht="45" x14ac:dyDescent="0.25">
      <c r="A153" s="244" t="s">
        <v>4986</v>
      </c>
      <c r="B153" s="245" t="str">
        <f>VLOOKUP(A153,INSUMOS!B:D,3,0)</f>
        <v>Luminária de sobrepor com barra de LED. Corpo em chapa de aço tratada com acabamento em pintura eletrostática na cor branca. Difusor em acrílico translúcido. Temperatura de cor 3000K.</v>
      </c>
      <c r="C153" s="246" t="str">
        <f>VLOOKUP(A153,INSUMOS!B:E,4,0)</f>
        <v>un</v>
      </c>
      <c r="D153" s="247">
        <v>443.54</v>
      </c>
      <c r="E153" s="247">
        <f t="shared" si="27"/>
        <v>442.65291999999999</v>
      </c>
      <c r="F153" s="247">
        <v>650.08065789473676</v>
      </c>
      <c r="G153" s="247">
        <f t="shared" si="28"/>
        <v>648.78049657894724</v>
      </c>
      <c r="H153" s="428">
        <v>398</v>
      </c>
      <c r="I153" s="247">
        <f t="shared" si="29"/>
        <v>397.20400000000001</v>
      </c>
      <c r="J153" s="247">
        <f t="shared" si="30"/>
        <v>442.65291999999999</v>
      </c>
    </row>
    <row r="154" spans="1:10" x14ac:dyDescent="0.25">
      <c r="A154" s="316"/>
      <c r="B154" s="317"/>
      <c r="C154" s="317"/>
      <c r="D154" s="317"/>
      <c r="E154" s="317"/>
      <c r="F154" s="317"/>
      <c r="G154" s="317"/>
      <c r="H154" s="317"/>
      <c r="I154" s="317"/>
      <c r="J154" s="318"/>
    </row>
    <row r="155" spans="1:10" x14ac:dyDescent="0.25">
      <c r="A155" s="553" t="s">
        <v>4719</v>
      </c>
      <c r="B155" s="553" t="s">
        <v>12</v>
      </c>
      <c r="C155" s="554" t="s">
        <v>4720</v>
      </c>
      <c r="D155" s="557" t="s">
        <v>4721</v>
      </c>
      <c r="E155" s="557"/>
      <c r="F155" s="557" t="s">
        <v>4722</v>
      </c>
      <c r="G155" s="557"/>
      <c r="H155" s="557" t="s">
        <v>4723</v>
      </c>
      <c r="I155" s="557"/>
      <c r="J155" s="558" t="s">
        <v>4724</v>
      </c>
    </row>
    <row r="156" spans="1:10" ht="98.25" customHeight="1" x14ac:dyDescent="0.25">
      <c r="A156" s="553"/>
      <c r="B156" s="553"/>
      <c r="C156" s="555"/>
      <c r="D156" s="551" t="s">
        <v>5512</v>
      </c>
      <c r="E156" s="552"/>
      <c r="F156" s="551" t="s">
        <v>5513</v>
      </c>
      <c r="G156" s="552"/>
      <c r="H156" s="551" t="s">
        <v>5514</v>
      </c>
      <c r="I156" s="552"/>
      <c r="J156" s="558"/>
    </row>
    <row r="157" spans="1:10" x14ac:dyDescent="0.25">
      <c r="A157" s="553"/>
      <c r="B157" s="553"/>
      <c r="C157" s="555"/>
      <c r="D157" s="240" t="s">
        <v>4725</v>
      </c>
      <c r="E157" s="240" t="s">
        <v>4726</v>
      </c>
      <c r="F157" s="240" t="s">
        <v>4725</v>
      </c>
      <c r="G157" s="240" t="s">
        <v>4726</v>
      </c>
      <c r="H157" s="240" t="s">
        <v>4725</v>
      </c>
      <c r="I157" s="240" t="s">
        <v>4726</v>
      </c>
      <c r="J157" s="558"/>
    </row>
    <row r="158" spans="1:10" x14ac:dyDescent="0.25">
      <c r="A158" s="553"/>
      <c r="B158" s="553"/>
      <c r="C158" s="555"/>
      <c r="D158" s="241">
        <v>42491</v>
      </c>
      <c r="E158" s="241">
        <v>42309</v>
      </c>
      <c r="F158" s="241">
        <v>42491</v>
      </c>
      <c r="G158" s="241">
        <v>42309</v>
      </c>
      <c r="H158" s="241">
        <v>42491</v>
      </c>
      <c r="I158" s="241">
        <v>42309</v>
      </c>
      <c r="J158" s="558"/>
    </row>
    <row r="159" spans="1:10" x14ac:dyDescent="0.25">
      <c r="A159" s="553"/>
      <c r="B159" s="553"/>
      <c r="C159" s="556"/>
      <c r="D159" s="242" t="s">
        <v>4727</v>
      </c>
      <c r="E159" s="243">
        <f>VLOOKUP(D158,ÍNDICES!A:G,7,0)</f>
        <v>0.998</v>
      </c>
      <c r="F159" s="242" t="s">
        <v>4727</v>
      </c>
      <c r="G159" s="243">
        <f>VLOOKUP(F158,ÍNDICES!A:G,7,0)</f>
        <v>0.998</v>
      </c>
      <c r="H159" s="242" t="s">
        <v>4727</v>
      </c>
      <c r="I159" s="243">
        <f>VLOOKUP(H158,ÍNDICES!A:G,7,0)</f>
        <v>0.998</v>
      </c>
      <c r="J159" s="558"/>
    </row>
    <row r="160" spans="1:10" ht="30" x14ac:dyDescent="0.25">
      <c r="A160" s="244" t="s">
        <v>4987</v>
      </c>
      <c r="B160" s="245" t="str">
        <f>VLOOKUP(A160,INSUMOS!B:D,3,0)</f>
        <v>Fornecimento de Exaustor tipo Multivac ou equivalente técnico, para 125mm na saída</v>
      </c>
      <c r="C160" s="246" t="str">
        <f>VLOOKUP(A160,INSUMOS!B:E,4,0)</f>
        <v>un</v>
      </c>
      <c r="D160" s="247">
        <v>940</v>
      </c>
      <c r="E160" s="247">
        <f>D160*$E$159</f>
        <v>938.12</v>
      </c>
      <c r="F160" s="247">
        <v>114</v>
      </c>
      <c r="G160" s="247">
        <f>F160*$G$159</f>
        <v>113.77200000000001</v>
      </c>
      <c r="H160" s="247">
        <v>360</v>
      </c>
      <c r="I160" s="247">
        <f>H160*$I$159</f>
        <v>359.28</v>
      </c>
      <c r="J160" s="247">
        <f>MEDIAN(I160,G160,E160)</f>
        <v>359.28</v>
      </c>
    </row>
    <row r="161" spans="1:12" x14ac:dyDescent="0.25">
      <c r="A161" s="244" t="s">
        <v>4988</v>
      </c>
      <c r="B161" s="245" t="str">
        <f>VLOOKUP(A161,INSUMOS!B:D,3,0)</f>
        <v>Fornecimento de duto circular de alumínio para uso aparente</v>
      </c>
      <c r="C161" s="246" t="str">
        <f>VLOOKUP(A161,INSUMOS!B:E,4,0)</f>
        <v>m</v>
      </c>
      <c r="D161" s="247">
        <v>16</v>
      </c>
      <c r="E161" s="247">
        <f>D161*$E$159</f>
        <v>15.968</v>
      </c>
      <c r="F161" s="247">
        <v>22</v>
      </c>
      <c r="G161" s="247">
        <f>F161*$G$159</f>
        <v>21.956</v>
      </c>
      <c r="H161" s="247">
        <v>14.9</v>
      </c>
      <c r="I161" s="247">
        <f>H161*$I$159</f>
        <v>14.870200000000001</v>
      </c>
      <c r="J161" s="247">
        <f>MEDIAN(I161,G161,E161)</f>
        <v>15.968</v>
      </c>
    </row>
    <row r="162" spans="1:12" x14ac:dyDescent="0.25">
      <c r="A162" s="316"/>
      <c r="B162" s="317"/>
      <c r="C162" s="317"/>
      <c r="D162" s="317"/>
      <c r="E162" s="317"/>
      <c r="F162" s="317"/>
      <c r="G162" s="317"/>
      <c r="H162" s="317"/>
      <c r="I162" s="317"/>
      <c r="J162" s="318"/>
    </row>
    <row r="163" spans="1:12" x14ac:dyDescent="0.25">
      <c r="A163" s="553" t="s">
        <v>4719</v>
      </c>
      <c r="B163" s="553" t="s">
        <v>12</v>
      </c>
      <c r="C163" s="554" t="s">
        <v>4720</v>
      </c>
      <c r="D163" s="557" t="s">
        <v>4721</v>
      </c>
      <c r="E163" s="557"/>
      <c r="F163" s="557" t="s">
        <v>4722</v>
      </c>
      <c r="G163" s="557"/>
      <c r="H163" s="557" t="s">
        <v>4723</v>
      </c>
      <c r="I163" s="557"/>
      <c r="J163" s="558" t="s">
        <v>4724</v>
      </c>
    </row>
    <row r="164" spans="1:12" ht="117" customHeight="1" x14ac:dyDescent="0.25">
      <c r="A164" s="553"/>
      <c r="B164" s="553"/>
      <c r="C164" s="555"/>
      <c r="D164" s="551" t="s">
        <v>5377</v>
      </c>
      <c r="E164" s="552"/>
      <c r="F164" s="551" t="s">
        <v>5380</v>
      </c>
      <c r="G164" s="552"/>
      <c r="H164" s="551" t="s">
        <v>5381</v>
      </c>
      <c r="I164" s="552"/>
      <c r="J164" s="558"/>
    </row>
    <row r="165" spans="1:12" x14ac:dyDescent="0.25">
      <c r="A165" s="553"/>
      <c r="B165" s="553"/>
      <c r="C165" s="555"/>
      <c r="D165" s="240" t="s">
        <v>4725</v>
      </c>
      <c r="E165" s="240" t="s">
        <v>4726</v>
      </c>
      <c r="F165" s="240" t="s">
        <v>4725</v>
      </c>
      <c r="G165" s="240" t="s">
        <v>4726</v>
      </c>
      <c r="H165" s="240" t="s">
        <v>4725</v>
      </c>
      <c r="I165" s="240" t="s">
        <v>4726</v>
      </c>
      <c r="J165" s="558"/>
    </row>
    <row r="166" spans="1:12" x14ac:dyDescent="0.25">
      <c r="A166" s="553"/>
      <c r="B166" s="553"/>
      <c r="C166" s="555"/>
      <c r="D166" s="241">
        <v>42491</v>
      </c>
      <c r="E166" s="241">
        <v>42309</v>
      </c>
      <c r="F166" s="241">
        <v>42491</v>
      </c>
      <c r="G166" s="241">
        <v>42309</v>
      </c>
      <c r="H166" s="241">
        <v>42491</v>
      </c>
      <c r="I166" s="241">
        <v>42309</v>
      </c>
      <c r="J166" s="558"/>
    </row>
    <row r="167" spans="1:12" x14ac:dyDescent="0.25">
      <c r="A167" s="553"/>
      <c r="B167" s="553"/>
      <c r="C167" s="556"/>
      <c r="D167" s="242" t="s">
        <v>4727</v>
      </c>
      <c r="E167" s="243">
        <f>VLOOKUP(D166,ÍNDICES!A:G,7,0)</f>
        <v>0.998</v>
      </c>
      <c r="F167" s="242" t="s">
        <v>4727</v>
      </c>
      <c r="G167" s="243">
        <f>VLOOKUP(F166,ÍNDICES!A:G,7,0)</f>
        <v>0.998</v>
      </c>
      <c r="H167" s="242" t="s">
        <v>4727</v>
      </c>
      <c r="I167" s="243">
        <f>VLOOKUP(H166,ÍNDICES!A:G,7,0)</f>
        <v>0.998</v>
      </c>
      <c r="J167" s="558"/>
    </row>
    <row r="168" spans="1:12" ht="30" x14ac:dyDescent="0.25">
      <c r="A168" s="244" t="s">
        <v>4989</v>
      </c>
      <c r="B168" s="245" t="str">
        <f>VLOOKUP(A168,INSUMOS!B:D,3,0)</f>
        <v>Fornecimento de aparelho ar condicionado Split Hi Wall 9.000BTU/h</v>
      </c>
      <c r="C168" s="246" t="str">
        <f>VLOOKUP(A168,INSUMOS!B:E,4,0)</f>
        <v>un</v>
      </c>
      <c r="D168" s="247">
        <v>2108.2199999999998</v>
      </c>
      <c r="E168" s="247">
        <f>D168*$E$167</f>
        <v>2104.0035599999997</v>
      </c>
      <c r="F168" s="247">
        <v>2199</v>
      </c>
      <c r="G168" s="247">
        <f>F168*$G$167</f>
        <v>2194.6019999999999</v>
      </c>
      <c r="H168" s="247">
        <v>2089.0500000000002</v>
      </c>
      <c r="I168" s="247">
        <f>H168*$I$167</f>
        <v>2084.8719000000001</v>
      </c>
      <c r="J168" s="247">
        <f>MEDIAN(I168,G168,E168)</f>
        <v>2104.0035599999997</v>
      </c>
    </row>
    <row r="169" spans="1:12" ht="117" customHeight="1" x14ac:dyDescent="0.25">
      <c r="A169" s="553" t="s">
        <v>4719</v>
      </c>
      <c r="B169" s="553" t="s">
        <v>12</v>
      </c>
      <c r="C169" s="554" t="s">
        <v>4720</v>
      </c>
      <c r="D169" s="561" t="s">
        <v>5456</v>
      </c>
      <c r="E169" s="552"/>
      <c r="F169" s="551" t="s">
        <v>5522</v>
      </c>
      <c r="G169" s="552"/>
      <c r="H169" s="551" t="s">
        <v>5467</v>
      </c>
      <c r="I169" s="552"/>
      <c r="J169" s="563" t="s">
        <v>4724</v>
      </c>
    </row>
    <row r="170" spans="1:12" x14ac:dyDescent="0.25">
      <c r="A170" s="553"/>
      <c r="B170" s="553"/>
      <c r="C170" s="555"/>
      <c r="D170" s="240" t="s">
        <v>4725</v>
      </c>
      <c r="E170" s="240" t="s">
        <v>4726</v>
      </c>
      <c r="F170" s="240" t="s">
        <v>4725</v>
      </c>
      <c r="G170" s="240" t="s">
        <v>4726</v>
      </c>
      <c r="H170" s="240" t="s">
        <v>4725</v>
      </c>
      <c r="I170" s="240" t="s">
        <v>4726</v>
      </c>
      <c r="J170" s="564"/>
    </row>
    <row r="171" spans="1:12" x14ac:dyDescent="0.25">
      <c r="A171" s="553"/>
      <c r="B171" s="553"/>
      <c r="C171" s="555"/>
      <c r="D171" s="241">
        <v>42491</v>
      </c>
      <c r="E171" s="241">
        <v>42309</v>
      </c>
      <c r="F171" s="241">
        <v>42491</v>
      </c>
      <c r="G171" s="241">
        <v>42309</v>
      </c>
      <c r="H171" s="241">
        <v>42491</v>
      </c>
      <c r="I171" s="241">
        <v>42309</v>
      </c>
      <c r="J171" s="564"/>
    </row>
    <row r="172" spans="1:12" x14ac:dyDescent="0.25">
      <c r="A172" s="553"/>
      <c r="B172" s="553"/>
      <c r="C172" s="555"/>
      <c r="D172" s="242" t="s">
        <v>4727</v>
      </c>
      <c r="E172" s="243">
        <f>VLOOKUP(D171,ÍNDICES!A:G,7,0)</f>
        <v>0.998</v>
      </c>
      <c r="F172" s="242" t="s">
        <v>4727</v>
      </c>
      <c r="G172" s="243">
        <f>VLOOKUP(F171,ÍNDICES!A:G,7,0)</f>
        <v>0.998</v>
      </c>
      <c r="H172" s="242" t="s">
        <v>4727</v>
      </c>
      <c r="I172" s="243">
        <f>VLOOKUP(H171,ÍNDICES!A:G,7,0)</f>
        <v>0.998</v>
      </c>
      <c r="J172" s="565"/>
    </row>
    <row r="173" spans="1:12" ht="45" x14ac:dyDescent="0.25">
      <c r="A173" s="244" t="s">
        <v>4997</v>
      </c>
      <c r="B173" s="245" t="str">
        <f>VLOOKUP(A173,INSUMOS!B:D,3,0)</f>
        <v>Fornecimento e Instalação de Estruturas de Madeira Laminada Colada, conforme projeto (Sede), incluindo ligações metálicas, produtos, acabamentos e frete</v>
      </c>
      <c r="C173" s="246" t="str">
        <f>VLOOKUP(A173,INSUMOS!B:E,4,0)</f>
        <v>cj</v>
      </c>
      <c r="D173" s="247">
        <v>790617</v>
      </c>
      <c r="E173" s="247">
        <f t="shared" ref="E173:E175" si="31">D173*$E$172</f>
        <v>789035.76599999995</v>
      </c>
      <c r="F173" s="428">
        <v>767900</v>
      </c>
      <c r="G173" s="247">
        <f>F173*$G$172</f>
        <v>766364.2</v>
      </c>
      <c r="H173" s="247">
        <f>362131.9+86229.6+28000+18000+367500</f>
        <v>861861.5</v>
      </c>
      <c r="I173" s="247">
        <f>H173*$I$172</f>
        <v>860137.777</v>
      </c>
      <c r="J173" s="247">
        <f t="shared" ref="J173:J175" si="32">MEDIAN(I173,G173,E173)</f>
        <v>789035.76599999995</v>
      </c>
      <c r="L173" s="320"/>
    </row>
    <row r="174" spans="1:12" ht="45" x14ac:dyDescent="0.25">
      <c r="A174" s="244" t="s">
        <v>4998</v>
      </c>
      <c r="B174" s="245" t="str">
        <f>VLOOKUP(A174,INSUMOS!B:D,3,0)</f>
        <v>Fornecimento e Instalação de Estruturas de Madeira Laminada Colada, conforme projeto (Una), incluindo ligações metálicas, produtos, acabamentos e frete</v>
      </c>
      <c r="C174" s="246" t="str">
        <f>VLOOKUP(A174,INSUMOS!B:E,4,0)</f>
        <v>cj</v>
      </c>
      <c r="D174" s="247">
        <v>410734</v>
      </c>
      <c r="E174" s="247">
        <f t="shared" si="31"/>
        <v>409912.53200000001</v>
      </c>
      <c r="F174" s="428">
        <v>490700</v>
      </c>
      <c r="G174" s="247">
        <f t="shared" ref="G174:G176" si="33">F174*$G$172</f>
        <v>489718.6</v>
      </c>
      <c r="H174" s="247">
        <f>257478+58618.6+20000+15000+200900</f>
        <v>551996.6</v>
      </c>
      <c r="I174" s="247">
        <f t="shared" ref="I174:I176" si="34">H174*$I$172</f>
        <v>550892.60679999995</v>
      </c>
      <c r="J174" s="247">
        <f t="shared" si="32"/>
        <v>489718.6</v>
      </c>
    </row>
    <row r="175" spans="1:12" ht="45" x14ac:dyDescent="0.25">
      <c r="A175" s="244" t="s">
        <v>4999</v>
      </c>
      <c r="B175" s="245" t="str">
        <f>VLOOKUP(A175,INSUMOS!B:D,3,0)</f>
        <v>Fornecimento e Instalação de Estruturas de Madeira Laminada Colada, conforme projeto (Despraiado), incluindo ligações metálicas, produtos, acabamentos e frete</v>
      </c>
      <c r="C175" s="246" t="str">
        <f>VLOOKUP(A175,INSUMOS!B:E,4,0)</f>
        <v>cj</v>
      </c>
      <c r="D175" s="247">
        <v>410734</v>
      </c>
      <c r="E175" s="247">
        <f t="shared" si="31"/>
        <v>409912.53200000001</v>
      </c>
      <c r="F175" s="428">
        <v>490700</v>
      </c>
      <c r="G175" s="247">
        <f t="shared" si="33"/>
        <v>489718.6</v>
      </c>
      <c r="H175" s="247">
        <f>257478+58618.6+20000+15000+200900</f>
        <v>551996.6</v>
      </c>
      <c r="I175" s="247">
        <f t="shared" si="34"/>
        <v>550892.60679999995</v>
      </c>
      <c r="J175" s="247">
        <f t="shared" si="32"/>
        <v>489718.6</v>
      </c>
    </row>
    <row r="176" spans="1:12" ht="45" x14ac:dyDescent="0.25">
      <c r="A176" s="244" t="s">
        <v>5000</v>
      </c>
      <c r="B176" s="245" t="str">
        <f>VLOOKUP(A176,INSUMOS!B:D,3,0)</f>
        <v>Fornecimento e Instalação de Estruturas de Madeira Laminada Colada, conforme projeto (Prelado), incluindo ligações metálicas, produtos, acabamentos e frete</v>
      </c>
      <c r="C176" s="246" t="str">
        <f>VLOOKUP(A176,INSUMOS!B:E,4,0)</f>
        <v>cj</v>
      </c>
      <c r="D176" s="247">
        <v>410734</v>
      </c>
      <c r="E176" s="247">
        <f t="shared" ref="E176" si="35">D176*$E$172</f>
        <v>409912.53200000001</v>
      </c>
      <c r="F176" s="428">
        <v>490700</v>
      </c>
      <c r="G176" s="247">
        <f t="shared" si="33"/>
        <v>489718.6</v>
      </c>
      <c r="H176" s="247">
        <f>257478+58618.6+20000+15000+200900</f>
        <v>551996.6</v>
      </c>
      <c r="I176" s="247">
        <f t="shared" si="34"/>
        <v>550892.60679999995</v>
      </c>
      <c r="J176" s="247">
        <f t="shared" ref="J176" si="36">MEDIAN(I176,G176,E176)</f>
        <v>489718.6</v>
      </c>
    </row>
    <row r="177" spans="1:10" x14ac:dyDescent="0.25">
      <c r="A177" s="316"/>
      <c r="B177" s="317"/>
      <c r="C177" s="317"/>
      <c r="D177" s="317"/>
      <c r="E177" s="317"/>
      <c r="F177" s="317"/>
      <c r="G177" s="317"/>
      <c r="H177" s="317"/>
      <c r="I177" s="317"/>
      <c r="J177" s="318"/>
    </row>
    <row r="178" spans="1:10" ht="117" customHeight="1" x14ac:dyDescent="0.25">
      <c r="A178" s="553" t="s">
        <v>4719</v>
      </c>
      <c r="B178" s="553" t="s">
        <v>12</v>
      </c>
      <c r="C178" s="554" t="s">
        <v>4720</v>
      </c>
      <c r="D178" s="561" t="s">
        <v>5510</v>
      </c>
      <c r="E178" s="552"/>
      <c r="F178" s="551" t="s">
        <v>5520</v>
      </c>
      <c r="G178" s="552"/>
      <c r="H178" s="551" t="s">
        <v>5518</v>
      </c>
      <c r="I178" s="552"/>
      <c r="J178" s="563" t="s">
        <v>4724</v>
      </c>
    </row>
    <row r="179" spans="1:10" x14ac:dyDescent="0.25">
      <c r="A179" s="553"/>
      <c r="B179" s="553"/>
      <c r="C179" s="555"/>
      <c r="D179" s="240" t="s">
        <v>4725</v>
      </c>
      <c r="E179" s="240" t="s">
        <v>4726</v>
      </c>
      <c r="F179" s="240" t="s">
        <v>4725</v>
      </c>
      <c r="G179" s="240" t="s">
        <v>4726</v>
      </c>
      <c r="H179" s="240" t="s">
        <v>4725</v>
      </c>
      <c r="I179" s="240" t="s">
        <v>4726</v>
      </c>
      <c r="J179" s="564"/>
    </row>
    <row r="180" spans="1:10" x14ac:dyDescent="0.25">
      <c r="A180" s="553"/>
      <c r="B180" s="553"/>
      <c r="C180" s="555"/>
      <c r="D180" s="241">
        <v>42491</v>
      </c>
      <c r="E180" s="241">
        <v>42309</v>
      </c>
      <c r="F180" s="241">
        <v>42491</v>
      </c>
      <c r="G180" s="241">
        <v>42309</v>
      </c>
      <c r="H180" s="241">
        <v>42491</v>
      </c>
      <c r="I180" s="241">
        <v>42309</v>
      </c>
      <c r="J180" s="564"/>
    </row>
    <row r="181" spans="1:10" x14ac:dyDescent="0.25">
      <c r="A181" s="553"/>
      <c r="B181" s="553"/>
      <c r="C181" s="555"/>
      <c r="D181" s="242" t="s">
        <v>4727</v>
      </c>
      <c r="E181" s="243">
        <f>VLOOKUP(D180,ÍNDICES!A:G,7,0)</f>
        <v>0.998</v>
      </c>
      <c r="F181" s="242" t="s">
        <v>4727</v>
      </c>
      <c r="G181" s="243">
        <f>VLOOKUP(F180,ÍNDICES!A:G,7,0)</f>
        <v>0.998</v>
      </c>
      <c r="H181" s="242" t="s">
        <v>4727</v>
      </c>
      <c r="I181" s="243">
        <f>VLOOKUP(H180,ÍNDICES!A:G,7,0)</f>
        <v>0.998</v>
      </c>
      <c r="J181" s="565"/>
    </row>
    <row r="182" spans="1:10" ht="30" x14ac:dyDescent="0.25">
      <c r="A182" s="244" t="s">
        <v>5002</v>
      </c>
      <c r="B182" s="245" t="str">
        <f>VLOOKUP(A182,INSUMOS!B:D,3,0)</f>
        <v>Sistema de Tratamento de Esgoto ref. MF-1600 da Mizumo ou equivalente técnico</v>
      </c>
      <c r="C182" s="246" t="str">
        <f>VLOOKUP(A182,INSUMOS!B:E,4,0)</f>
        <v>cj</v>
      </c>
      <c r="D182" s="247">
        <v>17500</v>
      </c>
      <c r="E182" s="247">
        <f>D182*$E$181</f>
        <v>17465</v>
      </c>
      <c r="F182" s="428">
        <f>127827/3</f>
        <v>42609</v>
      </c>
      <c r="G182" s="247">
        <f>F182*$G$181</f>
        <v>42523.781999999999</v>
      </c>
      <c r="H182" s="428"/>
      <c r="I182" s="247"/>
      <c r="J182" s="247">
        <f t="shared" ref="J182" si="37">MEDIAN(I182,G182,E182)</f>
        <v>29994.391</v>
      </c>
    </row>
    <row r="183" spans="1:10" ht="30" x14ac:dyDescent="0.25">
      <c r="A183" s="244" t="s">
        <v>5003</v>
      </c>
      <c r="B183" s="245" t="str">
        <f>VLOOKUP(A183,INSUMOS!B:D,3,0)</f>
        <v>Sistema de Tratamento de Esgoto ref. MF-3200 da Mizumo ou equivalente técnico</v>
      </c>
      <c r="C183" s="246" t="str">
        <f>VLOOKUP(A183,INSUMOS!B:E,4,0)</f>
        <v>cj</v>
      </c>
      <c r="D183" s="247">
        <v>34000</v>
      </c>
      <c r="E183" s="247">
        <f>D183*$E$181</f>
        <v>33932</v>
      </c>
      <c r="F183" s="428">
        <v>63780</v>
      </c>
      <c r="G183" s="247">
        <f>F183*$G$181</f>
        <v>63652.44</v>
      </c>
      <c r="H183" s="428"/>
      <c r="I183" s="247"/>
      <c r="J183" s="247">
        <f t="shared" ref="J183" si="38">MEDIAN(I183,G183,E183)</f>
        <v>48792.22</v>
      </c>
    </row>
    <row r="184" spans="1:10" ht="29.25" customHeight="1" x14ac:dyDescent="0.25">
      <c r="A184" s="335" t="s">
        <v>5383</v>
      </c>
      <c r="B184" s="566" t="s">
        <v>5530</v>
      </c>
      <c r="C184" s="566"/>
      <c r="D184" s="566"/>
      <c r="E184" s="566"/>
      <c r="F184" s="566"/>
      <c r="G184" s="566"/>
      <c r="H184" s="566"/>
      <c r="I184" s="566"/>
      <c r="J184" s="567"/>
    </row>
    <row r="185" spans="1:10" x14ac:dyDescent="0.25">
      <c r="A185" s="316"/>
      <c r="B185" s="317"/>
      <c r="C185" s="317"/>
      <c r="D185" s="317"/>
      <c r="E185" s="317"/>
      <c r="F185" s="317"/>
      <c r="G185" s="317"/>
      <c r="H185" s="317"/>
      <c r="I185" s="317"/>
      <c r="J185" s="318"/>
    </row>
  </sheetData>
  <mergeCells count="147">
    <mergeCell ref="A108:A112"/>
    <mergeCell ref="B108:B112"/>
    <mergeCell ref="C108:C112"/>
    <mergeCell ref="D108:E108"/>
    <mergeCell ref="F108:G108"/>
    <mergeCell ref="H108:I108"/>
    <mergeCell ref="J108:J112"/>
    <mergeCell ref="A101:A105"/>
    <mergeCell ref="B101:B105"/>
    <mergeCell ref="C101:C105"/>
    <mergeCell ref="D101:E101"/>
    <mergeCell ref="F101:G101"/>
    <mergeCell ref="H101:I101"/>
    <mergeCell ref="J101:J105"/>
    <mergeCell ref="D102:E102"/>
    <mergeCell ref="F102:G102"/>
    <mergeCell ref="H102:I102"/>
    <mergeCell ref="J178:J181"/>
    <mergeCell ref="B184:J184"/>
    <mergeCell ref="F136:G136"/>
    <mergeCell ref="H156:I156"/>
    <mergeCell ref="A163:A167"/>
    <mergeCell ref="A155:A159"/>
    <mergeCell ref="A178:A181"/>
    <mergeCell ref="B178:B181"/>
    <mergeCell ref="C178:C181"/>
    <mergeCell ref="D178:E178"/>
    <mergeCell ref="F178:G178"/>
    <mergeCell ref="H178:I178"/>
    <mergeCell ref="D156:E156"/>
    <mergeCell ref="F156:G156"/>
    <mergeCell ref="J169:J172"/>
    <mergeCell ref="F144:G144"/>
    <mergeCell ref="H144:I144"/>
    <mergeCell ref="A143:A147"/>
    <mergeCell ref="B163:B167"/>
    <mergeCell ref="C163:C167"/>
    <mergeCell ref="D163:E163"/>
    <mergeCell ref="F163:G163"/>
    <mergeCell ref="H163:I163"/>
    <mergeCell ref="J163:J167"/>
    <mergeCell ref="F169:G169"/>
    <mergeCell ref="H169:I169"/>
    <mergeCell ref="A89:A93"/>
    <mergeCell ref="B89:B93"/>
    <mergeCell ref="C89:C93"/>
    <mergeCell ref="D89:E89"/>
    <mergeCell ref="F89:G89"/>
    <mergeCell ref="H89:I89"/>
    <mergeCell ref="H116:I116"/>
    <mergeCell ref="H127:I127"/>
    <mergeCell ref="H136:I136"/>
    <mergeCell ref="H143:I143"/>
    <mergeCell ref="A169:A172"/>
    <mergeCell ref="B169:B172"/>
    <mergeCell ref="C169:C172"/>
    <mergeCell ref="A136:A140"/>
    <mergeCell ref="B136:B140"/>
    <mergeCell ref="C136:C140"/>
    <mergeCell ref="B143:B147"/>
    <mergeCell ref="C143:C147"/>
    <mergeCell ref="D143:E143"/>
    <mergeCell ref="F143:G143"/>
    <mergeCell ref="D169:E169"/>
    <mergeCell ref="D136:E136"/>
    <mergeCell ref="B25:B29"/>
    <mergeCell ref="C25:C29"/>
    <mergeCell ref="D25:E25"/>
    <mergeCell ref="F25:G25"/>
    <mergeCell ref="H25:I25"/>
    <mergeCell ref="A57:A61"/>
    <mergeCell ref="B57:B61"/>
    <mergeCell ref="C57:C61"/>
    <mergeCell ref="D57:E57"/>
    <mergeCell ref="H57:I57"/>
    <mergeCell ref="D58:E58"/>
    <mergeCell ref="F58:G58"/>
    <mergeCell ref="H58:I58"/>
    <mergeCell ref="A25:A29"/>
    <mergeCell ref="F57:G57"/>
    <mergeCell ref="C2:G2"/>
    <mergeCell ref="A8:A12"/>
    <mergeCell ref="B8:B12"/>
    <mergeCell ref="C8:C12"/>
    <mergeCell ref="D8:E8"/>
    <mergeCell ref="F8:G8"/>
    <mergeCell ref="A15:A19"/>
    <mergeCell ref="B15:B19"/>
    <mergeCell ref="C15:C19"/>
    <mergeCell ref="D15:E15"/>
    <mergeCell ref="F15:G15"/>
    <mergeCell ref="D16:E16"/>
    <mergeCell ref="F16:G16"/>
    <mergeCell ref="J25:J29"/>
    <mergeCell ref="J8:J12"/>
    <mergeCell ref="D9:E9"/>
    <mergeCell ref="F9:G9"/>
    <mergeCell ref="H9:I9"/>
    <mergeCell ref="H8:I8"/>
    <mergeCell ref="H15:I15"/>
    <mergeCell ref="J15:J19"/>
    <mergeCell ref="H16:I16"/>
    <mergeCell ref="D26:E26"/>
    <mergeCell ref="F26:G26"/>
    <mergeCell ref="H26:I26"/>
    <mergeCell ref="F128:G128"/>
    <mergeCell ref="H128:I128"/>
    <mergeCell ref="F117:G117"/>
    <mergeCell ref="J143:J147"/>
    <mergeCell ref="D144:E144"/>
    <mergeCell ref="D137:E137"/>
    <mergeCell ref="F137:G137"/>
    <mergeCell ref="H137:I137"/>
    <mergeCell ref="B99:J99"/>
    <mergeCell ref="J57:J61"/>
    <mergeCell ref="J136:J140"/>
    <mergeCell ref="A127:A131"/>
    <mergeCell ref="B127:B131"/>
    <mergeCell ref="C127:C131"/>
    <mergeCell ref="D127:E127"/>
    <mergeCell ref="F127:G127"/>
    <mergeCell ref="H117:I117"/>
    <mergeCell ref="A116:A120"/>
    <mergeCell ref="B116:B120"/>
    <mergeCell ref="C116:C120"/>
    <mergeCell ref="D116:E116"/>
    <mergeCell ref="F116:G116"/>
    <mergeCell ref="D117:E117"/>
    <mergeCell ref="D128:E128"/>
    <mergeCell ref="H90:I90"/>
    <mergeCell ref="J116:J120"/>
    <mergeCell ref="J127:J131"/>
    <mergeCell ref="J89:J93"/>
    <mergeCell ref="D90:E90"/>
    <mergeCell ref="F90:G90"/>
    <mergeCell ref="D109:E109"/>
    <mergeCell ref="F109:G109"/>
    <mergeCell ref="H109:I109"/>
    <mergeCell ref="D164:E164"/>
    <mergeCell ref="F164:G164"/>
    <mergeCell ref="H164:I164"/>
    <mergeCell ref="B155:B159"/>
    <mergeCell ref="C155:C159"/>
    <mergeCell ref="D155:E155"/>
    <mergeCell ref="F155:G155"/>
    <mergeCell ref="H155:I155"/>
    <mergeCell ref="J155:J159"/>
  </mergeCells>
  <printOptions horizontalCentered="1"/>
  <pageMargins left="0.51181102362204722" right="0.51181102362204722" top="0.78740157480314965" bottom="0.78740157480314965" header="0.31496062992125984" footer="0.31496062992125984"/>
  <pageSetup paperSize="9" scale="35" fitToHeight="7" orientation="portrait" r:id="rId1"/>
  <rowBreaks count="9" manualBreakCount="9">
    <brk id="24" max="16383" man="1"/>
    <brk id="56" max="16383" man="1"/>
    <brk id="88" max="16383" man="1"/>
    <brk id="107" max="16383" man="1"/>
    <brk id="126" max="16383" man="1"/>
    <brk id="142" max="16383" man="1"/>
    <brk id="154" max="16383" man="1"/>
    <brk id="168" max="9" man="1"/>
    <brk id="177" max="16383" man="1"/>
  </rowBreaks>
  <ignoredErrors>
    <ignoredError sqref="G182:G183 D52 F132:F134"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K49"/>
  <sheetViews>
    <sheetView tabSelected="1" view="pageBreakPreview" zoomScaleNormal="80" zoomScaleSheetLayoutView="100" workbookViewId="0">
      <selection activeCell="A41" sqref="A41:C41"/>
    </sheetView>
  </sheetViews>
  <sheetFormatPr defaultRowHeight="15" x14ac:dyDescent="0.25"/>
  <cols>
    <col min="1" max="2" width="15.7109375" customWidth="1"/>
    <col min="3" max="3" width="32.28515625" style="288" customWidth="1"/>
    <col min="4" max="4" width="51.85546875" customWidth="1"/>
    <col min="5" max="8" width="15.7109375" customWidth="1"/>
    <col min="9" max="9" width="20.7109375" customWidth="1"/>
  </cols>
  <sheetData>
    <row r="1" spans="1:11" x14ac:dyDescent="0.25">
      <c r="A1" s="44"/>
      <c r="B1" s="302"/>
      <c r="C1" s="286"/>
      <c r="D1" s="45"/>
      <c r="E1" s="45"/>
      <c r="F1" s="47"/>
      <c r="G1" s="45"/>
      <c r="H1" s="45"/>
      <c r="I1" s="65"/>
    </row>
    <row r="2" spans="1:11" ht="36" customHeight="1" x14ac:dyDescent="0.25">
      <c r="A2" s="66"/>
      <c r="B2" s="303"/>
      <c r="C2" s="509" t="s">
        <v>35</v>
      </c>
      <c r="D2" s="509"/>
      <c r="E2" s="509"/>
      <c r="F2" s="509"/>
      <c r="G2" s="509"/>
      <c r="H2" s="84">
        <f>'PO-SEDE'!G2</f>
        <v>0</v>
      </c>
      <c r="I2" s="85"/>
    </row>
    <row r="3" spans="1:11" ht="18.75" x14ac:dyDescent="0.25">
      <c r="A3" s="66"/>
      <c r="B3" s="303"/>
      <c r="C3" s="68" t="s">
        <v>36</v>
      </c>
      <c r="D3" s="68"/>
      <c r="E3" s="68"/>
      <c r="F3" s="69"/>
      <c r="G3" s="83" t="s">
        <v>1</v>
      </c>
      <c r="H3" s="86" t="s">
        <v>2</v>
      </c>
      <c r="I3" s="85" t="str">
        <f>'PO-SEDE'!H3</f>
        <v>Rev. 01</v>
      </c>
    </row>
    <row r="4" spans="1:11" ht="18.75" x14ac:dyDescent="0.25">
      <c r="A4" s="66"/>
      <c r="B4" s="303"/>
      <c r="C4" s="68" t="s">
        <v>4</v>
      </c>
      <c r="D4" s="68"/>
      <c r="E4" s="68"/>
      <c r="F4" s="69"/>
      <c r="G4" s="83" t="s">
        <v>5</v>
      </c>
      <c r="H4" s="87" t="str">
        <f>'PO-SEDE'!G5</f>
        <v>A 116.079-6</v>
      </c>
      <c r="I4" s="88" t="s">
        <v>7</v>
      </c>
    </row>
    <row r="5" spans="1:11" ht="18.75" x14ac:dyDescent="0.25">
      <c r="A5" s="66"/>
      <c r="B5" s="303"/>
      <c r="C5" s="68" t="s">
        <v>5416</v>
      </c>
      <c r="D5" s="68"/>
      <c r="E5" s="68"/>
      <c r="F5" s="69"/>
      <c r="G5" s="83" t="s">
        <v>8</v>
      </c>
      <c r="H5" s="87">
        <f>'PO-SEDE'!G6</f>
        <v>4774233</v>
      </c>
      <c r="I5" s="90">
        <f>'PO-SEDE'!H6</f>
        <v>43040</v>
      </c>
    </row>
    <row r="6" spans="1:11" x14ac:dyDescent="0.25">
      <c r="A6" s="50"/>
      <c r="B6" s="295"/>
      <c r="C6" s="287"/>
      <c r="D6" s="51"/>
      <c r="E6" s="51"/>
      <c r="F6" s="70"/>
      <c r="G6" s="51"/>
      <c r="H6" s="71"/>
      <c r="I6" s="72" t="s">
        <v>4401</v>
      </c>
    </row>
    <row r="7" spans="1:11" ht="5.0999999999999996" customHeight="1" x14ac:dyDescent="0.25">
      <c r="A7" s="50"/>
      <c r="B7" s="295"/>
      <c r="C7" s="287"/>
      <c r="D7" s="51"/>
      <c r="E7" s="51"/>
      <c r="F7" s="70"/>
      <c r="G7" s="51"/>
      <c r="H7" s="71"/>
      <c r="I7" s="72"/>
    </row>
    <row r="8" spans="1:11" x14ac:dyDescent="0.25">
      <c r="A8" s="259" t="s">
        <v>4774</v>
      </c>
      <c r="B8" s="297"/>
      <c r="C8" s="579" t="s">
        <v>4775</v>
      </c>
      <c r="D8" s="580"/>
      <c r="E8" s="580"/>
      <c r="F8" s="580"/>
      <c r="G8" s="581"/>
      <c r="H8" s="296" t="s">
        <v>13</v>
      </c>
      <c r="I8" s="296" t="s">
        <v>4745</v>
      </c>
    </row>
    <row r="9" spans="1:11" ht="40.5" customHeight="1" x14ac:dyDescent="0.25">
      <c r="A9" s="259" t="s">
        <v>4715</v>
      </c>
      <c r="B9" s="259" t="s">
        <v>4739</v>
      </c>
      <c r="C9" s="574" t="s">
        <v>5420</v>
      </c>
      <c r="D9" s="574"/>
      <c r="E9" s="574"/>
      <c r="F9" s="574"/>
      <c r="G9" s="574"/>
      <c r="H9" s="259" t="s">
        <v>4798</v>
      </c>
      <c r="I9" s="301">
        <f>I45</f>
        <v>199154.69</v>
      </c>
    </row>
    <row r="10" spans="1:11" x14ac:dyDescent="0.25">
      <c r="A10" s="300" t="s">
        <v>4776</v>
      </c>
      <c r="B10" s="304"/>
      <c r="C10" s="298"/>
      <c r="D10" s="298"/>
      <c r="E10" s="298"/>
      <c r="F10" s="298"/>
      <c r="G10" s="298"/>
      <c r="H10" s="5"/>
      <c r="I10" s="299"/>
    </row>
    <row r="11" spans="1:11" x14ac:dyDescent="0.25">
      <c r="A11" s="260" t="s">
        <v>4741</v>
      </c>
      <c r="B11" s="305"/>
      <c r="C11" s="289"/>
      <c r="D11" s="261"/>
      <c r="E11" s="261"/>
      <c r="F11" s="261"/>
      <c r="G11" s="261"/>
      <c r="H11" s="261"/>
      <c r="I11" s="262"/>
    </row>
    <row r="12" spans="1:11" x14ac:dyDescent="0.25">
      <c r="A12" s="577" t="s">
        <v>4778</v>
      </c>
      <c r="B12" s="577" t="s">
        <v>11</v>
      </c>
      <c r="C12" s="576" t="s">
        <v>4775</v>
      </c>
      <c r="D12" s="577" t="s">
        <v>4742</v>
      </c>
      <c r="E12" s="578"/>
      <c r="F12" s="263" t="s">
        <v>4743</v>
      </c>
      <c r="G12" s="577" t="s">
        <v>4744</v>
      </c>
      <c r="H12" s="568" t="s">
        <v>5415</v>
      </c>
      <c r="I12" s="568" t="s">
        <v>4745</v>
      </c>
    </row>
    <row r="13" spans="1:11" x14ac:dyDescent="0.25">
      <c r="A13" s="577"/>
      <c r="B13" s="577"/>
      <c r="C13" s="576"/>
      <c r="D13" s="264" t="s">
        <v>5417</v>
      </c>
      <c r="E13" s="30" t="s">
        <v>4750</v>
      </c>
      <c r="F13" s="265" t="s">
        <v>4746</v>
      </c>
      <c r="G13" s="577"/>
      <c r="H13" s="569"/>
      <c r="I13" s="569"/>
    </row>
    <row r="14" spans="1:11" x14ac:dyDescent="0.25">
      <c r="A14" s="266"/>
      <c r="B14" s="306"/>
      <c r="C14" s="290" t="s">
        <v>5418</v>
      </c>
      <c r="D14" s="267"/>
      <c r="E14" s="267"/>
      <c r="F14" s="267"/>
      <c r="G14" s="267"/>
      <c r="H14" s="268"/>
      <c r="I14" s="269">
        <f>SUBTOTAL(9,I15:I16)</f>
        <v>123282.59</v>
      </c>
    </row>
    <row r="15" spans="1:11" ht="30" customHeight="1" x14ac:dyDescent="0.25">
      <c r="A15" s="15" t="s">
        <v>4398</v>
      </c>
      <c r="B15" s="15">
        <v>20705</v>
      </c>
      <c r="C15" s="291" t="str">
        <f>IF(B15="","",(VLOOKUP(A15&amp;B15,INSUMOS!C:G,2,0)))</f>
        <v>Engenheiro junior de civil mão-de-obra consultiva</v>
      </c>
      <c r="D15" s="20">
        <f t="shared" ref="D15:D16" si="0">IF(B15="","",E15*166)</f>
        <v>21480.400000000001</v>
      </c>
      <c r="E15" s="20">
        <f>IF(B15="","",VLOOKUP(A15&amp;B15,INSUMOS!C:G,4,0))</f>
        <v>129.4</v>
      </c>
      <c r="F15" s="271">
        <f>16*10</f>
        <v>160</v>
      </c>
      <c r="G15" s="20">
        <f t="shared" ref="G15:G16" si="1">IF(B15="","",TRUNC(F15*E15,2))</f>
        <v>20704</v>
      </c>
      <c r="H15" s="572">
        <f>'K1'!H32</f>
        <v>3.3626806538737561</v>
      </c>
      <c r="I15" s="20">
        <f>IF(B15="","",TRUNC(G15*$H$15,2))</f>
        <v>69620.94</v>
      </c>
      <c r="K15" s="320"/>
    </row>
    <row r="16" spans="1:11" ht="30" customHeight="1" x14ac:dyDescent="0.25">
      <c r="A16" s="15" t="s">
        <v>4398</v>
      </c>
      <c r="B16" s="15">
        <v>20717</v>
      </c>
      <c r="C16" s="291" t="str">
        <f>IF(B16="","",(VLOOKUP(A16&amp;B16,INSUMOS!C:G,2,0)))</f>
        <v>Projetista pleno - nível técnico - mão-de-obra consultiva</v>
      </c>
      <c r="D16" s="20">
        <f t="shared" si="0"/>
        <v>13245.140000000001</v>
      </c>
      <c r="E16" s="20">
        <f>IF(B16="","",VLOOKUP(A16&amp;B16,INSUMOS!C:G,4,0))</f>
        <v>79.790000000000006</v>
      </c>
      <c r="F16" s="271">
        <f>20*10</f>
        <v>200</v>
      </c>
      <c r="G16" s="20">
        <f t="shared" si="1"/>
        <v>15958</v>
      </c>
      <c r="H16" s="573"/>
      <c r="I16" s="20">
        <f>IF(B16="","",TRUNC(G16*$H$15,2))</f>
        <v>53661.65</v>
      </c>
      <c r="K16" s="320"/>
    </row>
    <row r="17" spans="1:11" x14ac:dyDescent="0.25">
      <c r="A17" s="272" t="s">
        <v>4747</v>
      </c>
      <c r="B17" s="307"/>
      <c r="C17" s="292"/>
      <c r="D17" s="4"/>
      <c r="E17" s="4"/>
      <c r="F17" s="4"/>
      <c r="G17" s="273"/>
      <c r="H17" s="273"/>
      <c r="I17" s="8">
        <f>SUBTOTAL(9,I14:I16)</f>
        <v>123282.59</v>
      </c>
    </row>
    <row r="18" spans="1:11" ht="5.0999999999999996" customHeight="1" x14ac:dyDescent="0.25">
      <c r="A18" s="274"/>
      <c r="B18" s="308"/>
      <c r="C18" s="233"/>
      <c r="D18" s="275"/>
      <c r="E18" s="275"/>
      <c r="F18" s="275"/>
      <c r="G18" s="276"/>
      <c r="H18" s="276"/>
      <c r="I18" s="277"/>
    </row>
    <row r="19" spans="1:11" x14ac:dyDescent="0.25">
      <c r="A19" s="260" t="s">
        <v>4797</v>
      </c>
      <c r="B19" s="305"/>
      <c r="C19" s="289"/>
      <c r="D19" s="261"/>
      <c r="E19" s="261"/>
      <c r="F19" s="261"/>
      <c r="G19" s="261"/>
      <c r="H19" s="261"/>
      <c r="I19" s="262"/>
    </row>
    <row r="20" spans="1:11" x14ac:dyDescent="0.25">
      <c r="A20" s="577" t="s">
        <v>4778</v>
      </c>
      <c r="B20" s="577" t="s">
        <v>11</v>
      </c>
      <c r="C20" s="576" t="s">
        <v>4775</v>
      </c>
      <c r="D20" s="577" t="s">
        <v>4742</v>
      </c>
      <c r="E20" s="578"/>
      <c r="F20" s="263" t="s">
        <v>4743</v>
      </c>
      <c r="G20" s="577" t="s">
        <v>4744</v>
      </c>
      <c r="H20" s="568" t="s">
        <v>4748</v>
      </c>
      <c r="I20" s="568" t="s">
        <v>4745</v>
      </c>
    </row>
    <row r="21" spans="1:11" x14ac:dyDescent="0.25">
      <c r="A21" s="577"/>
      <c r="B21" s="577"/>
      <c r="C21" s="576"/>
      <c r="D21" s="264" t="s">
        <v>4749</v>
      </c>
      <c r="E21" s="30" t="s">
        <v>4750</v>
      </c>
      <c r="F21" s="265" t="s">
        <v>4746</v>
      </c>
      <c r="G21" s="577"/>
      <c r="H21" s="569"/>
      <c r="I21" s="569"/>
    </row>
    <row r="22" spans="1:11" ht="30" customHeight="1" x14ac:dyDescent="0.25">
      <c r="A22" s="15" t="s">
        <v>4398</v>
      </c>
      <c r="B22" s="309">
        <v>20702</v>
      </c>
      <c r="C22" s="291" t="str">
        <f>IF(B22="","",(VLOOKUP(A22&amp;B22,INSUMOS!C:G,2,0)))</f>
        <v>Coordenador mão-de-obra consultiva</v>
      </c>
      <c r="D22" s="278">
        <f t="shared" ref="D22:D24" si="2">IF(B22="","",E22*166)</f>
        <v>64724.894</v>
      </c>
      <c r="E22" s="278">
        <f>IF(B22="","",VLOOKUP(A22&amp;B22,INSUMOS!C:G,4,0))</f>
        <v>389.90899999999999</v>
      </c>
      <c r="F22" s="271">
        <v>24</v>
      </c>
      <c r="G22" s="271">
        <f t="shared" ref="G22:G24" si="3">IF(B22="","",TRUNC(F22*E22,2))</f>
        <v>9357.81</v>
      </c>
      <c r="H22" s="572">
        <f>'K2'!C39</f>
        <v>1.7104225352112676</v>
      </c>
      <c r="I22" s="271">
        <f>IF(B22="","",TRUNC(G22*H22,2))</f>
        <v>16005.8</v>
      </c>
      <c r="K22" s="320"/>
    </row>
    <row r="23" spans="1:11" ht="30" customHeight="1" x14ac:dyDescent="0.25">
      <c r="A23" s="15" t="s">
        <v>4398</v>
      </c>
      <c r="B23" s="15">
        <v>20739</v>
      </c>
      <c r="C23" s="291" t="str">
        <f>IF(B23="","",(VLOOKUP(A23&amp;B23,INSUMOS!C:G,2,0)))</f>
        <v>Engenheiro / arquiteto senior - mão-de-obra consultiva</v>
      </c>
      <c r="D23" s="20">
        <f t="shared" si="2"/>
        <v>41770.58</v>
      </c>
      <c r="E23" s="20">
        <f>IF(B23="","",VLOOKUP(A23&amp;B23,INSUMOS!C:G,4,0))</f>
        <v>251.63</v>
      </c>
      <c r="F23" s="20">
        <v>24</v>
      </c>
      <c r="G23" s="20">
        <f t="shared" si="3"/>
        <v>6039.12</v>
      </c>
      <c r="H23" s="575"/>
      <c r="I23" s="271">
        <f>IF(B22="","",TRUNC(G23*H22,2))</f>
        <v>10329.44</v>
      </c>
      <c r="K23" s="320"/>
    </row>
    <row r="24" spans="1:11" ht="30" customHeight="1" x14ac:dyDescent="0.25">
      <c r="A24" s="15" t="s">
        <v>4398</v>
      </c>
      <c r="B24" s="15">
        <v>20720</v>
      </c>
      <c r="C24" s="291" t="str">
        <f>IF(B24="","",(VLOOKUP(A24&amp;B24,INSUMOS!C:G,2,0)))</f>
        <v>Desenhista pleno/cadista mão-de-obra consultiva</v>
      </c>
      <c r="D24" s="20">
        <f t="shared" si="2"/>
        <v>12005.119999999999</v>
      </c>
      <c r="E24" s="20">
        <f>IF(B24="","",VLOOKUP(A24&amp;B24,INSUMOS!C:G,4,0))</f>
        <v>72.319999999999993</v>
      </c>
      <c r="F24" s="20">
        <v>48</v>
      </c>
      <c r="G24" s="20">
        <f t="shared" si="3"/>
        <v>3471.36</v>
      </c>
      <c r="H24" s="575"/>
      <c r="I24" s="271">
        <f>IF(B24="","",TRUNC(G24*H22,2))</f>
        <v>5937.49</v>
      </c>
      <c r="K24" s="320"/>
    </row>
    <row r="25" spans="1:11" x14ac:dyDescent="0.25">
      <c r="A25" s="272" t="s">
        <v>4751</v>
      </c>
      <c r="B25" s="307"/>
      <c r="C25" s="292"/>
      <c r="D25" s="4"/>
      <c r="E25" s="4"/>
      <c r="F25" s="4"/>
      <c r="G25" s="273"/>
      <c r="H25" s="273"/>
      <c r="I25" s="8">
        <f>SUBTOTAL(9,I22:I24)</f>
        <v>32272.729999999996</v>
      </c>
    </row>
    <row r="26" spans="1:11" ht="5.0999999999999996" customHeight="1" x14ac:dyDescent="0.25">
      <c r="A26" s="274"/>
      <c r="B26" s="308"/>
      <c r="C26" s="233"/>
      <c r="D26" s="275"/>
      <c r="E26" s="275"/>
      <c r="F26" s="275"/>
      <c r="G26" s="276"/>
      <c r="H26" s="276"/>
      <c r="I26" s="277"/>
    </row>
    <row r="27" spans="1:11" x14ac:dyDescent="0.25">
      <c r="A27" s="260" t="s">
        <v>4752</v>
      </c>
      <c r="B27" s="305"/>
      <c r="C27" s="289"/>
      <c r="D27" s="261"/>
      <c r="E27" s="261"/>
      <c r="F27" s="261"/>
      <c r="G27" s="261"/>
      <c r="H27" s="261"/>
      <c r="I27" s="262"/>
    </row>
    <row r="28" spans="1:11" x14ac:dyDescent="0.25">
      <c r="A28" s="577" t="s">
        <v>4778</v>
      </c>
      <c r="B28" s="577" t="s">
        <v>11</v>
      </c>
      <c r="C28" s="576" t="s">
        <v>4775</v>
      </c>
      <c r="D28" s="585" t="s">
        <v>13</v>
      </c>
      <c r="E28" s="587" t="s">
        <v>14</v>
      </c>
      <c r="F28" s="578" t="s">
        <v>4753</v>
      </c>
      <c r="G28" s="589"/>
      <c r="H28" s="568" t="s">
        <v>4754</v>
      </c>
      <c r="I28" s="568" t="s">
        <v>4745</v>
      </c>
    </row>
    <row r="29" spans="1:11" x14ac:dyDescent="0.25">
      <c r="A29" s="577"/>
      <c r="B29" s="577"/>
      <c r="C29" s="576"/>
      <c r="D29" s="586"/>
      <c r="E29" s="588"/>
      <c r="F29" s="265" t="s">
        <v>4755</v>
      </c>
      <c r="G29" s="264" t="s">
        <v>4756</v>
      </c>
      <c r="H29" s="569"/>
      <c r="I29" s="569"/>
    </row>
    <row r="30" spans="1:11" x14ac:dyDescent="0.25">
      <c r="A30" s="279" t="s">
        <v>4803</v>
      </c>
      <c r="B30" s="310"/>
      <c r="C30" s="290"/>
      <c r="D30" s="267"/>
      <c r="E30" s="267"/>
      <c r="F30" s="267"/>
      <c r="G30" s="267"/>
      <c r="H30" s="268"/>
      <c r="I30" s="269">
        <f>SUBTOTAL(9,I31:I32)</f>
        <v>29269.88</v>
      </c>
    </row>
    <row r="31" spans="1:11" ht="60" x14ac:dyDescent="0.25">
      <c r="A31" s="15" t="s">
        <v>4398</v>
      </c>
      <c r="B31" s="15">
        <v>12701</v>
      </c>
      <c r="C31" s="291" t="str">
        <f>IF(B31="","",(VLOOKUP(A31&amp;B31,INSUMOS!C:G,2,0)))</f>
        <v>Projeto e implementação de gerenciamento integrado de resíduos sólidos e gestão de perdas</v>
      </c>
      <c r="D31" s="280" t="str">
        <f>IF(B31="","",(VLOOKUP(A31&amp;B31,INSUMOS!C:G,3,0)))</f>
        <v>un</v>
      </c>
      <c r="E31" s="281">
        <v>1</v>
      </c>
      <c r="F31" s="281">
        <f>IF(B31="","",VLOOKUP(A31&amp;B31,INSUMOS!C:G,4,0))</f>
        <v>8535.5499999999993</v>
      </c>
      <c r="G31" s="281">
        <f>IF(F31="","",TRUNC(F31*E31,2))</f>
        <v>8535.5499999999993</v>
      </c>
      <c r="H31" s="570">
        <f>'K3'!C33</f>
        <v>1.4253521126760562</v>
      </c>
      <c r="I31" s="283">
        <f>IF(F31="","",TRUNC(G31*$H$31,2))</f>
        <v>12166.16</v>
      </c>
    </row>
    <row r="32" spans="1:11" ht="30" x14ac:dyDescent="0.25">
      <c r="A32" s="15" t="s">
        <v>4398</v>
      </c>
      <c r="B32" s="15">
        <v>12703</v>
      </c>
      <c r="C32" s="291" t="str">
        <f>IF(B32="","",(VLOOKUP(A32&amp;B32,INSUMOS!C:G,2,0)))</f>
        <v>Projeto e implementação de controle ambiental das obras</v>
      </c>
      <c r="D32" s="282" t="str">
        <f>IF(B32="","",(VLOOKUP(A32&amp;B32,INSUMOS!C:G,3,0)))</f>
        <v>un</v>
      </c>
      <c r="E32" s="283">
        <v>1</v>
      </c>
      <c r="F32" s="283">
        <f>IF(B32="","",VLOOKUP(A32&amp;B32,INSUMOS!C:G,4,0))</f>
        <v>11999.65</v>
      </c>
      <c r="G32" s="283">
        <f t="shared" ref="G32" si="4">IF(F32="","",TRUNC(F32*E32,2))</f>
        <v>11999.65</v>
      </c>
      <c r="H32" s="571"/>
      <c r="I32" s="283">
        <f>IF(F32="","",TRUNC(G32*$H$31,2))</f>
        <v>17103.72</v>
      </c>
    </row>
    <row r="33" spans="1:9" x14ac:dyDescent="0.25">
      <c r="A33" s="279" t="s">
        <v>5408</v>
      </c>
      <c r="B33" s="310"/>
      <c r="C33" s="290"/>
      <c r="D33" s="267"/>
      <c r="E33" s="267"/>
      <c r="F33" s="267"/>
      <c r="G33" s="267"/>
      <c r="H33" s="268"/>
      <c r="I33" s="269">
        <f>SUBTOTAL(9,I34)</f>
        <v>7126.76</v>
      </c>
    </row>
    <row r="34" spans="1:9" ht="60" customHeight="1" x14ac:dyDescent="0.25">
      <c r="A34" s="15" t="s">
        <v>5412</v>
      </c>
      <c r="B34" s="15" t="s">
        <v>5411</v>
      </c>
      <c r="C34" s="291" t="str">
        <f>IF(B34="","",(VLOOKUP(A34&amp;B34,INSUMOS!C:G,2,0)))</f>
        <v>Solicitação e Acompanhamento para outorga de recursos hídricos junto ao DAEE</v>
      </c>
      <c r="D34" s="280" t="str">
        <f>IF(B34="","",(VLOOKUP(A34&amp;B34,INSUMOS!C:G,3,0)))</f>
        <v>vb</v>
      </c>
      <c r="E34" s="281">
        <v>1</v>
      </c>
      <c r="F34" s="281">
        <f>IF(B34="","",VLOOKUP(A34&amp;B34,INSUMOS!C:G,4,0))</f>
        <v>5000</v>
      </c>
      <c r="G34" s="281">
        <f>IF(F34="","",TRUNC(F34*E34,2))</f>
        <v>5000</v>
      </c>
      <c r="H34" s="341">
        <f>'K3'!C33</f>
        <v>1.4253521126760562</v>
      </c>
      <c r="I34" s="283">
        <f>IF(F34="","",TRUNC(G34*$H$34,2))</f>
        <v>7126.76</v>
      </c>
    </row>
    <row r="35" spans="1:9" x14ac:dyDescent="0.25">
      <c r="A35" s="272" t="s">
        <v>4758</v>
      </c>
      <c r="B35" s="307"/>
      <c r="C35" s="292"/>
      <c r="D35" s="4"/>
      <c r="E35" s="4"/>
      <c r="F35" s="4"/>
      <c r="G35" s="273"/>
      <c r="H35" s="273"/>
      <c r="I35" s="8">
        <f>SUBTOTAL(9,I30:I34)</f>
        <v>36396.639999999999</v>
      </c>
    </row>
    <row r="36" spans="1:9" x14ac:dyDescent="0.25">
      <c r="A36" s="274"/>
      <c r="B36" s="308"/>
      <c r="C36" s="233"/>
      <c r="D36" s="275"/>
      <c r="E36" s="275"/>
      <c r="F36" s="275"/>
      <c r="G36" s="276"/>
      <c r="H36" s="276"/>
      <c r="I36" s="277"/>
    </row>
    <row r="37" spans="1:9" x14ac:dyDescent="0.25">
      <c r="A37" s="260" t="s">
        <v>4759</v>
      </c>
      <c r="B37" s="305"/>
      <c r="C37" s="289"/>
      <c r="D37" s="261"/>
      <c r="E37" s="261"/>
      <c r="F37" s="261"/>
      <c r="G37" s="261"/>
      <c r="H37" s="261"/>
      <c r="I37" s="262"/>
    </row>
    <row r="38" spans="1:9" x14ac:dyDescent="0.25">
      <c r="A38" s="594" t="s">
        <v>12</v>
      </c>
      <c r="B38" s="585"/>
      <c r="C38" s="585"/>
      <c r="D38" s="585" t="s">
        <v>13</v>
      </c>
      <c r="E38" s="587" t="s">
        <v>14</v>
      </c>
      <c r="F38" s="578" t="s">
        <v>4753</v>
      </c>
      <c r="G38" s="589"/>
      <c r="H38" s="568" t="s">
        <v>4760</v>
      </c>
      <c r="I38" s="568" t="s">
        <v>4745</v>
      </c>
    </row>
    <row r="39" spans="1:9" x14ac:dyDescent="0.25">
      <c r="A39" s="595"/>
      <c r="B39" s="586"/>
      <c r="C39" s="586"/>
      <c r="D39" s="586"/>
      <c r="E39" s="588"/>
      <c r="F39" s="265" t="s">
        <v>4755</v>
      </c>
      <c r="G39" s="264" t="s">
        <v>4756</v>
      </c>
      <c r="H39" s="569"/>
      <c r="I39" s="569"/>
    </row>
    <row r="40" spans="1:9" x14ac:dyDescent="0.25">
      <c r="A40" s="582" t="s">
        <v>4761</v>
      </c>
      <c r="B40" s="583"/>
      <c r="C40" s="584" t="s">
        <v>4757</v>
      </c>
      <c r="D40" s="284" t="s">
        <v>13</v>
      </c>
      <c r="E40" s="20">
        <v>57</v>
      </c>
      <c r="F40" s="20">
        <v>19</v>
      </c>
      <c r="G40" s="20">
        <f t="shared" ref="G40:G42" si="5">TRUNC(F40*E40,2)</f>
        <v>1083</v>
      </c>
      <c r="H40" s="575">
        <f>'K4'!C33</f>
        <v>1.363380281690141</v>
      </c>
      <c r="I40" s="271">
        <f>TRUNC(G40*$H$40,2)</f>
        <v>1476.54</v>
      </c>
    </row>
    <row r="41" spans="1:9" x14ac:dyDescent="0.25">
      <c r="A41" s="598" t="s">
        <v>4762</v>
      </c>
      <c r="B41" s="599"/>
      <c r="C41" s="600" t="s">
        <v>4757</v>
      </c>
      <c r="D41" s="285" t="s">
        <v>4763</v>
      </c>
      <c r="E41" s="270">
        <v>4</v>
      </c>
      <c r="F41" s="270">
        <v>450</v>
      </c>
      <c r="G41" s="270">
        <f t="shared" si="5"/>
        <v>1800</v>
      </c>
      <c r="H41" s="575"/>
      <c r="I41" s="271">
        <f>TRUNC(G41*$H$40,2)</f>
        <v>2454.08</v>
      </c>
    </row>
    <row r="42" spans="1:9" x14ac:dyDescent="0.25">
      <c r="A42" s="598" t="s">
        <v>4764</v>
      </c>
      <c r="B42" s="599"/>
      <c r="C42" s="600" t="s">
        <v>4757</v>
      </c>
      <c r="D42" s="285" t="s">
        <v>4765</v>
      </c>
      <c r="E42" s="270">
        <f>E41*2</f>
        <v>8</v>
      </c>
      <c r="F42" s="270">
        <v>300</v>
      </c>
      <c r="G42" s="270">
        <f t="shared" si="5"/>
        <v>2400</v>
      </c>
      <c r="H42" s="575"/>
      <c r="I42" s="271">
        <f>TRUNC(G42*$H$40,2)</f>
        <v>3272.11</v>
      </c>
    </row>
    <row r="43" spans="1:9" x14ac:dyDescent="0.25">
      <c r="A43" s="272" t="s">
        <v>4766</v>
      </c>
      <c r="B43" s="307"/>
      <c r="C43" s="292"/>
      <c r="D43" s="4"/>
      <c r="E43" s="4"/>
      <c r="F43" s="4"/>
      <c r="G43" s="273"/>
      <c r="H43" s="273"/>
      <c r="I43" s="8">
        <f>SUBTOTAL(9,I40:I42)</f>
        <v>7202.73</v>
      </c>
    </row>
    <row r="44" spans="1:9" x14ac:dyDescent="0.25">
      <c r="A44" s="274"/>
      <c r="B44" s="308"/>
      <c r="C44" s="233"/>
      <c r="D44" s="275"/>
      <c r="E44" s="275"/>
      <c r="F44" s="275"/>
      <c r="G44" s="276"/>
      <c r="H44" s="276"/>
      <c r="I44" s="277"/>
    </row>
    <row r="45" spans="1:9" x14ac:dyDescent="0.25">
      <c r="A45" s="272" t="s">
        <v>4767</v>
      </c>
      <c r="B45" s="307"/>
      <c r="C45" s="292"/>
      <c r="D45" s="4"/>
      <c r="E45" s="4"/>
      <c r="F45" s="4"/>
      <c r="G45" s="273"/>
      <c r="H45" s="273"/>
      <c r="I45" s="8">
        <f>SUM(I43,I35,I25,I17)</f>
        <v>199154.69</v>
      </c>
    </row>
    <row r="46" spans="1:9" ht="27.75" customHeight="1" x14ac:dyDescent="0.25">
      <c r="A46" s="342"/>
      <c r="B46" s="343" t="s">
        <v>4768</v>
      </c>
      <c r="C46" s="596" t="s">
        <v>4771</v>
      </c>
      <c r="D46" s="596"/>
      <c r="E46" s="596"/>
      <c r="F46" s="596"/>
      <c r="G46" s="596"/>
      <c r="H46" s="596"/>
      <c r="I46" s="597"/>
    </row>
    <row r="47" spans="1:9" x14ac:dyDescent="0.25">
      <c r="A47" s="293"/>
      <c r="B47" s="311" t="s">
        <v>4769</v>
      </c>
      <c r="C47" s="590" t="s">
        <v>4793</v>
      </c>
      <c r="D47" s="590"/>
      <c r="E47" s="590"/>
      <c r="F47" s="590"/>
      <c r="G47" s="590"/>
      <c r="H47" s="590"/>
      <c r="I47" s="591"/>
    </row>
    <row r="48" spans="1:9" ht="15" customHeight="1" x14ac:dyDescent="0.25">
      <c r="A48" s="293"/>
      <c r="B48" s="311" t="s">
        <v>4770</v>
      </c>
      <c r="C48" s="590" t="s">
        <v>4773</v>
      </c>
      <c r="D48" s="590"/>
      <c r="E48" s="590"/>
      <c r="F48" s="590"/>
      <c r="G48" s="590"/>
      <c r="H48" s="590"/>
      <c r="I48" s="591"/>
    </row>
    <row r="49" spans="1:9" ht="15" customHeight="1" x14ac:dyDescent="0.25">
      <c r="A49" s="294"/>
      <c r="B49" s="312" t="s">
        <v>4772</v>
      </c>
      <c r="C49" s="592" t="s">
        <v>5419</v>
      </c>
      <c r="D49" s="592"/>
      <c r="E49" s="592"/>
      <c r="F49" s="592"/>
      <c r="G49" s="592"/>
      <c r="H49" s="592"/>
      <c r="I49" s="593"/>
    </row>
  </sheetData>
  <mergeCells count="42">
    <mergeCell ref="G12:G13"/>
    <mergeCell ref="C28:C29"/>
    <mergeCell ref="A20:A21"/>
    <mergeCell ref="C48:I48"/>
    <mergeCell ref="C49:I49"/>
    <mergeCell ref="A38:C39"/>
    <mergeCell ref="D38:D39"/>
    <mergeCell ref="E38:E39"/>
    <mergeCell ref="F38:G38"/>
    <mergeCell ref="H38:H39"/>
    <mergeCell ref="I38:I39"/>
    <mergeCell ref="C47:I47"/>
    <mergeCell ref="C46:I46"/>
    <mergeCell ref="H40:H42"/>
    <mergeCell ref="A41:C41"/>
    <mergeCell ref="A42:C42"/>
    <mergeCell ref="B12:B13"/>
    <mergeCell ref="B20:B21"/>
    <mergeCell ref="A40:C40"/>
    <mergeCell ref="D28:D29"/>
    <mergeCell ref="E28:E29"/>
    <mergeCell ref="A28:A29"/>
    <mergeCell ref="B28:B29"/>
    <mergeCell ref="A12:A13"/>
    <mergeCell ref="C12:C13"/>
    <mergeCell ref="D12:E12"/>
    <mergeCell ref="C2:G2"/>
    <mergeCell ref="I28:I29"/>
    <mergeCell ref="H31:H32"/>
    <mergeCell ref="H15:H16"/>
    <mergeCell ref="C9:G9"/>
    <mergeCell ref="H22:H24"/>
    <mergeCell ref="H28:H29"/>
    <mergeCell ref="H12:H13"/>
    <mergeCell ref="I12:I13"/>
    <mergeCell ref="C20:C21"/>
    <mergeCell ref="D20:E20"/>
    <mergeCell ref="G20:G21"/>
    <mergeCell ref="H20:H21"/>
    <mergeCell ref="I20:I21"/>
    <mergeCell ref="C8:G8"/>
    <mergeCell ref="F28:G28"/>
  </mergeCells>
  <printOptions horizontalCentered="1"/>
  <pageMargins left="0.23622047244094491" right="0.23622047244094491" top="0.74803149606299213" bottom="0.74803149606299213" header="0.31496062992125984" footer="0.31496062992125984"/>
  <pageSetup paperSize="9" scale="52" orientation="landscape" r:id="rId1"/>
  <ignoredErrors>
    <ignoredError sqref="B46:B49"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251"/>
  <sheetViews>
    <sheetView view="pageBreakPreview" topLeftCell="A232" zoomScale="115" zoomScaleNormal="70" zoomScaleSheetLayoutView="115" workbookViewId="0">
      <selection activeCell="F5" sqref="F4:F5"/>
    </sheetView>
  </sheetViews>
  <sheetFormatPr defaultColWidth="9.140625" defaultRowHeight="12" x14ac:dyDescent="0.25"/>
  <cols>
    <col min="1" max="1" width="12.7109375" style="174" customWidth="1"/>
    <col min="2" max="2" width="45.7109375" style="174" customWidth="1"/>
    <col min="3" max="3" width="9.140625" style="175"/>
    <col min="4" max="4" width="51.85546875" style="174" customWidth="1"/>
    <col min="5" max="7" width="10.7109375" style="174" customWidth="1"/>
    <col min="8" max="8" width="10.7109375" style="175" customWidth="1"/>
    <col min="9" max="16384" width="9.140625" style="174"/>
  </cols>
  <sheetData>
    <row r="1" spans="1:8" s="151" customFormat="1" ht="15" x14ac:dyDescent="0.25">
      <c r="A1" s="155"/>
      <c r="B1" s="153"/>
      <c r="C1" s="153"/>
      <c r="D1" s="154"/>
      <c r="E1" s="153"/>
      <c r="F1" s="153"/>
      <c r="G1" s="153"/>
      <c r="H1" s="153"/>
    </row>
    <row r="2" spans="1:8" s="151" customFormat="1" ht="15" x14ac:dyDescent="0.25">
      <c r="A2" s="155"/>
      <c r="B2" s="153"/>
      <c r="C2" s="153"/>
      <c r="D2" s="601"/>
      <c r="E2" s="601"/>
      <c r="F2" s="601"/>
      <c r="G2" s="601"/>
      <c r="H2" s="153"/>
    </row>
    <row r="3" spans="1:8" s="151" customFormat="1" ht="15" x14ac:dyDescent="0.25">
      <c r="A3" s="155"/>
      <c r="B3" s="153"/>
      <c r="C3" s="153"/>
      <c r="D3" s="154"/>
      <c r="E3" s="153"/>
      <c r="F3" s="153"/>
      <c r="G3" s="153"/>
      <c r="H3" s="153"/>
    </row>
    <row r="4" spans="1:8" s="151" customFormat="1" ht="15" x14ac:dyDescent="0.25">
      <c r="A4" s="155"/>
      <c r="B4" s="153"/>
      <c r="C4" s="153"/>
      <c r="D4" s="154"/>
      <c r="E4" s="153"/>
      <c r="F4" s="153"/>
      <c r="G4" s="153"/>
      <c r="H4" s="153"/>
    </row>
    <row r="5" spans="1:8" s="151" customFormat="1" ht="15" x14ac:dyDescent="0.25">
      <c r="A5" s="155"/>
      <c r="B5" s="153"/>
      <c r="C5" s="153"/>
      <c r="D5" s="154"/>
      <c r="E5" s="153"/>
      <c r="F5" s="153"/>
      <c r="G5" s="153"/>
      <c r="H5" s="153"/>
    </row>
    <row r="6" spans="1:8" s="151" customFormat="1" ht="15" x14ac:dyDescent="0.25">
      <c r="A6" s="155"/>
      <c r="B6" s="153"/>
      <c r="C6" s="153"/>
      <c r="D6" s="154"/>
      <c r="E6" s="153"/>
      <c r="F6" s="153"/>
      <c r="G6" s="153"/>
      <c r="H6" s="153"/>
    </row>
    <row r="7" spans="1:8" s="151" customFormat="1" ht="15" x14ac:dyDescent="0.25">
      <c r="A7" s="155"/>
      <c r="B7" s="153"/>
      <c r="C7" s="153"/>
      <c r="D7" s="154"/>
      <c r="E7" s="153"/>
      <c r="F7" s="153"/>
      <c r="G7" s="153"/>
      <c r="H7" s="153"/>
    </row>
    <row r="8" spans="1:8" s="151" customFormat="1" ht="41.25" customHeight="1" x14ac:dyDescent="0.25">
      <c r="A8" s="155"/>
      <c r="B8" s="510" t="s">
        <v>35</v>
      </c>
      <c r="C8" s="510"/>
      <c r="D8" s="510"/>
      <c r="E8" s="510"/>
      <c r="F8" s="510"/>
      <c r="G8" s="510"/>
      <c r="H8" s="153"/>
    </row>
    <row r="9" spans="1:8" s="151" customFormat="1" ht="18.75" x14ac:dyDescent="0.25">
      <c r="A9" s="155"/>
      <c r="B9" s="546" t="s">
        <v>36</v>
      </c>
      <c r="C9" s="546"/>
      <c r="D9" s="546"/>
      <c r="E9" s="546"/>
      <c r="F9" s="546"/>
      <c r="G9" s="546"/>
      <c r="H9" s="153"/>
    </row>
    <row r="10" spans="1:8" s="151" customFormat="1" ht="18.75" x14ac:dyDescent="0.25">
      <c r="A10" s="155"/>
      <c r="B10" s="546" t="s">
        <v>4</v>
      </c>
      <c r="C10" s="546"/>
      <c r="D10" s="546"/>
      <c r="E10" s="546"/>
      <c r="F10" s="546"/>
      <c r="G10" s="546"/>
      <c r="H10" s="153"/>
    </row>
    <row r="11" spans="1:8" s="151" customFormat="1" ht="15" x14ac:dyDescent="0.25">
      <c r="A11" s="155"/>
      <c r="B11" s="153"/>
      <c r="C11" s="153"/>
      <c r="D11" s="154"/>
      <c r="E11" s="153"/>
      <c r="F11" s="153"/>
      <c r="G11" s="153"/>
      <c r="H11" s="153"/>
    </row>
    <row r="12" spans="1:8" ht="42.75" customHeight="1" x14ac:dyDescent="0.25">
      <c r="A12" s="549" t="s">
        <v>4425</v>
      </c>
      <c r="B12" s="550"/>
      <c r="C12" s="550"/>
      <c r="D12" s="550"/>
      <c r="E12" s="550"/>
      <c r="F12" s="550"/>
      <c r="G12" s="550"/>
      <c r="H12" s="550"/>
    </row>
    <row r="13" spans="1:8" x14ac:dyDescent="0.2">
      <c r="A13" s="186"/>
      <c r="B13" s="187"/>
      <c r="C13" s="187"/>
      <c r="D13" s="187"/>
      <c r="E13" s="187"/>
      <c r="F13" s="187"/>
      <c r="G13" s="187"/>
      <c r="H13" s="187"/>
    </row>
    <row r="14" spans="1:8" x14ac:dyDescent="0.2">
      <c r="A14" s="173" t="s">
        <v>4426</v>
      </c>
      <c r="B14" s="172"/>
      <c r="C14" s="172"/>
      <c r="D14" s="187"/>
      <c r="E14" s="177" t="s">
        <v>4427</v>
      </c>
      <c r="F14" s="177"/>
      <c r="G14" s="177"/>
      <c r="H14" s="178">
        <f>SUM(C51,C58)</f>
        <v>0.87108406289213713</v>
      </c>
    </row>
    <row r="15" spans="1:8" x14ac:dyDescent="0.2">
      <c r="A15" s="187"/>
      <c r="B15" s="187"/>
      <c r="C15" s="187"/>
      <c r="D15" s="187"/>
      <c r="E15" s="187"/>
      <c r="F15" s="187"/>
      <c r="G15" s="187"/>
      <c r="H15" s="187"/>
    </row>
    <row r="16" spans="1:8" x14ac:dyDescent="0.2">
      <c r="A16" s="186" t="s">
        <v>4428</v>
      </c>
      <c r="B16" s="186" t="s">
        <v>4429</v>
      </c>
      <c r="C16" s="187"/>
      <c r="D16" s="187"/>
      <c r="E16" s="186" t="s">
        <v>4430</v>
      </c>
      <c r="F16" s="186"/>
      <c r="G16" s="186"/>
      <c r="H16" s="193">
        <v>0.45</v>
      </c>
    </row>
    <row r="17" spans="1:8" x14ac:dyDescent="0.2">
      <c r="A17" s="187"/>
      <c r="B17" s="187" t="s">
        <v>4431</v>
      </c>
      <c r="C17" s="188">
        <v>0.2</v>
      </c>
      <c r="D17" s="187"/>
      <c r="E17" s="187"/>
      <c r="F17" s="187"/>
      <c r="G17" s="187"/>
      <c r="H17" s="187"/>
    </row>
    <row r="18" spans="1:8" x14ac:dyDescent="0.2">
      <c r="A18" s="187"/>
      <c r="B18" s="187" t="s">
        <v>4432</v>
      </c>
      <c r="C18" s="188">
        <v>0.08</v>
      </c>
      <c r="D18" s="187"/>
      <c r="E18" s="177" t="s">
        <v>4433</v>
      </c>
      <c r="F18" s="177"/>
      <c r="G18" s="177"/>
      <c r="H18" s="178">
        <v>0.1</v>
      </c>
    </row>
    <row r="19" spans="1:8" x14ac:dyDescent="0.2">
      <c r="A19" s="187"/>
      <c r="B19" s="187" t="s">
        <v>4434</v>
      </c>
      <c r="C19" s="188">
        <v>1.4999999999999999E-2</v>
      </c>
      <c r="D19" s="187"/>
      <c r="E19" s="187"/>
      <c r="F19" s="187"/>
      <c r="G19" s="187"/>
      <c r="H19" s="187"/>
    </row>
    <row r="20" spans="1:8" x14ac:dyDescent="0.2">
      <c r="A20" s="187"/>
      <c r="B20" s="187" t="s">
        <v>4435</v>
      </c>
      <c r="C20" s="188">
        <v>0.01</v>
      </c>
      <c r="D20" s="187"/>
      <c r="E20" s="186" t="s">
        <v>4436</v>
      </c>
      <c r="F20" s="187"/>
      <c r="G20" s="187"/>
      <c r="H20" s="187"/>
    </row>
    <row r="21" spans="1:8" x14ac:dyDescent="0.2">
      <c r="A21" s="187"/>
      <c r="B21" s="187" t="s">
        <v>4437</v>
      </c>
      <c r="C21" s="188">
        <v>2.5000000000000001E-2</v>
      </c>
      <c r="D21" s="187"/>
      <c r="E21" s="187"/>
      <c r="F21" s="187"/>
      <c r="G21" s="187"/>
      <c r="H21" s="187"/>
    </row>
    <row r="22" spans="1:8" x14ac:dyDescent="0.2">
      <c r="A22" s="187"/>
      <c r="B22" s="187" t="s">
        <v>4438</v>
      </c>
      <c r="C22" s="188">
        <v>6.0000000000000001E-3</v>
      </c>
      <c r="D22" s="187"/>
      <c r="E22" s="187" t="s">
        <v>4416</v>
      </c>
      <c r="F22" s="187"/>
      <c r="G22" s="187"/>
      <c r="H22" s="188">
        <v>0.02</v>
      </c>
    </row>
    <row r="23" spans="1:8" x14ac:dyDescent="0.2">
      <c r="A23" s="187"/>
      <c r="B23" s="187" t="s">
        <v>4439</v>
      </c>
      <c r="C23" s="188">
        <v>2E-3</v>
      </c>
      <c r="D23" s="187"/>
      <c r="E23" s="187" t="s">
        <v>4440</v>
      </c>
      <c r="F23" s="187"/>
      <c r="G23" s="187"/>
      <c r="H23" s="188">
        <v>1.6500000000000001E-2</v>
      </c>
    </row>
    <row r="24" spans="1:8" x14ac:dyDescent="0.2">
      <c r="A24" s="187"/>
      <c r="B24" s="187" t="s">
        <v>4441</v>
      </c>
      <c r="C24" s="188">
        <v>0.03</v>
      </c>
      <c r="D24" s="187"/>
      <c r="E24" s="187" t="s">
        <v>4415</v>
      </c>
      <c r="F24" s="187"/>
      <c r="G24" s="187"/>
      <c r="H24" s="188">
        <v>7.5999999999999998E-2</v>
      </c>
    </row>
    <row r="25" spans="1:8" x14ac:dyDescent="0.2">
      <c r="A25" s="187"/>
      <c r="B25" s="179" t="s">
        <v>4442</v>
      </c>
      <c r="C25" s="180">
        <f>SUM(C17:C24)</f>
        <v>0.3680000000000001</v>
      </c>
      <c r="D25" s="187"/>
      <c r="E25" s="186" t="s">
        <v>4443</v>
      </c>
      <c r="F25" s="186"/>
      <c r="G25" s="186"/>
      <c r="H25" s="189">
        <f>SUM(H22:H24)</f>
        <v>0.1125</v>
      </c>
    </row>
    <row r="26" spans="1:8" x14ac:dyDescent="0.2">
      <c r="A26" s="187"/>
      <c r="B26" s="187"/>
      <c r="C26" s="187"/>
      <c r="D26" s="187"/>
      <c r="E26" s="603" t="s">
        <v>4444</v>
      </c>
      <c r="F26" s="603"/>
      <c r="G26" s="603"/>
      <c r="H26" s="603"/>
    </row>
    <row r="27" spans="1:8" x14ac:dyDescent="0.2">
      <c r="A27" s="186" t="s">
        <v>4445</v>
      </c>
      <c r="B27" s="186" t="s">
        <v>4446</v>
      </c>
      <c r="C27" s="187"/>
      <c r="D27" s="187"/>
      <c r="E27" s="187"/>
      <c r="F27" s="187"/>
      <c r="G27" s="187"/>
      <c r="H27" s="187"/>
    </row>
    <row r="28" spans="1:8" x14ac:dyDescent="0.2">
      <c r="A28" s="187"/>
      <c r="B28" s="187" t="s">
        <v>4447</v>
      </c>
      <c r="C28" s="188">
        <v>9.1800000000000007E-2</v>
      </c>
      <c r="D28" s="187"/>
      <c r="E28" s="177" t="s">
        <v>4448</v>
      </c>
      <c r="F28" s="177"/>
      <c r="G28" s="177"/>
      <c r="H28" s="181">
        <f>((1/(1-H25)-1))</f>
        <v>0.12676056338028174</v>
      </c>
    </row>
    <row r="29" spans="1:8" x14ac:dyDescent="0.2">
      <c r="A29" s="187"/>
      <c r="B29" s="187" t="s">
        <v>4449</v>
      </c>
      <c r="C29" s="188">
        <v>1.34E-2</v>
      </c>
      <c r="D29" s="187"/>
      <c r="E29" s="187"/>
      <c r="F29" s="187"/>
      <c r="G29" s="187"/>
      <c r="H29" s="187"/>
    </row>
    <row r="30" spans="1:8" x14ac:dyDescent="0.2">
      <c r="A30" s="187"/>
      <c r="B30" s="187" t="s">
        <v>4450</v>
      </c>
      <c r="C30" s="188">
        <v>4.7999999999999996E-3</v>
      </c>
      <c r="D30" s="187"/>
      <c r="E30" s="603" t="s">
        <v>4451</v>
      </c>
      <c r="F30" s="603"/>
      <c r="G30" s="603"/>
      <c r="H30" s="603"/>
    </row>
    <row r="31" spans="1:8" x14ac:dyDescent="0.2">
      <c r="A31" s="187"/>
      <c r="B31" s="187" t="s">
        <v>4452</v>
      </c>
      <c r="C31" s="188">
        <v>1.8E-3</v>
      </c>
      <c r="D31" s="187"/>
      <c r="E31" s="187"/>
      <c r="F31" s="187"/>
      <c r="G31" s="187"/>
      <c r="H31" s="187"/>
    </row>
    <row r="32" spans="1:8" x14ac:dyDescent="0.2">
      <c r="A32" s="187"/>
      <c r="B32" s="187" t="s">
        <v>4453</v>
      </c>
      <c r="C32" s="188">
        <v>1.8E-3</v>
      </c>
      <c r="D32" s="187"/>
      <c r="E32" s="177" t="s">
        <v>4454</v>
      </c>
      <c r="F32" s="177"/>
      <c r="G32" s="177"/>
      <c r="H32" s="182">
        <f>(1+H14)*(1+H16)*(1+H18)*(1+H28)</f>
        <v>3.3626806538737561</v>
      </c>
    </row>
    <row r="33" spans="1:8" x14ac:dyDescent="0.2">
      <c r="A33" s="187"/>
      <c r="B33" s="187" t="s">
        <v>4455</v>
      </c>
      <c r="C33" s="188">
        <v>2.8E-3</v>
      </c>
      <c r="D33" s="187"/>
      <c r="E33" s="187"/>
      <c r="F33" s="187"/>
      <c r="G33" s="187"/>
      <c r="H33" s="187"/>
    </row>
    <row r="34" spans="1:8" x14ac:dyDescent="0.2">
      <c r="A34" s="187"/>
      <c r="B34" s="179" t="s">
        <v>4442</v>
      </c>
      <c r="C34" s="180">
        <f>SUM(C28:C33)</f>
        <v>0.11639999999999999</v>
      </c>
      <c r="D34" s="187"/>
      <c r="E34" s="186" t="s">
        <v>4456</v>
      </c>
      <c r="F34" s="187"/>
      <c r="G34" s="187"/>
      <c r="H34" s="188"/>
    </row>
    <row r="35" spans="1:8" x14ac:dyDescent="0.2">
      <c r="A35" s="187"/>
      <c r="B35" s="187"/>
      <c r="C35" s="187"/>
      <c r="D35" s="187"/>
      <c r="E35" s="187" t="s">
        <v>4457</v>
      </c>
      <c r="F35" s="187"/>
      <c r="G35" s="187"/>
      <c r="H35" s="190">
        <v>100</v>
      </c>
    </row>
    <row r="36" spans="1:8" x14ac:dyDescent="0.2">
      <c r="A36" s="186" t="s">
        <v>4458</v>
      </c>
      <c r="B36" s="186" t="s">
        <v>4459</v>
      </c>
      <c r="C36" s="187"/>
      <c r="D36" s="187"/>
      <c r="E36" s="187" t="s">
        <v>4460</v>
      </c>
      <c r="F36" s="187"/>
      <c r="G36" s="187"/>
      <c r="H36" s="190">
        <f>H14*100</f>
        <v>87.108406289213718</v>
      </c>
    </row>
    <row r="37" spans="1:8" x14ac:dyDescent="0.2">
      <c r="A37" s="187"/>
      <c r="B37" s="187" t="s">
        <v>4461</v>
      </c>
      <c r="C37" s="188">
        <v>3.6700000000000003E-2</v>
      </c>
      <c r="D37" s="187"/>
      <c r="E37" s="187" t="s">
        <v>4462</v>
      </c>
      <c r="F37" s="187"/>
      <c r="G37" s="187"/>
      <c r="H37" s="190">
        <f>H36+H35</f>
        <v>187.10840628921372</v>
      </c>
    </row>
    <row r="38" spans="1:8" x14ac:dyDescent="0.2">
      <c r="A38" s="187"/>
      <c r="B38" s="187" t="s">
        <v>4463</v>
      </c>
      <c r="C38" s="188">
        <v>3.9199999999999999E-2</v>
      </c>
      <c r="D38" s="187"/>
      <c r="E38" s="187" t="s">
        <v>4464</v>
      </c>
      <c r="F38" s="187"/>
      <c r="G38" s="187"/>
      <c r="H38" s="190">
        <f>H37*H16</f>
        <v>84.198782830146172</v>
      </c>
    </row>
    <row r="39" spans="1:8" x14ac:dyDescent="0.2">
      <c r="A39" s="187"/>
      <c r="B39" s="179" t="s">
        <v>4442</v>
      </c>
      <c r="C39" s="180">
        <f>SUM(C37:C38)</f>
        <v>7.5899999999999995E-2</v>
      </c>
      <c r="D39" s="187"/>
      <c r="E39" s="187" t="s">
        <v>4465</v>
      </c>
      <c r="F39" s="187"/>
      <c r="G39" s="187"/>
      <c r="H39" s="190">
        <f>H38+H37</f>
        <v>271.30718911935992</v>
      </c>
    </row>
    <row r="40" spans="1:8" x14ac:dyDescent="0.2">
      <c r="A40" s="187"/>
      <c r="B40" s="187"/>
      <c r="C40" s="187"/>
      <c r="D40" s="187"/>
      <c r="E40" s="187" t="s">
        <v>4466</v>
      </c>
      <c r="F40" s="187"/>
      <c r="G40" s="187"/>
      <c r="H40" s="190">
        <f>H39</f>
        <v>271.30718911935992</v>
      </c>
    </row>
    <row r="41" spans="1:8" x14ac:dyDescent="0.2">
      <c r="A41" s="186" t="s">
        <v>4467</v>
      </c>
      <c r="B41" s="186" t="s">
        <v>4468</v>
      </c>
      <c r="C41" s="187"/>
      <c r="D41" s="187"/>
      <c r="E41" s="187" t="s">
        <v>4469</v>
      </c>
      <c r="F41" s="187"/>
      <c r="G41" s="187"/>
      <c r="H41" s="190">
        <f>H40*H18</f>
        <v>27.130718911935993</v>
      </c>
    </row>
    <row r="42" spans="1:8" x14ac:dyDescent="0.2">
      <c r="A42" s="187"/>
      <c r="B42" s="187" t="s">
        <v>4470</v>
      </c>
      <c r="C42" s="188">
        <v>9.2999999999999999E-2</v>
      </c>
      <c r="D42" s="187"/>
      <c r="E42" s="187" t="s">
        <v>4471</v>
      </c>
      <c r="F42" s="187"/>
      <c r="G42" s="187"/>
      <c r="H42" s="190">
        <f>H41+H40</f>
        <v>298.43790803129593</v>
      </c>
    </row>
    <row r="43" spans="1:8" x14ac:dyDescent="0.2">
      <c r="A43" s="187"/>
      <c r="B43" s="187" t="s">
        <v>4472</v>
      </c>
      <c r="C43" s="188">
        <v>3.0599999999999999E-2</v>
      </c>
      <c r="D43" s="187"/>
      <c r="E43" s="187" t="s">
        <v>4448</v>
      </c>
      <c r="F43" s="187"/>
      <c r="G43" s="187"/>
      <c r="H43" s="190">
        <f>H42*H28</f>
        <v>37.830157356079781</v>
      </c>
    </row>
    <row r="44" spans="1:8" x14ac:dyDescent="0.2">
      <c r="A44" s="187"/>
      <c r="B44" s="179" t="s">
        <v>4442</v>
      </c>
      <c r="C44" s="180">
        <f>SUM(C42:C43)</f>
        <v>0.1236</v>
      </c>
      <c r="D44" s="187"/>
      <c r="E44" s="187" t="s">
        <v>4473</v>
      </c>
      <c r="F44" s="187"/>
      <c r="G44" s="187"/>
      <c r="H44" s="190">
        <f>H43+H42</f>
        <v>336.26806538737571</v>
      </c>
    </row>
    <row r="45" spans="1:8" x14ac:dyDescent="0.2">
      <c r="A45" s="187"/>
      <c r="B45" s="187"/>
      <c r="C45" s="187"/>
      <c r="D45" s="187"/>
      <c r="E45" s="187" t="s">
        <v>4474</v>
      </c>
      <c r="F45" s="187"/>
      <c r="G45" s="187"/>
      <c r="H45" s="190">
        <f>H44</f>
        <v>336.26806538737571</v>
      </c>
    </row>
    <row r="46" spans="1:8" x14ac:dyDescent="0.2">
      <c r="A46" s="186" t="s">
        <v>4475</v>
      </c>
      <c r="B46" s="186" t="s">
        <v>4476</v>
      </c>
      <c r="C46" s="187"/>
      <c r="D46" s="187"/>
      <c r="E46" s="187" t="s">
        <v>4416</v>
      </c>
      <c r="F46" s="187"/>
      <c r="G46" s="187"/>
      <c r="H46" s="190">
        <f>-H45*H22</f>
        <v>-6.7253613077475141</v>
      </c>
    </row>
    <row r="47" spans="1:8" x14ac:dyDescent="0.2">
      <c r="A47" s="187"/>
      <c r="B47" s="187" t="s">
        <v>4477</v>
      </c>
      <c r="C47" s="188">
        <f>C25*C34</f>
        <v>4.2835200000000011E-2</v>
      </c>
      <c r="D47" s="187"/>
      <c r="E47" s="187" t="s">
        <v>4440</v>
      </c>
      <c r="F47" s="187"/>
      <c r="G47" s="187"/>
      <c r="H47" s="190">
        <f>-H45*H23</f>
        <v>-5.5484230788916999</v>
      </c>
    </row>
    <row r="48" spans="1:8" x14ac:dyDescent="0.2">
      <c r="A48" s="187"/>
      <c r="B48" s="187" t="s">
        <v>4478</v>
      </c>
      <c r="C48" s="188">
        <f>C25*C44</f>
        <v>4.5484800000000013E-2</v>
      </c>
      <c r="D48" s="187"/>
      <c r="E48" s="187" t="s">
        <v>4415</v>
      </c>
      <c r="F48" s="187"/>
      <c r="G48" s="187"/>
      <c r="H48" s="190">
        <f>-H45*H24</f>
        <v>-25.556372969440552</v>
      </c>
    </row>
    <row r="49" spans="1:8" x14ac:dyDescent="0.2">
      <c r="A49" s="187"/>
      <c r="B49" s="179" t="s">
        <v>4442</v>
      </c>
      <c r="C49" s="180">
        <f>SUM(C47:C48)</f>
        <v>8.8320000000000023E-2</v>
      </c>
      <c r="D49" s="187"/>
      <c r="E49" s="187" t="s">
        <v>4479</v>
      </c>
      <c r="F49" s="187"/>
      <c r="G49" s="187"/>
      <c r="H49" s="190">
        <f>H45+H46+H47+H48</f>
        <v>298.43790803129599</v>
      </c>
    </row>
    <row r="50" spans="1:8" x14ac:dyDescent="0.2">
      <c r="A50" s="187"/>
      <c r="B50" s="187"/>
      <c r="C50" s="187"/>
      <c r="D50" s="187"/>
      <c r="E50" s="187" t="s">
        <v>4466</v>
      </c>
      <c r="F50" s="187"/>
      <c r="G50" s="187"/>
      <c r="H50" s="190">
        <f>H39</f>
        <v>271.30718911935992</v>
      </c>
    </row>
    <row r="51" spans="1:8" x14ac:dyDescent="0.2">
      <c r="A51" s="187"/>
      <c r="B51" s="173" t="s">
        <v>4480</v>
      </c>
      <c r="C51" s="183">
        <f>SUM(C49,C44,C39,C34,C25)</f>
        <v>0.77222000000000013</v>
      </c>
      <c r="D51" s="187"/>
      <c r="E51" s="187" t="s">
        <v>4481</v>
      </c>
      <c r="F51" s="187"/>
      <c r="G51" s="187"/>
      <c r="H51" s="191">
        <f>H50*H18</f>
        <v>27.130718911935993</v>
      </c>
    </row>
    <row r="52" spans="1:8" x14ac:dyDescent="0.2">
      <c r="A52" s="187"/>
      <c r="B52" s="187"/>
      <c r="C52" s="187"/>
      <c r="D52" s="187"/>
      <c r="E52" s="187" t="s">
        <v>4482</v>
      </c>
      <c r="F52" s="187"/>
      <c r="G52" s="187"/>
      <c r="H52" s="188">
        <f>H50*H18/100</f>
        <v>0.27130718911935991</v>
      </c>
    </row>
    <row r="53" spans="1:8" x14ac:dyDescent="0.2">
      <c r="A53" s="186" t="s">
        <v>4483</v>
      </c>
      <c r="B53" s="186" t="s">
        <v>4484</v>
      </c>
      <c r="C53" s="187"/>
      <c r="D53" s="187"/>
      <c r="E53" s="187" t="s">
        <v>4485</v>
      </c>
      <c r="F53" s="187"/>
      <c r="G53" s="187"/>
      <c r="H53" s="188">
        <v>0.15</v>
      </c>
    </row>
    <row r="54" spans="1:8" x14ac:dyDescent="0.2">
      <c r="A54" s="187"/>
      <c r="B54" s="187" t="s">
        <v>4486</v>
      </c>
      <c r="C54" s="188">
        <f>H185</f>
        <v>6.1451179456554199E-2</v>
      </c>
      <c r="D54" s="187"/>
      <c r="E54" s="187" t="s">
        <v>4487</v>
      </c>
      <c r="F54" s="187"/>
      <c r="G54" s="187"/>
      <c r="H54" s="188">
        <v>0.01</v>
      </c>
    </row>
    <row r="55" spans="1:8" x14ac:dyDescent="0.2">
      <c r="A55" s="187"/>
      <c r="B55" s="187" t="s">
        <v>4488</v>
      </c>
      <c r="C55" s="188">
        <f>H193</f>
        <v>1.8312883435582815E-2</v>
      </c>
      <c r="D55" s="187"/>
      <c r="E55" s="187" t="s">
        <v>4489</v>
      </c>
      <c r="F55" s="187"/>
      <c r="G55" s="187"/>
      <c r="H55" s="190">
        <f>-H53*H52*100</f>
        <v>-4.0696078367903992</v>
      </c>
    </row>
    <row r="56" spans="1:8" x14ac:dyDescent="0.2">
      <c r="A56" s="187"/>
      <c r="B56" s="187" t="s">
        <v>4490</v>
      </c>
      <c r="C56" s="188">
        <f>H194</f>
        <v>1.66E-2</v>
      </c>
      <c r="D56" s="187"/>
      <c r="E56" s="187" t="s">
        <v>4491</v>
      </c>
      <c r="F56" s="187"/>
      <c r="G56" s="187"/>
      <c r="H56" s="190">
        <f>-H54*H52*100</f>
        <v>-0.27130718911935991</v>
      </c>
    </row>
    <row r="57" spans="1:8" x14ac:dyDescent="0.2">
      <c r="A57" s="187"/>
      <c r="B57" s="187" t="s">
        <v>4492</v>
      </c>
      <c r="C57" s="188">
        <f>H195</f>
        <v>2.5000000000000001E-3</v>
      </c>
      <c r="D57" s="187"/>
      <c r="E57" s="187" t="s">
        <v>4493</v>
      </c>
      <c r="F57" s="187"/>
      <c r="G57" s="187"/>
      <c r="H57" s="190">
        <f>H51+H56+H55</f>
        <v>22.789803886026235</v>
      </c>
    </row>
    <row r="58" spans="1:8" x14ac:dyDescent="0.2">
      <c r="A58" s="187"/>
      <c r="B58" s="173" t="s">
        <v>4494</v>
      </c>
      <c r="C58" s="184">
        <f>SUM(C54:C57)</f>
        <v>9.886406289213702E-2</v>
      </c>
      <c r="D58" s="187"/>
      <c r="E58" s="187" t="s">
        <v>4495</v>
      </c>
      <c r="F58" s="187"/>
      <c r="G58" s="187"/>
      <c r="H58" s="192">
        <f>H57/H51*H18</f>
        <v>8.4000000000000005E-2</v>
      </c>
    </row>
    <row r="59" spans="1:8" x14ac:dyDescent="0.2">
      <c r="A59" s="187"/>
      <c r="B59" s="187"/>
      <c r="C59" s="187"/>
      <c r="D59" s="187"/>
      <c r="E59" s="187"/>
      <c r="F59" s="187"/>
      <c r="G59" s="187"/>
      <c r="H59" s="187"/>
    </row>
    <row r="60" spans="1:8" s="151" customFormat="1" ht="15" x14ac:dyDescent="0.25">
      <c r="A60" s="155"/>
      <c r="B60" s="153"/>
      <c r="C60" s="153"/>
      <c r="D60" s="154"/>
      <c r="E60" s="153"/>
      <c r="F60" s="153"/>
      <c r="G60" s="153"/>
      <c r="H60" s="153"/>
    </row>
    <row r="61" spans="1:8" s="151" customFormat="1" ht="15" x14ac:dyDescent="0.25">
      <c r="A61" s="155"/>
      <c r="B61" s="153"/>
      <c r="C61" s="153"/>
      <c r="D61" s="154"/>
      <c r="E61" s="153"/>
      <c r="F61" s="153"/>
      <c r="G61" s="153"/>
      <c r="H61" s="153"/>
    </row>
    <row r="62" spans="1:8" s="151" customFormat="1" ht="15" x14ac:dyDescent="0.25">
      <c r="A62" s="155"/>
      <c r="B62" s="153"/>
      <c r="C62" s="153"/>
      <c r="D62" s="154"/>
      <c r="E62" s="153"/>
      <c r="F62" s="153"/>
      <c r="G62" s="153"/>
      <c r="H62" s="153"/>
    </row>
    <row r="63" spans="1:8" s="151" customFormat="1" ht="15" x14ac:dyDescent="0.25">
      <c r="A63" s="155"/>
      <c r="B63" s="153"/>
      <c r="C63" s="153"/>
      <c r="D63" s="154"/>
      <c r="E63" s="153"/>
      <c r="F63" s="153"/>
      <c r="G63" s="153"/>
      <c r="H63" s="153"/>
    </row>
    <row r="64" spans="1:8" s="151" customFormat="1" ht="15" x14ac:dyDescent="0.25">
      <c r="A64" s="155"/>
      <c r="B64" s="153"/>
      <c r="C64" s="153"/>
      <c r="D64" s="154"/>
      <c r="E64" s="153"/>
      <c r="F64" s="153"/>
      <c r="G64" s="153"/>
      <c r="H64" s="153"/>
    </row>
    <row r="65" spans="1:8" s="151" customFormat="1" ht="15" x14ac:dyDescent="0.25">
      <c r="A65" s="155"/>
      <c r="B65" s="153"/>
      <c r="C65" s="153"/>
      <c r="D65" s="154"/>
      <c r="E65" s="153"/>
      <c r="F65" s="153"/>
      <c r="G65" s="153"/>
      <c r="H65" s="153"/>
    </row>
    <row r="66" spans="1:8" s="151" customFormat="1" ht="15" x14ac:dyDescent="0.25">
      <c r="A66" s="155"/>
      <c r="B66" s="153"/>
      <c r="C66" s="153"/>
      <c r="D66" s="154"/>
      <c r="E66" s="153"/>
      <c r="F66" s="153"/>
      <c r="G66" s="153"/>
      <c r="H66" s="153"/>
    </row>
    <row r="67" spans="1:8" s="151" customFormat="1" ht="41.25" customHeight="1" x14ac:dyDescent="0.25">
      <c r="A67" s="155"/>
      <c r="B67" s="510" t="s">
        <v>35</v>
      </c>
      <c r="C67" s="510"/>
      <c r="D67" s="510"/>
      <c r="E67" s="510"/>
      <c r="F67" s="510"/>
      <c r="G67" s="510"/>
      <c r="H67" s="153"/>
    </row>
    <row r="68" spans="1:8" s="151" customFormat="1" ht="18.75" x14ac:dyDescent="0.25">
      <c r="A68" s="155"/>
      <c r="B68" s="546" t="s">
        <v>36</v>
      </c>
      <c r="C68" s="546"/>
      <c r="D68" s="546"/>
      <c r="E68" s="546"/>
      <c r="F68" s="546"/>
      <c r="G68" s="546"/>
      <c r="H68" s="153"/>
    </row>
    <row r="69" spans="1:8" s="151" customFormat="1" ht="18.75" x14ac:dyDescent="0.25">
      <c r="A69" s="155"/>
      <c r="B69" s="546" t="s">
        <v>4</v>
      </c>
      <c r="C69" s="546"/>
      <c r="D69" s="546"/>
      <c r="E69" s="546"/>
      <c r="F69" s="546"/>
      <c r="G69" s="546"/>
      <c r="H69" s="153"/>
    </row>
    <row r="70" spans="1:8" s="151" customFormat="1" ht="15" x14ac:dyDescent="0.25">
      <c r="A70" s="155"/>
      <c r="B70" s="153"/>
      <c r="C70" s="153"/>
      <c r="D70" s="154"/>
      <c r="E70" s="153"/>
      <c r="F70" s="153"/>
      <c r="G70" s="153"/>
      <c r="H70" s="153"/>
    </row>
    <row r="71" spans="1:8" x14ac:dyDescent="0.25">
      <c r="A71" s="604" t="s">
        <v>4496</v>
      </c>
      <c r="B71" s="604"/>
      <c r="C71" s="604"/>
      <c r="D71" s="604"/>
      <c r="E71" s="604"/>
      <c r="F71" s="604"/>
      <c r="G71" s="604"/>
      <c r="H71" s="604"/>
    </row>
    <row r="72" spans="1:8" x14ac:dyDescent="0.25">
      <c r="A72" s="194"/>
      <c r="B72" s="194"/>
      <c r="C72" s="194"/>
      <c r="D72" s="194"/>
      <c r="E72" s="194"/>
      <c r="F72" s="194"/>
      <c r="G72" s="194"/>
      <c r="H72" s="194"/>
    </row>
    <row r="73" spans="1:8" x14ac:dyDescent="0.25">
      <c r="A73" s="194">
        <v>1</v>
      </c>
      <c r="B73" s="195" t="s">
        <v>4497</v>
      </c>
      <c r="C73" s="185"/>
      <c r="D73" s="185"/>
      <c r="E73" s="185"/>
      <c r="F73" s="185"/>
      <c r="G73" s="185"/>
      <c r="H73" s="185"/>
    </row>
    <row r="74" spans="1:8" x14ac:dyDescent="0.25">
      <c r="A74" s="194" t="s">
        <v>4498</v>
      </c>
      <c r="B74" s="195" t="s">
        <v>4499</v>
      </c>
      <c r="C74" s="185"/>
      <c r="D74" s="185"/>
      <c r="E74" s="185"/>
      <c r="F74" s="185"/>
      <c r="G74" s="185"/>
      <c r="H74" s="185"/>
    </row>
    <row r="75" spans="1:8" x14ac:dyDescent="0.25">
      <c r="A75" s="196" t="s">
        <v>4500</v>
      </c>
      <c r="B75" s="602" t="s">
        <v>4501</v>
      </c>
      <c r="C75" s="602"/>
      <c r="D75" s="602"/>
      <c r="E75" s="602"/>
      <c r="F75" s="602"/>
      <c r="G75" s="602"/>
      <c r="H75" s="197">
        <v>52.14</v>
      </c>
    </row>
    <row r="76" spans="1:8" x14ac:dyDescent="0.25">
      <c r="A76" s="196" t="s">
        <v>4502</v>
      </c>
      <c r="B76" s="602" t="s">
        <v>4503</v>
      </c>
      <c r="C76" s="602"/>
      <c r="D76" s="602"/>
      <c r="E76" s="602"/>
      <c r="F76" s="602"/>
      <c r="G76" s="602"/>
      <c r="H76" s="197">
        <v>104.28</v>
      </c>
    </row>
    <row r="77" spans="1:8" x14ac:dyDescent="0.25">
      <c r="A77" s="196" t="s">
        <v>4504</v>
      </c>
      <c r="B77" s="602" t="s">
        <v>4505</v>
      </c>
      <c r="C77" s="602"/>
      <c r="D77" s="602"/>
      <c r="E77" s="602"/>
      <c r="F77" s="602"/>
      <c r="G77" s="602"/>
      <c r="H77" s="197">
        <v>14.5</v>
      </c>
    </row>
    <row r="78" spans="1:8" x14ac:dyDescent="0.25">
      <c r="A78" s="196" t="s">
        <v>4506</v>
      </c>
      <c r="B78" s="602" t="s">
        <v>4507</v>
      </c>
      <c r="C78" s="602"/>
      <c r="D78" s="602"/>
      <c r="E78" s="602"/>
      <c r="F78" s="602"/>
      <c r="G78" s="602"/>
      <c r="H78" s="197">
        <v>2.85</v>
      </c>
    </row>
    <row r="79" spans="1:8" x14ac:dyDescent="0.25">
      <c r="A79" s="196" t="s">
        <v>4508</v>
      </c>
      <c r="B79" s="602" t="s">
        <v>4509</v>
      </c>
      <c r="C79" s="602"/>
      <c r="D79" s="602"/>
      <c r="E79" s="602"/>
      <c r="F79" s="602"/>
      <c r="G79" s="602"/>
      <c r="H79" s="197">
        <v>11.65</v>
      </c>
    </row>
    <row r="80" spans="1:8" x14ac:dyDescent="0.25">
      <c r="A80" s="196" t="s">
        <v>4510</v>
      </c>
      <c r="B80" s="602" t="s">
        <v>4511</v>
      </c>
      <c r="C80" s="602"/>
      <c r="D80" s="602"/>
      <c r="E80" s="602"/>
      <c r="F80" s="602"/>
      <c r="G80" s="602"/>
      <c r="H80" s="197">
        <v>115.93</v>
      </c>
    </row>
    <row r="81" spans="1:8" x14ac:dyDescent="0.25">
      <c r="A81" s="185"/>
      <c r="B81" s="185"/>
      <c r="C81" s="185"/>
      <c r="D81" s="185"/>
      <c r="E81" s="185"/>
      <c r="F81" s="185"/>
      <c r="G81" s="185"/>
      <c r="H81" s="197"/>
    </row>
    <row r="82" spans="1:8" x14ac:dyDescent="0.25">
      <c r="A82" s="194" t="s">
        <v>4512</v>
      </c>
      <c r="B82" s="195" t="s">
        <v>4513</v>
      </c>
      <c r="C82" s="185"/>
      <c r="D82" s="185"/>
      <c r="E82" s="185"/>
      <c r="F82" s="185"/>
      <c r="G82" s="185"/>
      <c r="H82" s="197"/>
    </row>
    <row r="83" spans="1:8" x14ac:dyDescent="0.25">
      <c r="A83" s="196" t="s">
        <v>4514</v>
      </c>
      <c r="B83" s="602" t="s">
        <v>4515</v>
      </c>
      <c r="C83" s="602"/>
      <c r="D83" s="602"/>
      <c r="E83" s="602"/>
      <c r="F83" s="602"/>
      <c r="G83" s="602"/>
      <c r="H83" s="197">
        <v>249.07</v>
      </c>
    </row>
    <row r="84" spans="1:8" x14ac:dyDescent="0.25">
      <c r="A84" s="196" t="s">
        <v>4516</v>
      </c>
      <c r="B84" s="602" t="s">
        <v>4517</v>
      </c>
      <c r="C84" s="602"/>
      <c r="D84" s="602"/>
      <c r="E84" s="602"/>
      <c r="F84" s="602"/>
      <c r="G84" s="602"/>
      <c r="H84" s="197">
        <v>8</v>
      </c>
    </row>
    <row r="85" spans="1:8" x14ac:dyDescent="0.25">
      <c r="A85" s="196" t="s">
        <v>4518</v>
      </c>
      <c r="B85" s="602" t="s">
        <v>4519</v>
      </c>
      <c r="C85" s="602"/>
      <c r="D85" s="602"/>
      <c r="E85" s="602"/>
      <c r="F85" s="602"/>
      <c r="G85" s="602"/>
      <c r="H85" s="197">
        <v>1992.56</v>
      </c>
    </row>
    <row r="86" spans="1:8" x14ac:dyDescent="0.25">
      <c r="A86" s="196" t="s">
        <v>4520</v>
      </c>
      <c r="B86" s="602" t="s">
        <v>4521</v>
      </c>
      <c r="C86" s="602"/>
      <c r="D86" s="602"/>
      <c r="E86" s="602"/>
      <c r="F86" s="602"/>
      <c r="G86" s="602"/>
      <c r="H86" s="197">
        <v>166.05</v>
      </c>
    </row>
    <row r="87" spans="1:8" x14ac:dyDescent="0.25">
      <c r="A87" s="196"/>
      <c r="B87" s="198"/>
      <c r="C87" s="198"/>
      <c r="D87" s="198"/>
      <c r="E87" s="198"/>
      <c r="F87" s="198"/>
      <c r="G87" s="198"/>
      <c r="H87" s="197"/>
    </row>
    <row r="88" spans="1:8" x14ac:dyDescent="0.25">
      <c r="A88" s="194" t="s">
        <v>4522</v>
      </c>
      <c r="B88" s="195" t="s">
        <v>4523</v>
      </c>
      <c r="C88" s="185"/>
      <c r="D88" s="185"/>
      <c r="E88" s="185"/>
      <c r="F88" s="185"/>
      <c r="G88" s="185"/>
      <c r="H88" s="197"/>
    </row>
    <row r="89" spans="1:8" x14ac:dyDescent="0.25">
      <c r="A89" s="196" t="s">
        <v>4524</v>
      </c>
      <c r="B89" s="602" t="s">
        <v>4525</v>
      </c>
      <c r="C89" s="602"/>
      <c r="D89" s="602"/>
      <c r="E89" s="602"/>
      <c r="F89" s="602"/>
      <c r="G89" s="602"/>
      <c r="H89" s="197">
        <v>163.77000000000001</v>
      </c>
    </row>
    <row r="90" spans="1:8" x14ac:dyDescent="0.25">
      <c r="A90" s="196"/>
      <c r="B90" s="198"/>
      <c r="C90" s="198"/>
      <c r="D90" s="198"/>
      <c r="E90" s="198"/>
      <c r="F90" s="198"/>
      <c r="G90" s="198"/>
      <c r="H90" s="197"/>
    </row>
    <row r="91" spans="1:8" x14ac:dyDescent="0.25">
      <c r="A91" s="194" t="s">
        <v>4526</v>
      </c>
      <c r="B91" s="195" t="s">
        <v>4527</v>
      </c>
      <c r="C91" s="185"/>
      <c r="D91" s="185"/>
      <c r="E91" s="185"/>
      <c r="F91" s="185"/>
      <c r="G91" s="185"/>
      <c r="H91" s="197"/>
    </row>
    <row r="92" spans="1:8" x14ac:dyDescent="0.25">
      <c r="A92" s="196" t="s">
        <v>4528</v>
      </c>
      <c r="B92" s="602" t="s">
        <v>4529</v>
      </c>
      <c r="C92" s="602"/>
      <c r="D92" s="602"/>
      <c r="E92" s="602"/>
      <c r="F92" s="602"/>
      <c r="G92" s="602"/>
      <c r="H92" s="197">
        <v>24</v>
      </c>
    </row>
    <row r="93" spans="1:8" x14ac:dyDescent="0.25">
      <c r="A93" s="196"/>
      <c r="B93" s="198"/>
      <c r="C93" s="198"/>
      <c r="D93" s="198"/>
      <c r="E93" s="198"/>
      <c r="F93" s="198"/>
      <c r="G93" s="198"/>
      <c r="H93" s="197"/>
    </row>
    <row r="94" spans="1:8" x14ac:dyDescent="0.25">
      <c r="A94" s="194" t="s">
        <v>4530</v>
      </c>
      <c r="B94" s="195" t="s">
        <v>4531</v>
      </c>
      <c r="C94" s="185"/>
      <c r="D94" s="185"/>
      <c r="E94" s="185"/>
      <c r="F94" s="185"/>
      <c r="G94" s="185"/>
      <c r="H94" s="197"/>
    </row>
    <row r="95" spans="1:8" x14ac:dyDescent="0.25">
      <c r="A95" s="196" t="s">
        <v>4532</v>
      </c>
      <c r="B95" s="602" t="s">
        <v>4533</v>
      </c>
      <c r="C95" s="602"/>
      <c r="D95" s="602"/>
      <c r="E95" s="602"/>
      <c r="F95" s="602"/>
      <c r="G95" s="602"/>
      <c r="H95" s="199">
        <v>0.1</v>
      </c>
    </row>
    <row r="96" spans="1:8" x14ac:dyDescent="0.25">
      <c r="A96" s="196" t="s">
        <v>4534</v>
      </c>
      <c r="B96" s="602" t="s">
        <v>4535</v>
      </c>
      <c r="C96" s="602"/>
      <c r="D96" s="602"/>
      <c r="E96" s="602"/>
      <c r="F96" s="602"/>
      <c r="G96" s="602"/>
      <c r="H96" s="197">
        <v>4.29</v>
      </c>
    </row>
    <row r="97" spans="1:8" x14ac:dyDescent="0.25">
      <c r="A97" s="196" t="s">
        <v>4536</v>
      </c>
      <c r="B97" s="602" t="s">
        <v>4537</v>
      </c>
      <c r="C97" s="602"/>
      <c r="D97" s="602"/>
      <c r="E97" s="602"/>
      <c r="F97" s="602"/>
      <c r="G97" s="602"/>
      <c r="H97" s="197">
        <v>8.57</v>
      </c>
    </row>
    <row r="98" spans="1:8" x14ac:dyDescent="0.25">
      <c r="A98" s="196"/>
      <c r="B98" s="198"/>
      <c r="C98" s="198"/>
      <c r="D98" s="198"/>
      <c r="E98" s="198"/>
      <c r="F98" s="198"/>
      <c r="G98" s="198"/>
      <c r="H98" s="197"/>
    </row>
    <row r="99" spans="1:8" x14ac:dyDescent="0.25">
      <c r="A99" s="194" t="s">
        <v>4538</v>
      </c>
      <c r="B99" s="195" t="s">
        <v>4539</v>
      </c>
      <c r="C99" s="185"/>
      <c r="D99" s="185"/>
      <c r="E99" s="185"/>
      <c r="F99" s="185"/>
      <c r="G99" s="185"/>
      <c r="H99" s="197"/>
    </row>
    <row r="100" spans="1:8" x14ac:dyDescent="0.25">
      <c r="A100" s="196" t="s">
        <v>4540</v>
      </c>
      <c r="B100" s="602" t="s">
        <v>4541</v>
      </c>
      <c r="C100" s="602"/>
      <c r="D100" s="602"/>
      <c r="E100" s="602"/>
      <c r="F100" s="602"/>
      <c r="G100" s="602"/>
      <c r="H100" s="197">
        <v>5</v>
      </c>
    </row>
    <row r="101" spans="1:8" x14ac:dyDescent="0.25">
      <c r="A101" s="196" t="s">
        <v>4542</v>
      </c>
      <c r="B101" s="602" t="s">
        <v>4543</v>
      </c>
      <c r="C101" s="602"/>
      <c r="D101" s="602"/>
      <c r="E101" s="602"/>
      <c r="F101" s="602"/>
      <c r="G101" s="602"/>
      <c r="H101" s="197">
        <v>24</v>
      </c>
    </row>
    <row r="102" spans="1:8" x14ac:dyDescent="0.25">
      <c r="A102" s="196" t="s">
        <v>4544</v>
      </c>
      <c r="B102" s="602" t="s">
        <v>4545</v>
      </c>
      <c r="C102" s="602"/>
      <c r="D102" s="602"/>
      <c r="E102" s="602"/>
      <c r="F102" s="602"/>
      <c r="G102" s="602"/>
      <c r="H102" s="199">
        <v>0.8</v>
      </c>
    </row>
    <row r="103" spans="1:8" x14ac:dyDescent="0.25">
      <c r="A103" s="196" t="s">
        <v>4546</v>
      </c>
      <c r="B103" s="602" t="s">
        <v>4547</v>
      </c>
      <c r="C103" s="602"/>
      <c r="D103" s="602"/>
      <c r="E103" s="602"/>
      <c r="F103" s="602"/>
      <c r="G103" s="602"/>
      <c r="H103" s="199">
        <v>0.2</v>
      </c>
    </row>
    <row r="104" spans="1:8" x14ac:dyDescent="0.25">
      <c r="A104" s="196" t="s">
        <v>4548</v>
      </c>
      <c r="B104" s="602" t="s">
        <v>4549</v>
      </c>
      <c r="C104" s="602"/>
      <c r="D104" s="602"/>
      <c r="E104" s="602"/>
      <c r="F104" s="602"/>
      <c r="G104" s="602"/>
      <c r="H104" s="197">
        <v>3.2</v>
      </c>
    </row>
    <row r="105" spans="1:8" x14ac:dyDescent="0.25">
      <c r="A105" s="185"/>
      <c r="B105" s="185"/>
      <c r="C105" s="185"/>
      <c r="D105" s="185"/>
      <c r="E105" s="185"/>
      <c r="F105" s="185"/>
      <c r="G105" s="185"/>
      <c r="H105" s="197"/>
    </row>
    <row r="106" spans="1:8" x14ac:dyDescent="0.25">
      <c r="A106" s="194" t="s">
        <v>4550</v>
      </c>
      <c r="B106" s="195" t="s">
        <v>4551</v>
      </c>
      <c r="C106" s="185"/>
      <c r="D106" s="185"/>
      <c r="E106" s="185"/>
      <c r="F106" s="185"/>
      <c r="G106" s="185"/>
      <c r="H106" s="197"/>
    </row>
    <row r="107" spans="1:8" x14ac:dyDescent="0.25">
      <c r="A107" s="196" t="s">
        <v>4552</v>
      </c>
      <c r="B107" s="602" t="s">
        <v>4553</v>
      </c>
      <c r="C107" s="602"/>
      <c r="D107" s="602"/>
      <c r="E107" s="602"/>
      <c r="F107" s="602"/>
      <c r="G107" s="602"/>
      <c r="H107" s="197">
        <v>5</v>
      </c>
    </row>
    <row r="108" spans="1:8" x14ac:dyDescent="0.25">
      <c r="A108" s="196" t="s">
        <v>4554</v>
      </c>
      <c r="B108" s="602" t="s">
        <v>4555</v>
      </c>
      <c r="C108" s="602"/>
      <c r="D108" s="602"/>
      <c r="E108" s="602"/>
      <c r="F108" s="602"/>
      <c r="G108" s="602"/>
      <c r="H108" s="199">
        <v>0.8</v>
      </c>
    </row>
    <row r="109" spans="1:8" x14ac:dyDescent="0.25">
      <c r="A109" s="196" t="s">
        <v>4556</v>
      </c>
      <c r="B109" s="602" t="s">
        <v>4557</v>
      </c>
      <c r="C109" s="602"/>
      <c r="D109" s="602"/>
      <c r="E109" s="602"/>
      <c r="F109" s="602"/>
      <c r="G109" s="602"/>
      <c r="H109" s="199">
        <v>0.1</v>
      </c>
    </row>
    <row r="110" spans="1:8" x14ac:dyDescent="0.25">
      <c r="A110" s="196" t="s">
        <v>4558</v>
      </c>
      <c r="B110" s="602" t="s">
        <v>4559</v>
      </c>
      <c r="C110" s="602"/>
      <c r="D110" s="602"/>
      <c r="E110" s="602"/>
      <c r="F110" s="602"/>
      <c r="G110" s="602"/>
      <c r="H110" s="197">
        <v>3.2</v>
      </c>
    </row>
    <row r="111" spans="1:8" x14ac:dyDescent="0.25">
      <c r="A111" s="196" t="s">
        <v>4560</v>
      </c>
      <c r="B111" s="602" t="s">
        <v>4561</v>
      </c>
      <c r="C111" s="602"/>
      <c r="D111" s="602"/>
      <c r="E111" s="602"/>
      <c r="F111" s="602"/>
      <c r="G111" s="602"/>
      <c r="H111" s="197">
        <v>5</v>
      </c>
    </row>
    <row r="112" spans="1:8" x14ac:dyDescent="0.25">
      <c r="A112" s="196" t="s">
        <v>4562</v>
      </c>
      <c r="B112" s="602" t="s">
        <v>4563</v>
      </c>
      <c r="C112" s="602"/>
      <c r="D112" s="602"/>
      <c r="E112" s="602"/>
      <c r="F112" s="602"/>
      <c r="G112" s="602"/>
      <c r="H112" s="197">
        <v>207.74</v>
      </c>
    </row>
    <row r="113" spans="1:8" x14ac:dyDescent="0.25">
      <c r="A113" s="196" t="s">
        <v>4564</v>
      </c>
      <c r="B113" s="602" t="s">
        <v>4565</v>
      </c>
      <c r="C113" s="602"/>
      <c r="D113" s="602"/>
      <c r="E113" s="602"/>
      <c r="F113" s="602"/>
      <c r="G113" s="602"/>
      <c r="H113" s="197">
        <v>1784.82</v>
      </c>
    </row>
    <row r="114" spans="1:8" x14ac:dyDescent="0.25">
      <c r="A114" s="196" t="s">
        <v>4566</v>
      </c>
      <c r="B114" s="602" t="s">
        <v>4567</v>
      </c>
      <c r="C114" s="602"/>
      <c r="D114" s="602"/>
      <c r="E114" s="602"/>
      <c r="F114" s="602"/>
      <c r="G114" s="602"/>
      <c r="H114" s="197">
        <v>148.74</v>
      </c>
    </row>
    <row r="115" spans="1:8" x14ac:dyDescent="0.25">
      <c r="A115" s="185"/>
      <c r="B115" s="185"/>
      <c r="C115" s="185"/>
      <c r="D115" s="185"/>
      <c r="E115" s="185"/>
      <c r="F115" s="185"/>
      <c r="G115" s="185"/>
      <c r="H115" s="197"/>
    </row>
    <row r="116" spans="1:8" x14ac:dyDescent="0.25">
      <c r="A116" s="194">
        <v>2</v>
      </c>
      <c r="B116" s="195" t="s">
        <v>4568</v>
      </c>
      <c r="C116" s="185"/>
      <c r="D116" s="185"/>
      <c r="E116" s="185"/>
      <c r="F116" s="185"/>
      <c r="G116" s="185"/>
      <c r="H116" s="197"/>
    </row>
    <row r="117" spans="1:8" x14ac:dyDescent="0.25">
      <c r="A117" s="194" t="s">
        <v>4569</v>
      </c>
      <c r="B117" s="195" t="s">
        <v>4570</v>
      </c>
      <c r="C117" s="185"/>
      <c r="D117" s="185"/>
      <c r="E117" s="185"/>
      <c r="F117" s="185"/>
      <c r="G117" s="185"/>
      <c r="H117" s="197"/>
    </row>
    <row r="118" spans="1:8" x14ac:dyDescent="0.25">
      <c r="A118" s="185"/>
      <c r="B118" s="602" t="s">
        <v>4571</v>
      </c>
      <c r="C118" s="602"/>
      <c r="D118" s="602"/>
      <c r="E118" s="602"/>
      <c r="F118" s="602"/>
      <c r="G118" s="602"/>
      <c r="H118" s="200">
        <v>0.2</v>
      </c>
    </row>
    <row r="119" spans="1:8" x14ac:dyDescent="0.25">
      <c r="A119" s="185"/>
      <c r="B119" s="602" t="s">
        <v>4572</v>
      </c>
      <c r="C119" s="602"/>
      <c r="D119" s="602"/>
      <c r="E119" s="602"/>
      <c r="F119" s="602"/>
      <c r="G119" s="602"/>
      <c r="H119" s="200">
        <v>0.08</v>
      </c>
    </row>
    <row r="120" spans="1:8" x14ac:dyDescent="0.25">
      <c r="A120" s="185"/>
      <c r="B120" s="602" t="s">
        <v>4573</v>
      </c>
      <c r="C120" s="602"/>
      <c r="D120" s="602"/>
      <c r="E120" s="602"/>
      <c r="F120" s="602"/>
      <c r="G120" s="602"/>
      <c r="H120" s="201">
        <v>1.4999999999999999E-2</v>
      </c>
    </row>
    <row r="121" spans="1:8" x14ac:dyDescent="0.25">
      <c r="A121" s="185"/>
      <c r="B121" s="602" t="s">
        <v>4574</v>
      </c>
      <c r="C121" s="602"/>
      <c r="D121" s="602"/>
      <c r="E121" s="602"/>
      <c r="F121" s="602"/>
      <c r="G121" s="602"/>
      <c r="H121" s="201">
        <v>0.01</v>
      </c>
    </row>
    <row r="122" spans="1:8" x14ac:dyDescent="0.25">
      <c r="A122" s="185"/>
      <c r="B122" s="602" t="s">
        <v>4437</v>
      </c>
      <c r="C122" s="602"/>
      <c r="D122" s="602"/>
      <c r="E122" s="602"/>
      <c r="F122" s="602"/>
      <c r="G122" s="602"/>
      <c r="H122" s="201">
        <v>2.5000000000000001E-2</v>
      </c>
    </row>
    <row r="123" spans="1:8" x14ac:dyDescent="0.25">
      <c r="A123" s="185"/>
      <c r="B123" s="602" t="s">
        <v>4575</v>
      </c>
      <c r="C123" s="602"/>
      <c r="D123" s="602"/>
      <c r="E123" s="602"/>
      <c r="F123" s="602"/>
      <c r="G123" s="602"/>
      <c r="H123" s="201">
        <v>6.0000000000000001E-3</v>
      </c>
    </row>
    <row r="124" spans="1:8" x14ac:dyDescent="0.25">
      <c r="A124" s="185"/>
      <c r="B124" s="602" t="s">
        <v>4576</v>
      </c>
      <c r="C124" s="602"/>
      <c r="D124" s="602"/>
      <c r="E124" s="602"/>
      <c r="F124" s="602"/>
      <c r="G124" s="602"/>
      <c r="H124" s="201">
        <v>2E-3</v>
      </c>
    </row>
    <row r="125" spans="1:8" x14ac:dyDescent="0.25">
      <c r="A125" s="185"/>
      <c r="B125" s="602" t="s">
        <v>4577</v>
      </c>
      <c r="C125" s="602"/>
      <c r="D125" s="602"/>
      <c r="E125" s="602"/>
      <c r="F125" s="602"/>
      <c r="G125" s="602"/>
      <c r="H125" s="201">
        <v>0.03</v>
      </c>
    </row>
    <row r="126" spans="1:8" x14ac:dyDescent="0.25">
      <c r="A126" s="185"/>
      <c r="B126" s="195" t="s">
        <v>4442</v>
      </c>
      <c r="C126" s="185"/>
      <c r="D126" s="185"/>
      <c r="E126" s="185"/>
      <c r="F126" s="185"/>
      <c r="G126" s="185"/>
      <c r="H126" s="202">
        <f>SUM(H118:H125)</f>
        <v>0.3680000000000001</v>
      </c>
    </row>
    <row r="127" spans="1:8" x14ac:dyDescent="0.25">
      <c r="A127" s="185"/>
      <c r="B127" s="185"/>
      <c r="C127" s="185"/>
      <c r="D127" s="185"/>
      <c r="E127" s="185"/>
      <c r="F127" s="185"/>
      <c r="G127" s="185"/>
      <c r="H127" s="197"/>
    </row>
    <row r="128" spans="1:8" s="151" customFormat="1" ht="15" x14ac:dyDescent="0.25">
      <c r="A128" s="155"/>
      <c r="B128" s="153"/>
      <c r="C128" s="153"/>
      <c r="D128" s="154"/>
      <c r="E128" s="153"/>
      <c r="F128" s="153"/>
      <c r="G128" s="153"/>
      <c r="H128" s="153"/>
    </row>
    <row r="129" spans="1:8" s="151" customFormat="1" ht="15" x14ac:dyDescent="0.25">
      <c r="A129" s="155"/>
      <c r="B129" s="153"/>
      <c r="C129" s="153"/>
      <c r="D129" s="154"/>
      <c r="E129" s="153"/>
      <c r="F129" s="153"/>
      <c r="G129" s="153"/>
      <c r="H129" s="153"/>
    </row>
    <row r="130" spans="1:8" s="151" customFormat="1" ht="15" x14ac:dyDescent="0.25">
      <c r="A130" s="155"/>
      <c r="B130" s="153"/>
      <c r="C130" s="153"/>
      <c r="D130" s="154"/>
      <c r="E130" s="153"/>
      <c r="F130" s="153"/>
      <c r="G130" s="153"/>
      <c r="H130" s="153"/>
    </row>
    <row r="131" spans="1:8" s="151" customFormat="1" ht="15" x14ac:dyDescent="0.25">
      <c r="A131" s="155"/>
      <c r="B131" s="153"/>
      <c r="C131" s="153"/>
      <c r="D131" s="154"/>
      <c r="E131" s="153"/>
      <c r="F131" s="153"/>
      <c r="G131" s="153"/>
      <c r="H131" s="153"/>
    </row>
    <row r="132" spans="1:8" s="151" customFormat="1" ht="15" x14ac:dyDescent="0.25">
      <c r="A132" s="155"/>
      <c r="B132" s="153"/>
      <c r="C132" s="153"/>
      <c r="D132" s="154"/>
      <c r="E132" s="153"/>
      <c r="F132" s="153"/>
      <c r="G132" s="153"/>
      <c r="H132" s="153"/>
    </row>
    <row r="133" spans="1:8" s="151" customFormat="1" ht="15" x14ac:dyDescent="0.25">
      <c r="A133" s="155"/>
      <c r="B133" s="153"/>
      <c r="C133" s="153"/>
      <c r="D133" s="154"/>
      <c r="E133" s="153"/>
      <c r="F133" s="153"/>
      <c r="G133" s="153"/>
      <c r="H133" s="153"/>
    </row>
    <row r="134" spans="1:8" s="151" customFormat="1" ht="15" x14ac:dyDescent="0.25">
      <c r="A134" s="155"/>
      <c r="B134" s="153"/>
      <c r="C134" s="153"/>
      <c r="D134" s="154"/>
      <c r="E134" s="153"/>
      <c r="F134" s="153"/>
      <c r="G134" s="153"/>
      <c r="H134" s="153"/>
    </row>
    <row r="135" spans="1:8" s="151" customFormat="1" ht="41.25" customHeight="1" x14ac:dyDescent="0.25">
      <c r="A135" s="155"/>
      <c r="B135" s="510" t="s">
        <v>35</v>
      </c>
      <c r="C135" s="510"/>
      <c r="D135" s="510"/>
      <c r="E135" s="510"/>
      <c r="F135" s="510"/>
      <c r="G135" s="510"/>
      <c r="H135" s="153"/>
    </row>
    <row r="136" spans="1:8" s="151" customFormat="1" ht="18.75" x14ac:dyDescent="0.25">
      <c r="A136" s="155"/>
      <c r="B136" s="546" t="s">
        <v>36</v>
      </c>
      <c r="C136" s="546"/>
      <c r="D136" s="546"/>
      <c r="E136" s="546"/>
      <c r="F136" s="546"/>
      <c r="G136" s="546"/>
      <c r="H136" s="153"/>
    </row>
    <row r="137" spans="1:8" s="151" customFormat="1" ht="18.75" x14ac:dyDescent="0.25">
      <c r="A137" s="155"/>
      <c r="B137" s="546" t="s">
        <v>4</v>
      </c>
      <c r="C137" s="546"/>
      <c r="D137" s="546"/>
      <c r="E137" s="546"/>
      <c r="F137" s="546"/>
      <c r="G137" s="546"/>
      <c r="H137" s="153"/>
    </row>
    <row r="138" spans="1:8" s="151" customFormat="1" ht="15" x14ac:dyDescent="0.25">
      <c r="A138" s="155"/>
      <c r="B138" s="153"/>
      <c r="C138" s="153"/>
      <c r="D138" s="154"/>
      <c r="E138" s="153"/>
      <c r="F138" s="153"/>
      <c r="G138" s="153"/>
      <c r="H138" s="153"/>
    </row>
    <row r="139" spans="1:8" x14ac:dyDescent="0.25">
      <c r="A139" s="604" t="s">
        <v>4496</v>
      </c>
      <c r="B139" s="604"/>
      <c r="C139" s="604"/>
      <c r="D139" s="604"/>
      <c r="E139" s="604"/>
      <c r="F139" s="604"/>
      <c r="G139" s="604"/>
      <c r="H139" s="604"/>
    </row>
    <row r="140" spans="1:8" x14ac:dyDescent="0.25">
      <c r="A140" s="194"/>
      <c r="B140" s="194"/>
      <c r="C140" s="194"/>
      <c r="D140" s="194"/>
      <c r="E140" s="194"/>
      <c r="F140" s="194"/>
      <c r="G140" s="194"/>
      <c r="H140" s="194"/>
    </row>
    <row r="141" spans="1:8" x14ac:dyDescent="0.25">
      <c r="A141" s="194" t="s">
        <v>4578</v>
      </c>
      <c r="B141" s="195" t="s">
        <v>4446</v>
      </c>
      <c r="C141" s="185"/>
      <c r="D141" s="185"/>
      <c r="E141" s="185"/>
      <c r="F141" s="185"/>
      <c r="G141" s="185"/>
      <c r="H141" s="197"/>
    </row>
    <row r="142" spans="1:8" x14ac:dyDescent="0.25">
      <c r="A142" s="185"/>
      <c r="B142" s="602" t="s">
        <v>4579</v>
      </c>
      <c r="C142" s="602"/>
      <c r="D142" s="602"/>
      <c r="E142" s="602"/>
      <c r="F142" s="602"/>
      <c r="G142" s="602"/>
      <c r="H142" s="200">
        <v>9.1800000000000007E-2</v>
      </c>
    </row>
    <row r="143" spans="1:8" x14ac:dyDescent="0.25">
      <c r="A143" s="185"/>
      <c r="B143" s="602" t="s">
        <v>4580</v>
      </c>
      <c r="C143" s="602"/>
      <c r="D143" s="602"/>
      <c r="E143" s="602"/>
      <c r="F143" s="602"/>
      <c r="G143" s="602"/>
      <c r="H143" s="200">
        <v>1.34E-2</v>
      </c>
    </row>
    <row r="144" spans="1:8" x14ac:dyDescent="0.25">
      <c r="A144" s="185"/>
      <c r="B144" s="602" t="s">
        <v>4581</v>
      </c>
      <c r="C144" s="602"/>
      <c r="D144" s="602"/>
      <c r="E144" s="602"/>
      <c r="F144" s="602"/>
      <c r="G144" s="602"/>
      <c r="H144" s="201">
        <v>4.7999999999999996E-3</v>
      </c>
    </row>
    <row r="145" spans="1:8" x14ac:dyDescent="0.25">
      <c r="A145" s="185"/>
      <c r="B145" s="602" t="s">
        <v>4582</v>
      </c>
      <c r="C145" s="602"/>
      <c r="D145" s="602"/>
      <c r="E145" s="602"/>
      <c r="F145" s="602"/>
      <c r="G145" s="602"/>
      <c r="H145" s="201">
        <v>1.8E-3</v>
      </c>
    </row>
    <row r="146" spans="1:8" x14ac:dyDescent="0.25">
      <c r="A146" s="185"/>
      <c r="B146" s="602" t="s">
        <v>4583</v>
      </c>
      <c r="C146" s="602"/>
      <c r="D146" s="602"/>
      <c r="E146" s="602"/>
      <c r="F146" s="602"/>
      <c r="G146" s="602"/>
      <c r="H146" s="201">
        <v>1.8E-3</v>
      </c>
    </row>
    <row r="147" spans="1:8" x14ac:dyDescent="0.25">
      <c r="A147" s="185"/>
      <c r="B147" s="602" t="s">
        <v>4584</v>
      </c>
      <c r="C147" s="602"/>
      <c r="D147" s="602"/>
      <c r="E147" s="602"/>
      <c r="F147" s="602"/>
      <c r="G147" s="602"/>
      <c r="H147" s="201">
        <v>2.8E-3</v>
      </c>
    </row>
    <row r="148" spans="1:8" x14ac:dyDescent="0.25">
      <c r="A148" s="185"/>
      <c r="B148" s="195" t="s">
        <v>4585</v>
      </c>
      <c r="C148" s="185"/>
      <c r="D148" s="185"/>
      <c r="E148" s="185"/>
      <c r="F148" s="185"/>
      <c r="G148" s="185"/>
      <c r="H148" s="202">
        <f>SUM(H142:H147)</f>
        <v>0.11639999999999999</v>
      </c>
    </row>
    <row r="149" spans="1:8" x14ac:dyDescent="0.25">
      <c r="A149" s="185"/>
      <c r="B149" s="185"/>
      <c r="C149" s="185"/>
      <c r="D149" s="185"/>
      <c r="E149" s="185"/>
      <c r="F149" s="185"/>
      <c r="G149" s="185"/>
      <c r="H149" s="197"/>
    </row>
    <row r="150" spans="1:8" x14ac:dyDescent="0.25">
      <c r="A150" s="194" t="s">
        <v>4586</v>
      </c>
      <c r="B150" s="195" t="s">
        <v>4459</v>
      </c>
      <c r="C150" s="185"/>
      <c r="D150" s="185"/>
      <c r="E150" s="185"/>
      <c r="F150" s="185"/>
      <c r="G150" s="185"/>
      <c r="H150" s="197"/>
    </row>
    <row r="151" spans="1:8" x14ac:dyDescent="0.25">
      <c r="A151" s="194"/>
      <c r="B151" s="195" t="s">
        <v>4461</v>
      </c>
      <c r="C151" s="185"/>
      <c r="D151" s="185"/>
      <c r="E151" s="185"/>
      <c r="F151" s="185"/>
      <c r="G151" s="185"/>
      <c r="H151" s="197"/>
    </row>
    <row r="152" spans="1:8" x14ac:dyDescent="0.25">
      <c r="A152" s="185"/>
      <c r="B152" s="602" t="s">
        <v>4587</v>
      </c>
      <c r="C152" s="602"/>
      <c r="D152" s="602"/>
      <c r="E152" s="602"/>
      <c r="F152" s="602"/>
      <c r="G152" s="602"/>
      <c r="H152" s="200">
        <v>0.8</v>
      </c>
    </row>
    <row r="153" spans="1:8" x14ac:dyDescent="0.25">
      <c r="A153" s="185"/>
      <c r="B153" s="602" t="s">
        <v>4588</v>
      </c>
      <c r="C153" s="602"/>
      <c r="D153" s="602"/>
      <c r="E153" s="602"/>
      <c r="F153" s="602"/>
      <c r="G153" s="602"/>
      <c r="H153" s="203" t="s">
        <v>4589</v>
      </c>
    </row>
    <row r="154" spans="1:8" x14ac:dyDescent="0.25">
      <c r="A154" s="185"/>
      <c r="B154" s="602" t="s">
        <v>4590</v>
      </c>
      <c r="C154" s="602"/>
      <c r="D154" s="602"/>
      <c r="E154" s="602"/>
      <c r="F154" s="602"/>
      <c r="G154" s="602"/>
      <c r="H154" s="201">
        <v>0.5</v>
      </c>
    </row>
    <row r="155" spans="1:8" x14ac:dyDescent="0.25">
      <c r="A155" s="185"/>
      <c r="B155" s="602" t="s">
        <v>4591</v>
      </c>
      <c r="C155" s="602"/>
      <c r="D155" s="602"/>
      <c r="E155" s="602"/>
      <c r="F155" s="602"/>
      <c r="G155" s="602"/>
      <c r="H155" s="201">
        <v>0.03</v>
      </c>
    </row>
    <row r="156" spans="1:8" x14ac:dyDescent="0.25">
      <c r="A156" s="185"/>
      <c r="B156" s="602" t="s">
        <v>4592</v>
      </c>
      <c r="C156" s="602"/>
      <c r="D156" s="602"/>
      <c r="E156" s="602"/>
      <c r="F156" s="602"/>
      <c r="G156" s="602"/>
      <c r="H156" s="201">
        <v>2.47E-3</v>
      </c>
    </row>
    <row r="157" spans="1:8" x14ac:dyDescent="0.25">
      <c r="A157" s="185"/>
      <c r="B157" s="602" t="s">
        <v>4593</v>
      </c>
      <c r="C157" s="602"/>
      <c r="D157" s="602"/>
      <c r="E157" s="602"/>
      <c r="F157" s="602"/>
      <c r="G157" s="602"/>
      <c r="H157" s="201">
        <v>3.6700000000000003E-2</v>
      </c>
    </row>
    <row r="158" spans="1:8" x14ac:dyDescent="0.25">
      <c r="A158" s="194"/>
      <c r="B158" s="195" t="s">
        <v>4594</v>
      </c>
      <c r="C158" s="185"/>
      <c r="D158" s="185"/>
      <c r="E158" s="185"/>
      <c r="F158" s="185"/>
      <c r="G158" s="185"/>
      <c r="H158" s="197"/>
    </row>
    <row r="159" spans="1:8" x14ac:dyDescent="0.25">
      <c r="A159" s="185"/>
      <c r="B159" s="602" t="s">
        <v>4595</v>
      </c>
      <c r="C159" s="602"/>
      <c r="D159" s="602"/>
      <c r="E159" s="602"/>
      <c r="F159" s="602"/>
      <c r="G159" s="602"/>
      <c r="H159" s="200">
        <v>7.3000000000000001E-3</v>
      </c>
    </row>
    <row r="160" spans="1:8" x14ac:dyDescent="0.25">
      <c r="A160" s="185"/>
      <c r="B160" s="602" t="s">
        <v>4596</v>
      </c>
      <c r="C160" s="602"/>
      <c r="D160" s="602"/>
      <c r="E160" s="602"/>
      <c r="F160" s="602"/>
      <c r="G160" s="602"/>
      <c r="H160" s="200">
        <v>1.49E-2</v>
      </c>
    </row>
    <row r="161" spans="1:8" x14ac:dyDescent="0.25">
      <c r="A161" s="185"/>
      <c r="B161" s="602" t="s">
        <v>4597</v>
      </c>
      <c r="C161" s="602"/>
      <c r="D161" s="602"/>
      <c r="E161" s="602"/>
      <c r="F161" s="602"/>
      <c r="G161" s="602"/>
      <c r="H161" s="201">
        <v>0.19620000000000001</v>
      </c>
    </row>
    <row r="162" spans="1:8" x14ac:dyDescent="0.25">
      <c r="A162" s="185"/>
      <c r="B162" s="602" t="s">
        <v>4598</v>
      </c>
      <c r="C162" s="602"/>
      <c r="D162" s="602"/>
      <c r="E162" s="602"/>
      <c r="F162" s="602"/>
      <c r="G162" s="602"/>
      <c r="H162" s="201">
        <v>3.9199999999999999E-2</v>
      </c>
    </row>
    <row r="163" spans="1:8" x14ac:dyDescent="0.25">
      <c r="A163" s="185"/>
      <c r="B163" s="195" t="s">
        <v>4599</v>
      </c>
      <c r="C163" s="185"/>
      <c r="D163" s="185"/>
      <c r="E163" s="185"/>
      <c r="F163" s="185"/>
      <c r="G163" s="185"/>
      <c r="H163" s="202">
        <f>H162+H157</f>
        <v>7.5899999999999995E-2</v>
      </c>
    </row>
    <row r="164" spans="1:8" x14ac:dyDescent="0.25">
      <c r="A164" s="185"/>
      <c r="B164" s="185"/>
      <c r="C164" s="185"/>
      <c r="D164" s="185"/>
      <c r="E164" s="185"/>
      <c r="F164" s="185"/>
      <c r="G164" s="185"/>
      <c r="H164" s="197"/>
    </row>
    <row r="165" spans="1:8" x14ac:dyDescent="0.25">
      <c r="A165" s="194" t="s">
        <v>4600</v>
      </c>
      <c r="B165" s="195" t="s">
        <v>4468</v>
      </c>
      <c r="C165" s="185"/>
      <c r="D165" s="185"/>
      <c r="E165" s="185"/>
      <c r="F165" s="185"/>
      <c r="G165" s="185"/>
      <c r="H165" s="197"/>
    </row>
    <row r="166" spans="1:8" x14ac:dyDescent="0.25">
      <c r="A166" s="185"/>
      <c r="B166" s="602" t="s">
        <v>4601</v>
      </c>
      <c r="C166" s="602"/>
      <c r="D166" s="602"/>
      <c r="E166" s="602"/>
      <c r="F166" s="602"/>
      <c r="G166" s="602"/>
      <c r="H166" s="200">
        <v>9.2999999999999999E-2</v>
      </c>
    </row>
    <row r="167" spans="1:8" x14ac:dyDescent="0.25">
      <c r="A167" s="185"/>
      <c r="B167" s="602" t="s">
        <v>4602</v>
      </c>
      <c r="C167" s="602"/>
      <c r="D167" s="602"/>
      <c r="E167" s="602"/>
      <c r="F167" s="602"/>
      <c r="G167" s="602"/>
      <c r="H167" s="200">
        <v>3.0599999999999999E-2</v>
      </c>
    </row>
    <row r="168" spans="1:8" x14ac:dyDescent="0.25">
      <c r="A168" s="185"/>
      <c r="B168" s="195" t="s">
        <v>4603</v>
      </c>
      <c r="C168" s="185"/>
      <c r="D168" s="185"/>
      <c r="E168" s="185"/>
      <c r="F168" s="185"/>
      <c r="G168" s="185"/>
      <c r="H168" s="202">
        <f>SUM(H166:H167)</f>
        <v>0.1236</v>
      </c>
    </row>
    <row r="169" spans="1:8" x14ac:dyDescent="0.25">
      <c r="A169" s="185"/>
      <c r="B169" s="185"/>
      <c r="C169" s="185"/>
      <c r="D169" s="185"/>
      <c r="E169" s="185"/>
      <c r="F169" s="185"/>
      <c r="G169" s="185"/>
      <c r="H169" s="197"/>
    </row>
    <row r="170" spans="1:8" x14ac:dyDescent="0.25">
      <c r="A170" s="194" t="s">
        <v>4604</v>
      </c>
      <c r="B170" s="195" t="s">
        <v>4476</v>
      </c>
      <c r="C170" s="185"/>
      <c r="D170" s="185"/>
      <c r="E170" s="185"/>
      <c r="F170" s="185"/>
      <c r="G170" s="185"/>
      <c r="H170" s="197"/>
    </row>
    <row r="171" spans="1:8" x14ac:dyDescent="0.25">
      <c r="A171" s="185"/>
      <c r="B171" s="602" t="s">
        <v>4605</v>
      </c>
      <c r="C171" s="602"/>
      <c r="D171" s="602"/>
      <c r="E171" s="602"/>
      <c r="F171" s="602"/>
      <c r="G171" s="602"/>
      <c r="H171" s="200">
        <f>H126*H148</f>
        <v>4.2835200000000011E-2</v>
      </c>
    </row>
    <row r="172" spans="1:8" x14ac:dyDescent="0.25">
      <c r="A172" s="185"/>
      <c r="B172" s="602" t="s">
        <v>4606</v>
      </c>
      <c r="C172" s="602"/>
      <c r="D172" s="602"/>
      <c r="E172" s="602"/>
      <c r="F172" s="602"/>
      <c r="G172" s="602"/>
      <c r="H172" s="200">
        <f>H126*H168</f>
        <v>4.5484800000000013E-2</v>
      </c>
    </row>
    <row r="173" spans="1:8" x14ac:dyDescent="0.25">
      <c r="A173" s="185"/>
      <c r="B173" s="195" t="s">
        <v>4607</v>
      </c>
      <c r="C173" s="185"/>
      <c r="D173" s="185"/>
      <c r="E173" s="185"/>
      <c r="F173" s="185"/>
      <c r="G173" s="185"/>
      <c r="H173" s="202">
        <f>SUM(H171:H172)</f>
        <v>8.8320000000000023E-2</v>
      </c>
    </row>
    <row r="174" spans="1:8" x14ac:dyDescent="0.25">
      <c r="A174" s="185"/>
      <c r="B174" s="195"/>
      <c r="C174" s="185"/>
      <c r="D174" s="185"/>
      <c r="E174" s="185"/>
      <c r="F174" s="185"/>
      <c r="G174" s="185"/>
      <c r="H174" s="202"/>
    </row>
    <row r="175" spans="1:8" x14ac:dyDescent="0.25">
      <c r="A175" s="185"/>
      <c r="B175" s="195" t="s">
        <v>4480</v>
      </c>
      <c r="C175" s="185"/>
      <c r="D175" s="185"/>
      <c r="E175" s="185"/>
      <c r="F175" s="185"/>
      <c r="G175" s="185"/>
      <c r="H175" s="202">
        <f>SUM(H173,H168,H163,H148,H126)</f>
        <v>0.77222000000000013</v>
      </c>
    </row>
    <row r="176" spans="1:8" x14ac:dyDescent="0.25">
      <c r="A176" s="185"/>
      <c r="B176" s="185"/>
      <c r="C176" s="185"/>
      <c r="D176" s="185"/>
      <c r="E176" s="185"/>
      <c r="F176" s="185"/>
      <c r="G176" s="185"/>
      <c r="H176" s="197"/>
    </row>
    <row r="177" spans="1:8" x14ac:dyDescent="0.25">
      <c r="A177" s="194" t="s">
        <v>4608</v>
      </c>
      <c r="B177" s="195" t="s">
        <v>4484</v>
      </c>
      <c r="C177" s="185"/>
      <c r="D177" s="185"/>
      <c r="E177" s="185"/>
      <c r="F177" s="185"/>
      <c r="G177" s="185"/>
      <c r="H177" s="197"/>
    </row>
    <row r="178" spans="1:8" x14ac:dyDescent="0.25">
      <c r="A178" s="194"/>
      <c r="B178" s="195" t="s">
        <v>4609</v>
      </c>
      <c r="C178" s="185"/>
      <c r="D178" s="185"/>
      <c r="E178" s="185"/>
      <c r="F178" s="185"/>
      <c r="G178" s="185"/>
      <c r="H178" s="197"/>
    </row>
    <row r="179" spans="1:8" x14ac:dyDescent="0.25">
      <c r="A179" s="185"/>
      <c r="B179" s="602" t="s">
        <v>4610</v>
      </c>
      <c r="C179" s="602"/>
      <c r="D179" s="602"/>
      <c r="E179" s="602"/>
      <c r="F179" s="602"/>
      <c r="G179" s="602"/>
      <c r="H179" s="200">
        <v>1</v>
      </c>
    </row>
    <row r="180" spans="1:8" x14ac:dyDescent="0.25">
      <c r="A180" s="185"/>
      <c r="B180" s="602" t="s">
        <v>4611</v>
      </c>
      <c r="C180" s="602"/>
      <c r="D180" s="602"/>
      <c r="E180" s="602"/>
      <c r="F180" s="602"/>
      <c r="G180" s="602"/>
      <c r="H180" s="197">
        <v>24.5</v>
      </c>
    </row>
    <row r="181" spans="1:8" x14ac:dyDescent="0.25">
      <c r="A181" s="185"/>
      <c r="B181" s="602" t="s">
        <v>4612</v>
      </c>
      <c r="C181" s="602"/>
      <c r="D181" s="602"/>
      <c r="E181" s="602"/>
      <c r="F181" s="602"/>
      <c r="G181" s="602"/>
      <c r="H181" s="201">
        <v>0.8</v>
      </c>
    </row>
    <row r="182" spans="1:8" x14ac:dyDescent="0.25">
      <c r="A182" s="185"/>
      <c r="B182" s="602" t="s">
        <v>4613</v>
      </c>
      <c r="C182" s="602"/>
      <c r="D182" s="602"/>
      <c r="E182" s="602"/>
      <c r="F182" s="602"/>
      <c r="G182" s="602"/>
      <c r="H182" s="197">
        <v>21</v>
      </c>
    </row>
    <row r="183" spans="1:8" x14ac:dyDescent="0.25">
      <c r="A183" s="185"/>
      <c r="B183" s="602" t="s">
        <v>4614</v>
      </c>
      <c r="C183" s="602"/>
      <c r="D183" s="602"/>
      <c r="E183" s="602"/>
      <c r="F183" s="602"/>
      <c r="G183" s="602"/>
      <c r="H183" s="201"/>
    </row>
    <row r="184" spans="1:8" x14ac:dyDescent="0.25">
      <c r="A184" s="185"/>
      <c r="B184" s="602" t="s">
        <v>4615</v>
      </c>
      <c r="C184" s="602"/>
      <c r="D184" s="602"/>
      <c r="E184" s="602"/>
      <c r="F184" s="602"/>
      <c r="G184" s="602"/>
      <c r="H184" s="197">
        <v>6698</v>
      </c>
    </row>
    <row r="185" spans="1:8" x14ac:dyDescent="0.25">
      <c r="A185" s="185"/>
      <c r="B185" s="602" t="s">
        <v>4616</v>
      </c>
      <c r="C185" s="602"/>
      <c r="D185" s="602"/>
      <c r="E185" s="602"/>
      <c r="F185" s="602"/>
      <c r="G185" s="602"/>
      <c r="H185" s="201">
        <f>(1*0.8*H180*21)/H184</f>
        <v>6.1451179456554199E-2</v>
      </c>
    </row>
    <row r="186" spans="1:8" x14ac:dyDescent="0.25">
      <c r="A186" s="194"/>
      <c r="B186" s="195" t="s">
        <v>4617</v>
      </c>
      <c r="C186" s="185"/>
      <c r="D186" s="185"/>
      <c r="E186" s="185"/>
      <c r="F186" s="185"/>
      <c r="G186" s="185"/>
      <c r="H186" s="197"/>
    </row>
    <row r="187" spans="1:8" x14ac:dyDescent="0.25">
      <c r="A187" s="185"/>
      <c r="B187" s="602" t="s">
        <v>4610</v>
      </c>
      <c r="C187" s="602"/>
      <c r="D187" s="602"/>
      <c r="E187" s="602"/>
      <c r="F187" s="602"/>
      <c r="G187" s="602"/>
      <c r="H187" s="200">
        <v>0.5</v>
      </c>
    </row>
    <row r="188" spans="1:8" x14ac:dyDescent="0.25">
      <c r="A188" s="185"/>
      <c r="B188" s="602" t="s">
        <v>4618</v>
      </c>
      <c r="C188" s="602"/>
      <c r="D188" s="602"/>
      <c r="E188" s="602"/>
      <c r="F188" s="602"/>
      <c r="G188" s="602"/>
      <c r="H188" s="197">
        <v>1434.4</v>
      </c>
    </row>
    <row r="189" spans="1:8" x14ac:dyDescent="0.25">
      <c r="A189" s="185"/>
      <c r="B189" s="602" t="s">
        <v>4619</v>
      </c>
      <c r="C189" s="602"/>
      <c r="D189" s="602"/>
      <c r="E189" s="602"/>
      <c r="F189" s="602"/>
      <c r="G189" s="602"/>
      <c r="H189" s="197">
        <v>6.6</v>
      </c>
    </row>
    <row r="190" spans="1:8" x14ac:dyDescent="0.25">
      <c r="A190" s="185"/>
      <c r="B190" s="602" t="s">
        <v>4613</v>
      </c>
      <c r="C190" s="602"/>
      <c r="D190" s="602"/>
      <c r="E190" s="602"/>
      <c r="F190" s="602"/>
      <c r="G190" s="602"/>
      <c r="H190" s="197">
        <v>21</v>
      </c>
    </row>
    <row r="191" spans="1:8" x14ac:dyDescent="0.25">
      <c r="A191" s="185"/>
      <c r="B191" s="602" t="s">
        <v>4620</v>
      </c>
      <c r="C191" s="602"/>
      <c r="D191" s="602"/>
      <c r="E191" s="602"/>
      <c r="F191" s="602"/>
      <c r="G191" s="602"/>
      <c r="H191" s="197">
        <f>H188*0.06</f>
        <v>86.064000000000007</v>
      </c>
    </row>
    <row r="192" spans="1:8" x14ac:dyDescent="0.25">
      <c r="A192" s="185"/>
      <c r="B192" s="602" t="s">
        <v>4621</v>
      </c>
      <c r="C192" s="602"/>
      <c r="D192" s="602"/>
      <c r="E192" s="602"/>
      <c r="F192" s="602"/>
      <c r="G192" s="602"/>
      <c r="H192" s="197">
        <f>(H190*H189)-H191</f>
        <v>52.535999999999987</v>
      </c>
    </row>
    <row r="193" spans="1:8" x14ac:dyDescent="0.25">
      <c r="A193" s="185"/>
      <c r="B193" s="602" t="s">
        <v>4622</v>
      </c>
      <c r="C193" s="602"/>
      <c r="D193" s="602"/>
      <c r="E193" s="602"/>
      <c r="F193" s="602"/>
      <c r="G193" s="602"/>
      <c r="H193" s="201">
        <f>H187*H192/H188</f>
        <v>1.8312883435582815E-2</v>
      </c>
    </row>
    <row r="194" spans="1:8" x14ac:dyDescent="0.25">
      <c r="A194" s="194"/>
      <c r="B194" s="195" t="s">
        <v>4623</v>
      </c>
      <c r="C194" s="185"/>
      <c r="D194" s="185"/>
      <c r="E194" s="185"/>
      <c r="F194" s="185"/>
      <c r="G194" s="185"/>
      <c r="H194" s="201">
        <v>1.66E-2</v>
      </c>
    </row>
    <row r="195" spans="1:8" x14ac:dyDescent="0.25">
      <c r="A195" s="194"/>
      <c r="B195" s="195" t="s">
        <v>4624</v>
      </c>
      <c r="C195" s="185"/>
      <c r="D195" s="185"/>
      <c r="E195" s="185"/>
      <c r="F195" s="185"/>
      <c r="G195" s="185"/>
      <c r="H195" s="201">
        <v>2.5000000000000001E-3</v>
      </c>
    </row>
    <row r="196" spans="1:8" x14ac:dyDescent="0.25">
      <c r="A196" s="194"/>
      <c r="B196" s="195"/>
      <c r="C196" s="185"/>
      <c r="D196" s="185"/>
      <c r="E196" s="185"/>
      <c r="F196" s="185"/>
      <c r="G196" s="185"/>
      <c r="H196" s="201"/>
    </row>
    <row r="197" spans="1:8" x14ac:dyDescent="0.25">
      <c r="A197" s="185"/>
      <c r="B197" s="195" t="s">
        <v>4625</v>
      </c>
      <c r="C197" s="185"/>
      <c r="D197" s="185"/>
      <c r="E197" s="185"/>
      <c r="F197" s="185"/>
      <c r="G197" s="185"/>
      <c r="H197" s="202">
        <f>SUM(H193:H195,H185)</f>
        <v>9.8864062892137006E-2</v>
      </c>
    </row>
    <row r="198" spans="1:8" x14ac:dyDescent="0.25">
      <c r="A198" s="185"/>
      <c r="B198" s="195"/>
      <c r="C198" s="185"/>
      <c r="D198" s="185"/>
      <c r="E198" s="185"/>
      <c r="F198" s="185"/>
      <c r="G198" s="185"/>
      <c r="H198" s="202"/>
    </row>
    <row r="199" spans="1:8" x14ac:dyDescent="0.25">
      <c r="A199" s="185"/>
      <c r="B199" s="195" t="s">
        <v>4626</v>
      </c>
      <c r="C199" s="185"/>
      <c r="D199" s="185"/>
      <c r="E199" s="185"/>
      <c r="F199" s="185"/>
      <c r="G199" s="185"/>
      <c r="H199" s="202">
        <f>SUM(H197,H175)</f>
        <v>0.87108406289213713</v>
      </c>
    </row>
    <row r="200" spans="1:8" x14ac:dyDescent="0.25">
      <c r="A200" s="185"/>
      <c r="B200" s="185"/>
      <c r="C200" s="185"/>
      <c r="D200" s="185"/>
      <c r="E200" s="185"/>
      <c r="F200" s="185"/>
      <c r="G200" s="185"/>
      <c r="H200" s="197"/>
    </row>
    <row r="201" spans="1:8" s="151" customFormat="1" ht="15" x14ac:dyDescent="0.25">
      <c r="A201" s="155"/>
      <c r="B201" s="153"/>
      <c r="C201" s="153"/>
      <c r="D201" s="154"/>
      <c r="E201" s="153"/>
      <c r="F201" s="153"/>
      <c r="G201" s="153"/>
      <c r="H201" s="153"/>
    </row>
    <row r="202" spans="1:8" s="151" customFormat="1" ht="15" x14ac:dyDescent="0.25">
      <c r="A202" s="155"/>
      <c r="B202" s="153"/>
      <c r="C202" s="153"/>
      <c r="D202" s="154"/>
      <c r="E202" s="153"/>
      <c r="F202" s="153"/>
      <c r="G202" s="153"/>
      <c r="H202" s="153"/>
    </row>
    <row r="203" spans="1:8" s="151" customFormat="1" ht="15" x14ac:dyDescent="0.25">
      <c r="A203" s="155"/>
      <c r="B203" s="153"/>
      <c r="C203" s="153"/>
      <c r="D203" s="154"/>
      <c r="E203" s="153"/>
      <c r="F203" s="153"/>
      <c r="G203" s="153"/>
      <c r="H203" s="153"/>
    </row>
    <row r="204" spans="1:8" s="151" customFormat="1" ht="15" x14ac:dyDescent="0.25">
      <c r="A204" s="155"/>
      <c r="B204" s="153"/>
      <c r="C204" s="153"/>
      <c r="D204" s="154"/>
      <c r="E204" s="153"/>
      <c r="F204" s="153"/>
      <c r="G204" s="153"/>
      <c r="H204" s="153"/>
    </row>
    <row r="205" spans="1:8" s="151" customFormat="1" ht="15" x14ac:dyDescent="0.25">
      <c r="A205" s="155"/>
      <c r="B205" s="153"/>
      <c r="C205" s="153"/>
      <c r="D205" s="154"/>
      <c r="E205" s="153"/>
      <c r="F205" s="153"/>
      <c r="G205" s="153"/>
      <c r="H205" s="153"/>
    </row>
    <row r="206" spans="1:8" s="151" customFormat="1" ht="15" x14ac:dyDescent="0.25">
      <c r="A206" s="155"/>
      <c r="B206" s="153"/>
      <c r="C206" s="153"/>
      <c r="D206" s="154"/>
      <c r="E206" s="153"/>
      <c r="F206" s="153"/>
      <c r="G206" s="153"/>
      <c r="H206" s="153"/>
    </row>
    <row r="207" spans="1:8" s="151" customFormat="1" ht="15" x14ac:dyDescent="0.25">
      <c r="A207" s="155"/>
      <c r="B207" s="153"/>
      <c r="C207" s="153"/>
      <c r="D207" s="154"/>
      <c r="E207" s="153"/>
      <c r="F207" s="153"/>
      <c r="G207" s="153"/>
      <c r="H207" s="153"/>
    </row>
    <row r="208" spans="1:8" s="151" customFormat="1" ht="41.25" customHeight="1" x14ac:dyDescent="0.25">
      <c r="A208" s="155"/>
      <c r="B208" s="510" t="s">
        <v>35</v>
      </c>
      <c r="C208" s="510"/>
      <c r="D208" s="510"/>
      <c r="E208" s="510"/>
      <c r="F208" s="510"/>
      <c r="G208" s="510"/>
      <c r="H208" s="153"/>
    </row>
    <row r="209" spans="1:8" s="151" customFormat="1" ht="18.75" x14ac:dyDescent="0.25">
      <c r="A209" s="155"/>
      <c r="B209" s="546" t="s">
        <v>36</v>
      </c>
      <c r="C209" s="546"/>
      <c r="D209" s="546"/>
      <c r="E209" s="546"/>
      <c r="F209" s="546"/>
      <c r="G209" s="546"/>
      <c r="H209" s="153"/>
    </row>
    <row r="210" spans="1:8" s="151" customFormat="1" ht="18.75" x14ac:dyDescent="0.25">
      <c r="A210" s="155"/>
      <c r="B210" s="546" t="s">
        <v>4</v>
      </c>
      <c r="C210" s="546"/>
      <c r="D210" s="546"/>
      <c r="E210" s="546"/>
      <c r="F210" s="546"/>
      <c r="G210" s="546"/>
      <c r="H210" s="153"/>
    </row>
    <row r="211" spans="1:8" s="151" customFormat="1" ht="15" x14ac:dyDescent="0.25">
      <c r="A211" s="155"/>
      <c r="B211" s="153"/>
      <c r="C211" s="153"/>
      <c r="D211" s="154"/>
      <c r="E211" s="153"/>
      <c r="F211" s="153"/>
      <c r="G211" s="153"/>
      <c r="H211" s="153"/>
    </row>
    <row r="212" spans="1:8" x14ac:dyDescent="0.25">
      <c r="A212" s="604" t="s">
        <v>4496</v>
      </c>
      <c r="B212" s="604"/>
      <c r="C212" s="604"/>
      <c r="D212" s="604"/>
      <c r="E212" s="604"/>
      <c r="F212" s="604"/>
      <c r="G212" s="604"/>
      <c r="H212" s="604"/>
    </row>
    <row r="213" spans="1:8" x14ac:dyDescent="0.25">
      <c r="A213" s="194"/>
      <c r="B213" s="194"/>
      <c r="C213" s="194"/>
      <c r="D213" s="194"/>
      <c r="E213" s="194"/>
      <c r="F213" s="194"/>
      <c r="G213" s="194"/>
      <c r="H213" s="194"/>
    </row>
    <row r="214" spans="1:8" x14ac:dyDescent="0.25">
      <c r="A214" s="194">
        <v>3</v>
      </c>
      <c r="B214" s="195" t="s">
        <v>4627</v>
      </c>
      <c r="C214" s="185"/>
      <c r="D214" s="185"/>
      <c r="E214" s="185"/>
      <c r="F214" s="185"/>
      <c r="G214" s="185"/>
      <c r="H214" s="201"/>
    </row>
    <row r="215" spans="1:8" x14ac:dyDescent="0.25">
      <c r="A215" s="185"/>
      <c r="B215" s="602" t="s">
        <v>4628</v>
      </c>
      <c r="C215" s="602"/>
      <c r="D215" s="602"/>
      <c r="E215" s="602"/>
      <c r="F215" s="602"/>
      <c r="G215" s="602"/>
      <c r="H215" s="201">
        <v>0.17330000000000001</v>
      </c>
    </row>
    <row r="216" spans="1:8" x14ac:dyDescent="0.25">
      <c r="A216" s="185"/>
      <c r="B216" s="602" t="s">
        <v>4629</v>
      </c>
      <c r="C216" s="602"/>
      <c r="D216" s="602"/>
      <c r="E216" s="602"/>
      <c r="F216" s="602"/>
      <c r="G216" s="602"/>
      <c r="H216" s="201">
        <v>1.15E-2</v>
      </c>
    </row>
    <row r="217" spans="1:8" x14ac:dyDescent="0.25">
      <c r="A217" s="185"/>
      <c r="B217" s="602" t="s">
        <v>4630</v>
      </c>
      <c r="C217" s="602"/>
      <c r="D217" s="602"/>
      <c r="E217" s="602"/>
      <c r="F217" s="602"/>
      <c r="G217" s="602"/>
      <c r="H217" s="201">
        <v>1.12E-2</v>
      </c>
    </row>
    <row r="218" spans="1:8" x14ac:dyDescent="0.25">
      <c r="A218" s="185"/>
      <c r="B218" s="602" t="s">
        <v>4631</v>
      </c>
      <c r="C218" s="602"/>
      <c r="D218" s="602"/>
      <c r="E218" s="602"/>
      <c r="F218" s="602"/>
      <c r="G218" s="602"/>
      <c r="H218" s="201">
        <v>6.0000000000000001E-3</v>
      </c>
    </row>
    <row r="219" spans="1:8" x14ac:dyDescent="0.25">
      <c r="A219" s="185"/>
      <c r="B219" s="602" t="s">
        <v>4632</v>
      </c>
      <c r="C219" s="602"/>
      <c r="D219" s="602"/>
      <c r="E219" s="602"/>
      <c r="F219" s="602"/>
      <c r="G219" s="602"/>
      <c r="H219" s="201">
        <v>1.5599999999999999E-2</v>
      </c>
    </row>
    <row r="220" spans="1:8" x14ac:dyDescent="0.25">
      <c r="A220" s="185"/>
      <c r="B220" s="602" t="s">
        <v>4633</v>
      </c>
      <c r="C220" s="602"/>
      <c r="D220" s="602"/>
      <c r="E220" s="602"/>
      <c r="F220" s="602"/>
      <c r="G220" s="602"/>
      <c r="H220" s="201">
        <v>3.6999999999999998E-2</v>
      </c>
    </row>
    <row r="221" spans="1:8" x14ac:dyDescent="0.25">
      <c r="A221" s="185"/>
      <c r="B221" s="602" t="s">
        <v>4634</v>
      </c>
      <c r="C221" s="602"/>
      <c r="D221" s="602"/>
      <c r="E221" s="602"/>
      <c r="F221" s="602"/>
      <c r="G221" s="602"/>
      <c r="H221" s="201">
        <v>3.0000000000000001E-3</v>
      </c>
    </row>
    <row r="222" spans="1:8" x14ac:dyDescent="0.25">
      <c r="A222" s="185"/>
      <c r="B222" s="602" t="s">
        <v>4635</v>
      </c>
      <c r="C222" s="602"/>
      <c r="D222" s="602"/>
      <c r="E222" s="602"/>
      <c r="F222" s="602"/>
      <c r="G222" s="602"/>
      <c r="H222" s="201">
        <v>2.5999999999999999E-3</v>
      </c>
    </row>
    <row r="223" spans="1:8" x14ac:dyDescent="0.25">
      <c r="A223" s="185"/>
      <c r="B223" s="602" t="s">
        <v>4636</v>
      </c>
      <c r="C223" s="602"/>
      <c r="D223" s="602"/>
      <c r="E223" s="602"/>
      <c r="F223" s="602"/>
      <c r="G223" s="602"/>
      <c r="H223" s="201">
        <v>1.4E-3</v>
      </c>
    </row>
    <row r="224" spans="1:8" x14ac:dyDescent="0.25">
      <c r="A224" s="185"/>
      <c r="B224" s="602" t="s">
        <v>4637</v>
      </c>
      <c r="C224" s="602"/>
      <c r="D224" s="602"/>
      <c r="E224" s="602"/>
      <c r="F224" s="602"/>
      <c r="G224" s="602"/>
      <c r="H224" s="201">
        <v>1.24E-2</v>
      </c>
    </row>
    <row r="225" spans="1:8" x14ac:dyDescent="0.25">
      <c r="A225" s="185"/>
      <c r="B225" s="602" t="s">
        <v>4638</v>
      </c>
      <c r="C225" s="602"/>
      <c r="D225" s="602"/>
      <c r="E225" s="602"/>
      <c r="F225" s="602"/>
      <c r="G225" s="602"/>
      <c r="H225" s="201">
        <v>4.2900000000000001E-2</v>
      </c>
    </row>
    <row r="226" spans="1:8" x14ac:dyDescent="0.25">
      <c r="A226" s="185"/>
      <c r="B226" s="602" t="s">
        <v>4639</v>
      </c>
      <c r="C226" s="602"/>
      <c r="D226" s="602"/>
      <c r="E226" s="602"/>
      <c r="F226" s="602"/>
      <c r="G226" s="602"/>
      <c r="H226" s="201">
        <v>1.9E-3</v>
      </c>
    </row>
    <row r="227" spans="1:8" x14ac:dyDescent="0.25">
      <c r="A227" s="185"/>
      <c r="B227" s="602" t="s">
        <v>4640</v>
      </c>
      <c r="C227" s="602"/>
      <c r="D227" s="602"/>
      <c r="E227" s="602"/>
      <c r="F227" s="602"/>
      <c r="G227" s="602"/>
      <c r="H227" s="201">
        <v>3.8999999999999998E-3</v>
      </c>
    </row>
    <row r="228" spans="1:8" x14ac:dyDescent="0.25">
      <c r="A228" s="185"/>
      <c r="B228" s="602" t="s">
        <v>4641</v>
      </c>
      <c r="C228" s="602"/>
      <c r="D228" s="602"/>
      <c r="E228" s="602"/>
      <c r="F228" s="602"/>
      <c r="G228" s="602"/>
      <c r="H228" s="201">
        <v>1.3599999999999999E-2</v>
      </c>
    </row>
    <row r="229" spans="1:8" x14ac:dyDescent="0.25">
      <c r="A229" s="185"/>
      <c r="B229" s="602" t="s">
        <v>4642</v>
      </c>
      <c r="C229" s="602"/>
      <c r="D229" s="602"/>
      <c r="E229" s="602"/>
      <c r="F229" s="602"/>
      <c r="G229" s="602"/>
      <c r="H229" s="201">
        <v>1.0500000000000001E-2</v>
      </c>
    </row>
    <row r="230" spans="1:8" x14ac:dyDescent="0.25">
      <c r="A230" s="185"/>
      <c r="B230" s="602" t="s">
        <v>4643</v>
      </c>
      <c r="C230" s="602"/>
      <c r="D230" s="602"/>
      <c r="E230" s="602"/>
      <c r="F230" s="602"/>
      <c r="G230" s="602"/>
      <c r="H230" s="201">
        <v>3.8999999999999998E-3</v>
      </c>
    </row>
    <row r="231" spans="1:8" x14ac:dyDescent="0.25">
      <c r="A231" s="185"/>
      <c r="B231" s="602" t="s">
        <v>4644</v>
      </c>
      <c r="C231" s="602"/>
      <c r="D231" s="602"/>
      <c r="E231" s="602"/>
      <c r="F231" s="602"/>
      <c r="G231" s="602"/>
      <c r="H231" s="201">
        <v>1.1000000000000001E-3</v>
      </c>
    </row>
    <row r="232" spans="1:8" x14ac:dyDescent="0.25">
      <c r="A232" s="185"/>
      <c r="B232" s="602" t="s">
        <v>4645</v>
      </c>
      <c r="C232" s="602"/>
      <c r="D232" s="602"/>
      <c r="E232" s="602"/>
      <c r="F232" s="602"/>
      <c r="G232" s="602"/>
      <c r="H232" s="201">
        <v>7.7999999999999996E-3</v>
      </c>
    </row>
    <row r="233" spans="1:8" x14ac:dyDescent="0.25">
      <c r="A233" s="185"/>
      <c r="B233" s="602" t="s">
        <v>4646</v>
      </c>
      <c r="C233" s="602"/>
      <c r="D233" s="602"/>
      <c r="E233" s="602"/>
      <c r="F233" s="602"/>
      <c r="G233" s="602"/>
      <c r="H233" s="201">
        <v>2.0999999999999999E-3</v>
      </c>
    </row>
    <row r="234" spans="1:8" x14ac:dyDescent="0.25">
      <c r="A234" s="185"/>
      <c r="B234" s="602" t="s">
        <v>4647</v>
      </c>
      <c r="C234" s="602"/>
      <c r="D234" s="602"/>
      <c r="E234" s="602"/>
      <c r="F234" s="602"/>
      <c r="G234" s="602"/>
      <c r="H234" s="201">
        <v>7.8399999999999997E-2</v>
      </c>
    </row>
    <row r="235" spans="1:8" x14ac:dyDescent="0.25">
      <c r="A235" s="185"/>
      <c r="B235" s="602" t="s">
        <v>4648</v>
      </c>
      <c r="C235" s="602"/>
      <c r="D235" s="602"/>
      <c r="E235" s="602"/>
      <c r="F235" s="602"/>
      <c r="G235" s="602"/>
      <c r="H235" s="201">
        <v>7.7000000000000002E-3</v>
      </c>
    </row>
    <row r="236" spans="1:8" x14ac:dyDescent="0.25">
      <c r="A236" s="185"/>
      <c r="B236" s="605" t="s">
        <v>4649</v>
      </c>
      <c r="C236" s="605"/>
      <c r="D236" s="605"/>
      <c r="E236" s="605"/>
      <c r="F236" s="605"/>
      <c r="G236" s="605"/>
      <c r="H236" s="204">
        <f>SUM(H215:H235)</f>
        <v>0.44780000000000003</v>
      </c>
    </row>
    <row r="237" spans="1:8" x14ac:dyDescent="0.25">
      <c r="A237" s="185"/>
      <c r="B237" s="605" t="s">
        <v>4650</v>
      </c>
      <c r="C237" s="605"/>
      <c r="D237" s="605"/>
      <c r="E237" s="605"/>
      <c r="F237" s="605"/>
      <c r="G237" s="605"/>
      <c r="H237" s="204">
        <f>ROUNDUP(H236,2)</f>
        <v>0.45</v>
      </c>
    </row>
    <row r="238" spans="1:8" x14ac:dyDescent="0.25">
      <c r="A238" s="185"/>
      <c r="B238" s="205"/>
      <c r="C238" s="205"/>
      <c r="D238" s="205"/>
      <c r="E238" s="205"/>
      <c r="F238" s="205"/>
      <c r="G238" s="205"/>
      <c r="H238" s="204"/>
    </row>
    <row r="239" spans="1:8" x14ac:dyDescent="0.25">
      <c r="A239" s="194">
        <v>4</v>
      </c>
      <c r="B239" s="606" t="s">
        <v>4651</v>
      </c>
      <c r="C239" s="606"/>
      <c r="D239" s="606"/>
      <c r="E239" s="606"/>
      <c r="F239" s="606"/>
      <c r="G239" s="606"/>
      <c r="H239" s="201"/>
    </row>
    <row r="240" spans="1:8" x14ac:dyDescent="0.25">
      <c r="A240" s="185"/>
      <c r="B240" s="602" t="s">
        <v>4652</v>
      </c>
      <c r="C240" s="602"/>
      <c r="D240" s="602"/>
      <c r="E240" s="602"/>
      <c r="F240" s="602"/>
      <c r="G240" s="602"/>
      <c r="H240" s="201">
        <v>0.02</v>
      </c>
    </row>
    <row r="241" spans="1:8" x14ac:dyDescent="0.25">
      <c r="A241" s="185"/>
      <c r="B241" s="602" t="s">
        <v>4653</v>
      </c>
      <c r="C241" s="602"/>
      <c r="D241" s="602"/>
      <c r="E241" s="602"/>
      <c r="F241" s="602"/>
      <c r="G241" s="602"/>
      <c r="H241" s="201">
        <v>0.03</v>
      </c>
    </row>
    <row r="242" spans="1:8" x14ac:dyDescent="0.25">
      <c r="A242" s="185"/>
      <c r="B242" s="602" t="s">
        <v>4654</v>
      </c>
      <c r="C242" s="602"/>
      <c r="D242" s="602"/>
      <c r="E242" s="602"/>
      <c r="F242" s="602"/>
      <c r="G242" s="602"/>
      <c r="H242" s="201">
        <v>6.4999999999999997E-3</v>
      </c>
    </row>
    <row r="243" spans="1:8" x14ac:dyDescent="0.25">
      <c r="A243" s="185"/>
      <c r="B243" s="605" t="s">
        <v>4655</v>
      </c>
      <c r="C243" s="605"/>
      <c r="D243" s="605"/>
      <c r="E243" s="605"/>
      <c r="F243" s="605"/>
      <c r="G243" s="605"/>
      <c r="H243" s="204">
        <f>SUM(H240:H242)</f>
        <v>5.6500000000000002E-2</v>
      </c>
    </row>
    <row r="244" spans="1:8" x14ac:dyDescent="0.25">
      <c r="A244" s="185"/>
      <c r="B244" s="602"/>
      <c r="C244" s="602"/>
      <c r="D244" s="602"/>
      <c r="E244" s="602"/>
      <c r="F244" s="602"/>
      <c r="G244" s="602"/>
      <c r="H244" s="201"/>
    </row>
    <row r="245" spans="1:8" x14ac:dyDescent="0.25">
      <c r="A245" s="185"/>
      <c r="B245" s="602"/>
      <c r="C245" s="602"/>
      <c r="D245" s="602"/>
      <c r="E245" s="602"/>
      <c r="F245" s="602"/>
      <c r="G245" s="602"/>
      <c r="H245" s="201"/>
    </row>
    <row r="246" spans="1:8" x14ac:dyDescent="0.25">
      <c r="A246" s="185"/>
      <c r="B246" s="602"/>
      <c r="C246" s="602"/>
      <c r="D246" s="602"/>
      <c r="E246" s="602"/>
      <c r="F246" s="602"/>
      <c r="G246" s="602"/>
      <c r="H246" s="197"/>
    </row>
    <row r="247" spans="1:8" x14ac:dyDescent="0.25">
      <c r="A247" s="185"/>
      <c r="B247" s="602"/>
      <c r="C247" s="602"/>
      <c r="D247" s="602"/>
      <c r="E247" s="602"/>
      <c r="F247" s="602"/>
      <c r="G247" s="602"/>
      <c r="H247" s="197"/>
    </row>
    <row r="248" spans="1:8" ht="12.75" x14ac:dyDescent="0.2">
      <c r="A248" s="185"/>
      <c r="B248" s="512" t="s">
        <v>34</v>
      </c>
      <c r="C248" s="512"/>
      <c r="D248" s="512"/>
      <c r="E248" s="512"/>
      <c r="F248" s="512"/>
      <c r="G248" s="512"/>
      <c r="H248" s="197"/>
    </row>
    <row r="249" spans="1:8" ht="12.75" x14ac:dyDescent="0.2">
      <c r="A249" s="185"/>
      <c r="B249" s="513" t="s">
        <v>4656</v>
      </c>
      <c r="C249" s="513"/>
      <c r="D249" s="513"/>
      <c r="E249" s="513"/>
      <c r="F249" s="513"/>
      <c r="G249" s="513"/>
      <c r="H249" s="197"/>
    </row>
    <row r="250" spans="1:8" ht="12.75" x14ac:dyDescent="0.2">
      <c r="A250" s="185"/>
      <c r="B250" s="513" t="str">
        <f>'PO-SEDE'!F6&amp;'PO-SEDE'!G6</f>
        <v>RRT Nº4774233</v>
      </c>
      <c r="C250" s="513"/>
      <c r="D250" s="513"/>
      <c r="E250" s="513"/>
      <c r="F250" s="513"/>
      <c r="G250" s="513"/>
      <c r="H250" s="197"/>
    </row>
    <row r="251" spans="1:8" x14ac:dyDescent="0.25">
      <c r="A251" s="185"/>
      <c r="B251" s="602"/>
      <c r="C251" s="602"/>
      <c r="D251" s="602"/>
      <c r="E251" s="602"/>
      <c r="F251" s="602"/>
      <c r="G251" s="602"/>
      <c r="H251" s="197"/>
    </row>
  </sheetData>
  <mergeCells count="125">
    <mergeCell ref="B250:G250"/>
    <mergeCell ref="B251:G251"/>
    <mergeCell ref="B8:G8"/>
    <mergeCell ref="B244:G244"/>
    <mergeCell ref="B245:G245"/>
    <mergeCell ref="B246:G246"/>
    <mergeCell ref="B247:G247"/>
    <mergeCell ref="B248:G248"/>
    <mergeCell ref="B249:G249"/>
    <mergeCell ref="B237:G237"/>
    <mergeCell ref="B239:G239"/>
    <mergeCell ref="B240:G240"/>
    <mergeCell ref="B241:G241"/>
    <mergeCell ref="B242:G242"/>
    <mergeCell ref="B243:G243"/>
    <mergeCell ref="B231:G231"/>
    <mergeCell ref="B232:G232"/>
    <mergeCell ref="B233:G233"/>
    <mergeCell ref="B234:G234"/>
    <mergeCell ref="B235:G235"/>
    <mergeCell ref="B236:G236"/>
    <mergeCell ref="B225:G225"/>
    <mergeCell ref="B226:G226"/>
    <mergeCell ref="B227:G227"/>
    <mergeCell ref="B228:G228"/>
    <mergeCell ref="B229:G229"/>
    <mergeCell ref="B230:G230"/>
    <mergeCell ref="B219:G219"/>
    <mergeCell ref="B220:G220"/>
    <mergeCell ref="B221:G221"/>
    <mergeCell ref="B222:G222"/>
    <mergeCell ref="B223:G223"/>
    <mergeCell ref="B224:G224"/>
    <mergeCell ref="B192:G192"/>
    <mergeCell ref="B193:G193"/>
    <mergeCell ref="B215:G215"/>
    <mergeCell ref="B216:G216"/>
    <mergeCell ref="B217:G217"/>
    <mergeCell ref="B218:G218"/>
    <mergeCell ref="B208:G208"/>
    <mergeCell ref="B209:G209"/>
    <mergeCell ref="B210:G210"/>
    <mergeCell ref="A212:H212"/>
    <mergeCell ref="B185:G185"/>
    <mergeCell ref="B187:G187"/>
    <mergeCell ref="B188:G188"/>
    <mergeCell ref="B189:G189"/>
    <mergeCell ref="B190:G190"/>
    <mergeCell ref="B191:G191"/>
    <mergeCell ref="B179:G179"/>
    <mergeCell ref="B180:G180"/>
    <mergeCell ref="B181:G181"/>
    <mergeCell ref="B182:G182"/>
    <mergeCell ref="B183:G183"/>
    <mergeCell ref="B184:G184"/>
    <mergeCell ref="B161:G161"/>
    <mergeCell ref="B162:G162"/>
    <mergeCell ref="B166:G166"/>
    <mergeCell ref="B167:G167"/>
    <mergeCell ref="B171:G171"/>
    <mergeCell ref="B172:G172"/>
    <mergeCell ref="B154:G154"/>
    <mergeCell ref="B155:G155"/>
    <mergeCell ref="B156:G156"/>
    <mergeCell ref="B157:G157"/>
    <mergeCell ref="B159:G159"/>
    <mergeCell ref="B160:G160"/>
    <mergeCell ref="B144:G144"/>
    <mergeCell ref="B145:G145"/>
    <mergeCell ref="B146:G146"/>
    <mergeCell ref="B147:G147"/>
    <mergeCell ref="B152:G152"/>
    <mergeCell ref="B153:G153"/>
    <mergeCell ref="B122:G122"/>
    <mergeCell ref="B123:G123"/>
    <mergeCell ref="B124:G124"/>
    <mergeCell ref="B125:G125"/>
    <mergeCell ref="B142:G142"/>
    <mergeCell ref="B143:G143"/>
    <mergeCell ref="B136:G136"/>
    <mergeCell ref="B137:G137"/>
    <mergeCell ref="A139:H139"/>
    <mergeCell ref="B135:G135"/>
    <mergeCell ref="B113:G113"/>
    <mergeCell ref="B114:G114"/>
    <mergeCell ref="B118:G118"/>
    <mergeCell ref="B119:G119"/>
    <mergeCell ref="B120:G120"/>
    <mergeCell ref="B121:G121"/>
    <mergeCell ref="B107:G107"/>
    <mergeCell ref="B108:G108"/>
    <mergeCell ref="B109:G109"/>
    <mergeCell ref="B110:G110"/>
    <mergeCell ref="B111:G111"/>
    <mergeCell ref="B112:G112"/>
    <mergeCell ref="B97:G97"/>
    <mergeCell ref="B100:G100"/>
    <mergeCell ref="B101:G101"/>
    <mergeCell ref="B102:G102"/>
    <mergeCell ref="B103:G103"/>
    <mergeCell ref="B104:G104"/>
    <mergeCell ref="B85:G85"/>
    <mergeCell ref="B86:G86"/>
    <mergeCell ref="B89:G89"/>
    <mergeCell ref="B92:G92"/>
    <mergeCell ref="B95:G95"/>
    <mergeCell ref="B96:G96"/>
    <mergeCell ref="D2:G2"/>
    <mergeCell ref="B77:G77"/>
    <mergeCell ref="B78:G78"/>
    <mergeCell ref="B79:G79"/>
    <mergeCell ref="B80:G80"/>
    <mergeCell ref="B83:G83"/>
    <mergeCell ref="B84:G84"/>
    <mergeCell ref="A12:H12"/>
    <mergeCell ref="E26:H26"/>
    <mergeCell ref="E30:H30"/>
    <mergeCell ref="A71:H71"/>
    <mergeCell ref="B75:G75"/>
    <mergeCell ref="B76:G76"/>
    <mergeCell ref="B9:G9"/>
    <mergeCell ref="B10:G10"/>
    <mergeCell ref="B67:G67"/>
    <mergeCell ref="B68:G68"/>
    <mergeCell ref="B69:G69"/>
  </mergeCells>
  <pageMargins left="0.51181102362204722" right="0.51181102362204722" top="0.78740157480314965" bottom="0.78740157480314965" header="0.31496062992125984" footer="0.31496062992125984"/>
  <pageSetup paperSize="9" scale="55" fitToHeight="0" orientation="portrait" r:id="rId1"/>
  <rowBreaks count="3" manualBreakCount="3">
    <brk id="59" max="16383" man="1"/>
    <brk id="127" max="16383" man="1"/>
    <brk id="20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73"/>
  <sheetViews>
    <sheetView view="pageBreakPreview" topLeftCell="A26" zoomScale="115" zoomScaleNormal="70" zoomScaleSheetLayoutView="115" workbookViewId="0">
      <selection activeCell="F5" sqref="F4:F5"/>
    </sheetView>
  </sheetViews>
  <sheetFormatPr defaultRowHeight="15" x14ac:dyDescent="0.25"/>
  <cols>
    <col min="2" max="2" width="45.7109375" customWidth="1"/>
    <col min="3" max="3" width="10.28515625" customWidth="1"/>
    <col min="4" max="4" width="51.85546875" customWidth="1"/>
  </cols>
  <sheetData>
    <row r="1" spans="1:8" s="151" customFormat="1" x14ac:dyDescent="0.25">
      <c r="A1" s="155"/>
      <c r="B1" s="153"/>
      <c r="C1" s="153"/>
      <c r="D1" s="154"/>
      <c r="E1" s="153"/>
      <c r="F1" s="153"/>
      <c r="G1" s="153"/>
      <c r="H1" s="153"/>
    </row>
    <row r="2" spans="1:8" s="151" customFormat="1" x14ac:dyDescent="0.25">
      <c r="A2" s="155"/>
      <c r="B2" s="153"/>
      <c r="C2" s="153"/>
      <c r="D2" s="601"/>
      <c r="E2" s="601"/>
      <c r="F2" s="601"/>
      <c r="G2" s="601"/>
      <c r="H2" s="153"/>
    </row>
    <row r="3" spans="1:8" s="151" customFormat="1" x14ac:dyDescent="0.25">
      <c r="A3" s="155"/>
      <c r="B3" s="153"/>
      <c r="C3" s="153"/>
      <c r="D3" s="154"/>
      <c r="E3" s="153"/>
      <c r="F3" s="153"/>
      <c r="G3" s="153"/>
      <c r="H3" s="153"/>
    </row>
    <row r="4" spans="1:8" s="151" customFormat="1" x14ac:dyDescent="0.25">
      <c r="A4" s="155"/>
      <c r="B4" s="153"/>
      <c r="C4" s="153"/>
      <c r="D4" s="154"/>
      <c r="E4" s="153"/>
      <c r="F4" s="153"/>
      <c r="G4" s="153"/>
      <c r="H4" s="153"/>
    </row>
    <row r="5" spans="1:8" s="151" customFormat="1" x14ac:dyDescent="0.25">
      <c r="A5" s="155"/>
      <c r="B5" s="153"/>
      <c r="C5" s="153"/>
      <c r="D5" s="154"/>
      <c r="E5" s="153"/>
      <c r="F5" s="153"/>
      <c r="G5" s="153"/>
      <c r="H5" s="153"/>
    </row>
    <row r="6" spans="1:8" s="151" customFormat="1" x14ac:dyDescent="0.25">
      <c r="A6" s="155"/>
      <c r="B6" s="153"/>
      <c r="C6" s="153"/>
      <c r="D6" s="154"/>
      <c r="E6" s="153"/>
      <c r="F6" s="153"/>
      <c r="G6" s="153"/>
      <c r="H6" s="153"/>
    </row>
    <row r="7" spans="1:8" s="151" customFormat="1" x14ac:dyDescent="0.25">
      <c r="A7" s="155"/>
      <c r="B7" s="153"/>
      <c r="C7" s="153"/>
      <c r="D7" s="154"/>
      <c r="E7" s="153"/>
      <c r="F7" s="153"/>
      <c r="G7" s="153"/>
      <c r="H7" s="153"/>
    </row>
    <row r="8" spans="1:8" s="151" customFormat="1" ht="41.25" customHeight="1" x14ac:dyDescent="0.25">
      <c r="A8" s="155"/>
      <c r="B8" s="510" t="s">
        <v>35</v>
      </c>
      <c r="C8" s="510"/>
      <c r="D8" s="510"/>
      <c r="E8" s="510"/>
      <c r="F8" s="510"/>
      <c r="G8" s="510"/>
      <c r="H8" s="153"/>
    </row>
    <row r="9" spans="1:8" s="151" customFormat="1" ht="18.75" x14ac:dyDescent="0.25">
      <c r="A9" s="155"/>
      <c r="B9" s="546" t="s">
        <v>36</v>
      </c>
      <c r="C9" s="546"/>
      <c r="D9" s="546"/>
      <c r="E9" s="546"/>
      <c r="F9" s="546"/>
      <c r="G9" s="546"/>
      <c r="H9" s="153"/>
    </row>
    <row r="10" spans="1:8" s="151" customFormat="1" ht="18.75" x14ac:dyDescent="0.25">
      <c r="A10" s="155"/>
      <c r="B10" s="546" t="s">
        <v>4</v>
      </c>
      <c r="C10" s="546"/>
      <c r="D10" s="546"/>
      <c r="E10" s="546"/>
      <c r="F10" s="546"/>
      <c r="G10" s="546"/>
      <c r="H10" s="153"/>
    </row>
    <row r="11" spans="1:8" s="151" customFormat="1" x14ac:dyDescent="0.25">
      <c r="A11" s="155"/>
      <c r="B11" s="153"/>
      <c r="C11" s="153"/>
      <c r="D11" s="154"/>
      <c r="E11" s="153"/>
      <c r="F11" s="153"/>
      <c r="G11" s="153"/>
      <c r="H11" s="153"/>
    </row>
    <row r="12" spans="1:8" ht="30" customHeight="1" x14ac:dyDescent="0.25">
      <c r="A12" s="549" t="s">
        <v>4657</v>
      </c>
      <c r="B12" s="550"/>
      <c r="C12" s="550"/>
      <c r="D12" s="550"/>
      <c r="E12" s="550"/>
      <c r="F12" s="550"/>
      <c r="G12" s="550"/>
      <c r="H12" s="550"/>
    </row>
    <row r="13" spans="1:8" x14ac:dyDescent="0.25">
      <c r="A13" s="186"/>
      <c r="B13" s="187"/>
      <c r="C13" s="187"/>
      <c r="D13" s="187"/>
      <c r="E13" s="187"/>
      <c r="F13" s="187"/>
      <c r="G13" s="187"/>
      <c r="H13" s="187"/>
    </row>
    <row r="14" spans="1:8" x14ac:dyDescent="0.25">
      <c r="A14" s="173" t="s">
        <v>4426</v>
      </c>
      <c r="B14" s="172"/>
      <c r="C14" s="172"/>
      <c r="D14" s="187"/>
      <c r="E14" s="186" t="s">
        <v>4456</v>
      </c>
      <c r="F14" s="186"/>
      <c r="G14" s="186"/>
      <c r="H14" s="193"/>
    </row>
    <row r="15" spans="1:8" x14ac:dyDescent="0.25">
      <c r="A15" s="187"/>
      <c r="B15" s="187"/>
      <c r="C15" s="187"/>
      <c r="D15" s="187"/>
      <c r="E15" s="187"/>
      <c r="F15" s="187"/>
      <c r="G15" s="187"/>
      <c r="H15" s="187"/>
    </row>
    <row r="16" spans="1:8" x14ac:dyDescent="0.25">
      <c r="A16" s="186"/>
      <c r="B16" s="186" t="s">
        <v>4658</v>
      </c>
      <c r="C16" s="187"/>
      <c r="D16" s="187"/>
      <c r="E16" s="187" t="s">
        <v>4457</v>
      </c>
      <c r="F16" s="187"/>
      <c r="G16" s="187"/>
      <c r="H16" s="190">
        <v>100</v>
      </c>
    </row>
    <row r="17" spans="1:8" x14ac:dyDescent="0.25">
      <c r="A17" s="186"/>
      <c r="B17" s="207" t="s">
        <v>4659</v>
      </c>
      <c r="C17" s="187"/>
      <c r="D17" s="187"/>
      <c r="E17" s="187" t="s">
        <v>4460</v>
      </c>
      <c r="F17" s="187"/>
      <c r="G17" s="187"/>
      <c r="H17" s="190">
        <v>20</v>
      </c>
    </row>
    <row r="18" spans="1:8" x14ac:dyDescent="0.25">
      <c r="A18" s="187"/>
      <c r="B18" s="187" t="s">
        <v>4431</v>
      </c>
      <c r="C18" s="188">
        <v>0.2</v>
      </c>
      <c r="D18" s="187"/>
      <c r="E18" s="187" t="s">
        <v>4660</v>
      </c>
      <c r="F18" s="187"/>
      <c r="G18" s="187"/>
      <c r="H18" s="190">
        <f>H17+H16</f>
        <v>120</v>
      </c>
    </row>
    <row r="19" spans="1:8" x14ac:dyDescent="0.25">
      <c r="A19" s="187"/>
      <c r="B19" s="187"/>
      <c r="C19" s="188"/>
      <c r="D19" s="187"/>
      <c r="E19" s="187" t="s">
        <v>4464</v>
      </c>
      <c r="F19" s="187"/>
      <c r="G19" s="187"/>
      <c r="H19" s="190">
        <f>+H18*C24</f>
        <v>18</v>
      </c>
    </row>
    <row r="20" spans="1:8" x14ac:dyDescent="0.25">
      <c r="A20" s="187"/>
      <c r="B20" s="179" t="s">
        <v>4661</v>
      </c>
      <c r="C20" s="180">
        <f>C18</f>
        <v>0.2</v>
      </c>
      <c r="D20" s="187"/>
      <c r="E20" s="187" t="s">
        <v>4662</v>
      </c>
      <c r="F20" s="187"/>
      <c r="G20" s="187"/>
      <c r="H20" s="190">
        <f>+H16+H17+H19</f>
        <v>138</v>
      </c>
    </row>
    <row r="21" spans="1:8" x14ac:dyDescent="0.25">
      <c r="A21" s="187"/>
      <c r="B21" s="187"/>
      <c r="C21" s="186"/>
      <c r="D21" s="187"/>
      <c r="E21" s="187" t="s">
        <v>4663</v>
      </c>
      <c r="F21" s="187"/>
      <c r="G21" s="187"/>
      <c r="H21" s="190">
        <f>+H20</f>
        <v>138</v>
      </c>
    </row>
    <row r="22" spans="1:8" x14ac:dyDescent="0.25">
      <c r="A22" s="187"/>
      <c r="B22" s="179" t="s">
        <v>4664</v>
      </c>
      <c r="C22" s="180">
        <v>0.1</v>
      </c>
      <c r="D22" s="187"/>
      <c r="E22" s="187" t="s">
        <v>4469</v>
      </c>
      <c r="F22" s="187"/>
      <c r="G22" s="187"/>
      <c r="H22" s="190">
        <f>+H21*C22</f>
        <v>13.8</v>
      </c>
    </row>
    <row r="23" spans="1:8" x14ac:dyDescent="0.25">
      <c r="A23" s="187"/>
      <c r="B23" s="187"/>
      <c r="C23" s="186"/>
      <c r="D23" s="187"/>
      <c r="E23" s="187" t="s">
        <v>4665</v>
      </c>
      <c r="F23" s="187"/>
      <c r="G23" s="187"/>
      <c r="H23" s="190">
        <f>+H16+H17+H19+H22</f>
        <v>151.80000000000001</v>
      </c>
    </row>
    <row r="24" spans="1:8" x14ac:dyDescent="0.25">
      <c r="A24" s="187"/>
      <c r="B24" s="179" t="s">
        <v>4464</v>
      </c>
      <c r="C24" s="180">
        <v>0.15</v>
      </c>
      <c r="D24" s="187"/>
      <c r="E24" s="187" t="s">
        <v>4448</v>
      </c>
      <c r="F24" s="187"/>
      <c r="G24" s="187"/>
      <c r="H24" s="190">
        <f>+H23*C35</f>
        <v>19.24225352112677</v>
      </c>
    </row>
    <row r="25" spans="1:8" x14ac:dyDescent="0.25">
      <c r="A25" s="187"/>
      <c r="B25" s="187"/>
      <c r="C25" s="187"/>
      <c r="D25" s="187"/>
      <c r="E25" s="187" t="s">
        <v>4666</v>
      </c>
      <c r="F25" s="187"/>
      <c r="G25" s="187"/>
      <c r="H25" s="190">
        <f>+H16+H17+H19+H22+H24</f>
        <v>171.04225352112678</v>
      </c>
    </row>
    <row r="26" spans="1:8" x14ac:dyDescent="0.25">
      <c r="A26" s="187"/>
      <c r="B26" s="186" t="s">
        <v>4667</v>
      </c>
      <c r="C26" s="188"/>
      <c r="D26" s="187"/>
      <c r="E26" s="187" t="s">
        <v>4474</v>
      </c>
      <c r="F26" s="187"/>
      <c r="G26" s="187"/>
      <c r="H26" s="190">
        <f>+H25</f>
        <v>171.04225352112678</v>
      </c>
    </row>
    <row r="27" spans="1:8" x14ac:dyDescent="0.25">
      <c r="A27" s="187"/>
      <c r="B27" s="187" t="s">
        <v>4416</v>
      </c>
      <c r="C27" s="188">
        <v>0.02</v>
      </c>
      <c r="D27" s="187"/>
      <c r="E27" s="187" t="s">
        <v>4416</v>
      </c>
      <c r="F27" s="187"/>
      <c r="G27" s="187"/>
      <c r="H27" s="190">
        <f>-H26*C27</f>
        <v>-3.4208450704225357</v>
      </c>
    </row>
    <row r="28" spans="1:8" x14ac:dyDescent="0.25">
      <c r="A28" s="187"/>
      <c r="B28" s="187" t="s">
        <v>4440</v>
      </c>
      <c r="C28" s="188">
        <v>1.6500000000000001E-2</v>
      </c>
      <c r="D28" s="187"/>
      <c r="E28" s="187" t="s">
        <v>4440</v>
      </c>
      <c r="F28" s="187"/>
      <c r="G28" s="187"/>
      <c r="H28" s="190">
        <f>-H26*C28</f>
        <v>-2.8221971830985919</v>
      </c>
    </row>
    <row r="29" spans="1:8" x14ac:dyDescent="0.25">
      <c r="A29" s="187"/>
      <c r="B29" s="187" t="s">
        <v>4415</v>
      </c>
      <c r="C29" s="188">
        <v>7.5999999999999998E-2</v>
      </c>
      <c r="D29" s="187"/>
      <c r="E29" s="187" t="s">
        <v>4415</v>
      </c>
      <c r="F29" s="187"/>
      <c r="G29" s="187"/>
      <c r="H29" s="190">
        <f>-H26*C29</f>
        <v>-12.999211267605634</v>
      </c>
    </row>
    <row r="30" spans="1:8" x14ac:dyDescent="0.25">
      <c r="A30" s="187"/>
      <c r="B30" s="187"/>
      <c r="C30" s="187"/>
      <c r="D30" s="187"/>
      <c r="E30" s="187" t="s">
        <v>4479</v>
      </c>
      <c r="F30" s="187"/>
      <c r="G30" s="187"/>
      <c r="H30" s="190">
        <f>SUM(H26:H29)</f>
        <v>151.80000000000004</v>
      </c>
    </row>
    <row r="31" spans="1:8" x14ac:dyDescent="0.25">
      <c r="A31" s="187"/>
      <c r="B31" s="186" t="s">
        <v>4668</v>
      </c>
      <c r="C31" s="188">
        <f>SUM(C27:C29)</f>
        <v>0.1125</v>
      </c>
      <c r="D31" s="187"/>
      <c r="E31" s="187" t="s">
        <v>4663</v>
      </c>
      <c r="F31" s="187"/>
      <c r="G31" s="187"/>
      <c r="H31" s="190">
        <f>+H21</f>
        <v>138</v>
      </c>
    </row>
    <row r="32" spans="1:8" x14ac:dyDescent="0.25">
      <c r="A32" s="187"/>
      <c r="B32" s="187"/>
      <c r="C32" s="187"/>
      <c r="D32" s="187"/>
      <c r="E32" s="187" t="s">
        <v>4481</v>
      </c>
      <c r="F32" s="187"/>
      <c r="G32" s="187"/>
      <c r="H32" s="190">
        <f>+H31*C22</f>
        <v>13.8</v>
      </c>
    </row>
    <row r="33" spans="1:8" x14ac:dyDescent="0.25">
      <c r="A33" s="187"/>
      <c r="B33" s="186" t="s">
        <v>4669</v>
      </c>
      <c r="C33" s="188"/>
      <c r="D33" s="187"/>
      <c r="E33" s="187" t="s">
        <v>4482</v>
      </c>
      <c r="F33" s="187"/>
      <c r="G33" s="187"/>
      <c r="H33" s="192">
        <f>C22</f>
        <v>0.1</v>
      </c>
    </row>
    <row r="34" spans="1:8" x14ac:dyDescent="0.25">
      <c r="A34" s="187"/>
      <c r="B34" s="186"/>
      <c r="C34" s="188"/>
      <c r="D34" s="187"/>
      <c r="E34" s="187" t="s">
        <v>4485</v>
      </c>
      <c r="F34" s="187"/>
      <c r="G34" s="187"/>
      <c r="H34" s="192">
        <v>0.15</v>
      </c>
    </row>
    <row r="35" spans="1:8" x14ac:dyDescent="0.25">
      <c r="A35" s="187"/>
      <c r="B35" s="179" t="s">
        <v>4670</v>
      </c>
      <c r="C35" s="180">
        <f>((1/(1-C31)-1))</f>
        <v>0.12676056338028174</v>
      </c>
      <c r="D35" s="187"/>
      <c r="E35" s="187" t="s">
        <v>4487</v>
      </c>
      <c r="F35" s="187"/>
      <c r="G35" s="187"/>
      <c r="H35" s="192">
        <v>0.09</v>
      </c>
    </row>
    <row r="36" spans="1:8" x14ac:dyDescent="0.25">
      <c r="A36" s="187"/>
      <c r="B36" s="186"/>
      <c r="C36" s="188"/>
      <c r="D36" s="187"/>
      <c r="E36" s="187" t="s">
        <v>4489</v>
      </c>
      <c r="F36" s="187"/>
      <c r="G36" s="187"/>
      <c r="H36" s="190">
        <f>-H34*H32</f>
        <v>-2.0699999999999998</v>
      </c>
    </row>
    <row r="37" spans="1:8" x14ac:dyDescent="0.25">
      <c r="A37" s="187"/>
      <c r="B37" s="186" t="s">
        <v>4671</v>
      </c>
      <c r="C37" s="188"/>
      <c r="D37" s="187"/>
      <c r="E37" s="187" t="s">
        <v>4491</v>
      </c>
      <c r="F37" s="187"/>
      <c r="G37" s="187"/>
      <c r="H37" s="190">
        <f>-H35*H32</f>
        <v>-1.242</v>
      </c>
    </row>
    <row r="38" spans="1:8" x14ac:dyDescent="0.25">
      <c r="A38" s="187"/>
      <c r="B38" s="186"/>
      <c r="C38" s="188"/>
      <c r="D38" s="187"/>
      <c r="E38" s="187" t="s">
        <v>4493</v>
      </c>
      <c r="F38" s="187"/>
      <c r="G38" s="187"/>
      <c r="H38" s="190">
        <f>H32+H37+H36</f>
        <v>10.488</v>
      </c>
    </row>
    <row r="39" spans="1:8" x14ac:dyDescent="0.25">
      <c r="A39" s="187"/>
      <c r="B39" s="186" t="s">
        <v>4672</v>
      </c>
      <c r="C39" s="206">
        <f>(1+C20)*(1+C24)*(1+C22)*(1+C35)</f>
        <v>1.7104225352112676</v>
      </c>
      <c r="D39" s="187"/>
      <c r="E39" s="187" t="s">
        <v>4673</v>
      </c>
      <c r="F39" s="187"/>
      <c r="G39" s="187"/>
      <c r="H39" s="188">
        <f>+H38/H22*C22</f>
        <v>7.5999999999999998E-2</v>
      </c>
    </row>
    <row r="40" spans="1:8" x14ac:dyDescent="0.25">
      <c r="A40" s="187"/>
      <c r="B40" s="186"/>
      <c r="C40" s="188"/>
      <c r="D40" s="187"/>
      <c r="E40" s="187"/>
      <c r="F40" s="187"/>
      <c r="G40" s="187"/>
      <c r="H40" s="190"/>
    </row>
    <row r="41" spans="1:8" s="151" customFormat="1" x14ac:dyDescent="0.25">
      <c r="A41" s="155"/>
      <c r="B41" s="153"/>
      <c r="C41" s="153"/>
      <c r="D41" s="154"/>
      <c r="E41" s="153"/>
      <c r="F41" s="153"/>
      <c r="G41" s="153"/>
      <c r="H41" s="153"/>
    </row>
    <row r="42" spans="1:8" s="151" customFormat="1" x14ac:dyDescent="0.25">
      <c r="A42" s="155"/>
      <c r="B42" s="153"/>
      <c r="C42" s="153"/>
      <c r="D42" s="154"/>
      <c r="E42" s="153"/>
      <c r="F42" s="153"/>
      <c r="G42" s="153"/>
      <c r="H42" s="153"/>
    </row>
    <row r="43" spans="1:8" s="151" customFormat="1" x14ac:dyDescent="0.25">
      <c r="A43" s="155"/>
      <c r="B43" s="153"/>
      <c r="C43" s="153"/>
      <c r="D43" s="154"/>
      <c r="E43" s="153"/>
      <c r="F43" s="153"/>
      <c r="G43" s="153"/>
      <c r="H43" s="153"/>
    </row>
    <row r="44" spans="1:8" s="151" customFormat="1" x14ac:dyDescent="0.25">
      <c r="A44" s="155"/>
      <c r="B44" s="153"/>
      <c r="C44" s="153"/>
      <c r="D44" s="154"/>
      <c r="E44" s="153"/>
      <c r="F44" s="153"/>
      <c r="G44" s="153"/>
      <c r="H44" s="153"/>
    </row>
    <row r="45" spans="1:8" s="151" customFormat="1" x14ac:dyDescent="0.25">
      <c r="A45" s="155"/>
      <c r="B45" s="153"/>
      <c r="C45" s="153"/>
      <c r="D45" s="154"/>
      <c r="E45" s="153"/>
      <c r="F45" s="153"/>
      <c r="G45" s="153"/>
      <c r="H45" s="153"/>
    </row>
    <row r="46" spans="1:8" s="151" customFormat="1" x14ac:dyDescent="0.25">
      <c r="A46" s="155"/>
      <c r="B46" s="153"/>
      <c r="C46" s="153"/>
      <c r="D46" s="154"/>
      <c r="E46" s="153"/>
      <c r="F46" s="153"/>
      <c r="G46" s="153"/>
      <c r="H46" s="153"/>
    </row>
    <row r="47" spans="1:8" s="151" customFormat="1" x14ac:dyDescent="0.25">
      <c r="A47" s="155"/>
      <c r="B47" s="153"/>
      <c r="C47" s="153"/>
      <c r="D47" s="154"/>
      <c r="E47" s="153"/>
      <c r="F47" s="153"/>
      <c r="G47" s="153"/>
      <c r="H47" s="153"/>
    </row>
    <row r="48" spans="1:8" s="151" customFormat="1" ht="41.25" customHeight="1" x14ac:dyDescent="0.25">
      <c r="A48" s="155"/>
      <c r="B48" s="510" t="s">
        <v>35</v>
      </c>
      <c r="C48" s="510"/>
      <c r="D48" s="510"/>
      <c r="E48" s="510"/>
      <c r="F48" s="510"/>
      <c r="G48" s="510"/>
      <c r="H48" s="153"/>
    </row>
    <row r="49" spans="1:8" s="151" customFormat="1" ht="18.75" x14ac:dyDescent="0.25">
      <c r="A49" s="155"/>
      <c r="B49" s="546" t="s">
        <v>36</v>
      </c>
      <c r="C49" s="546"/>
      <c r="D49" s="546"/>
      <c r="E49" s="546"/>
      <c r="F49" s="546"/>
      <c r="G49" s="546"/>
      <c r="H49" s="153"/>
    </row>
    <row r="50" spans="1:8" s="151" customFormat="1" ht="18.75" x14ac:dyDescent="0.25">
      <c r="A50" s="155"/>
      <c r="B50" s="546" t="s">
        <v>4</v>
      </c>
      <c r="C50" s="546"/>
      <c r="D50" s="546"/>
      <c r="E50" s="546"/>
      <c r="F50" s="546"/>
      <c r="G50" s="546"/>
      <c r="H50" s="153"/>
    </row>
    <row r="51" spans="1:8" s="151" customFormat="1" x14ac:dyDescent="0.25">
      <c r="A51" s="155"/>
      <c r="B51" s="153"/>
      <c r="C51" s="153"/>
      <c r="D51" s="154"/>
      <c r="E51" s="153"/>
      <c r="F51" s="153"/>
      <c r="G51" s="153"/>
      <c r="H51" s="153"/>
    </row>
    <row r="52" spans="1:8" x14ac:dyDescent="0.25">
      <c r="A52" s="604" t="s">
        <v>4674</v>
      </c>
      <c r="B52" s="604"/>
      <c r="C52" s="604"/>
      <c r="D52" s="604"/>
      <c r="E52" s="604"/>
      <c r="F52" s="604"/>
      <c r="G52" s="604"/>
      <c r="H52" s="604"/>
    </row>
    <row r="53" spans="1:8" x14ac:dyDescent="0.25">
      <c r="A53" s="194"/>
      <c r="B53" s="194"/>
      <c r="C53" s="194"/>
      <c r="D53" s="194"/>
      <c r="E53" s="194"/>
      <c r="F53" s="194"/>
      <c r="G53" s="194"/>
      <c r="H53" s="194"/>
    </row>
    <row r="54" spans="1:8" x14ac:dyDescent="0.25">
      <c r="A54" s="194">
        <v>1</v>
      </c>
      <c r="B54" s="195" t="s">
        <v>4675</v>
      </c>
      <c r="C54" s="185"/>
      <c r="D54" s="185"/>
      <c r="E54" s="185"/>
      <c r="F54" s="185"/>
      <c r="G54" s="185"/>
      <c r="H54" s="185"/>
    </row>
    <row r="55" spans="1:8" x14ac:dyDescent="0.25">
      <c r="A55" s="196"/>
      <c r="B55" s="602" t="s">
        <v>4676</v>
      </c>
      <c r="C55" s="602"/>
      <c r="D55" s="602"/>
      <c r="E55" s="602"/>
      <c r="F55" s="602"/>
      <c r="G55" s="602"/>
      <c r="H55" s="200">
        <v>0.2</v>
      </c>
    </row>
    <row r="56" spans="1:8" x14ac:dyDescent="0.25">
      <c r="A56" s="196"/>
      <c r="B56" s="605" t="s">
        <v>4677</v>
      </c>
      <c r="C56" s="605"/>
      <c r="D56" s="605"/>
      <c r="E56" s="605"/>
      <c r="F56" s="605"/>
      <c r="G56" s="605"/>
      <c r="H56" s="202">
        <f>H55</f>
        <v>0.2</v>
      </c>
    </row>
    <row r="57" spans="1:8" x14ac:dyDescent="0.25">
      <c r="A57" s="196"/>
      <c r="B57" s="205"/>
      <c r="C57" s="205"/>
      <c r="D57" s="205"/>
      <c r="E57" s="205"/>
      <c r="F57" s="205"/>
      <c r="G57" s="205"/>
      <c r="H57" s="202"/>
    </row>
    <row r="58" spans="1:8" x14ac:dyDescent="0.25">
      <c r="A58" s="194">
        <v>2</v>
      </c>
      <c r="B58" s="195" t="s">
        <v>4627</v>
      </c>
      <c r="C58" s="185"/>
      <c r="D58" s="185"/>
      <c r="E58" s="185"/>
      <c r="F58" s="185"/>
      <c r="G58" s="185"/>
      <c r="H58" s="185"/>
    </row>
    <row r="59" spans="1:8" x14ac:dyDescent="0.25">
      <c r="A59" s="196"/>
      <c r="B59" s="602" t="s">
        <v>4678</v>
      </c>
      <c r="C59" s="602"/>
      <c r="D59" s="602"/>
      <c r="E59" s="602"/>
      <c r="F59" s="602"/>
      <c r="G59" s="602"/>
      <c r="H59" s="200">
        <v>0.15</v>
      </c>
    </row>
    <row r="60" spans="1:8" x14ac:dyDescent="0.25">
      <c r="A60" s="196"/>
      <c r="B60" s="605" t="s">
        <v>4677</v>
      </c>
      <c r="C60" s="605"/>
      <c r="D60" s="605"/>
      <c r="E60" s="605"/>
      <c r="F60" s="605"/>
      <c r="G60" s="605"/>
      <c r="H60" s="202">
        <f>H59</f>
        <v>0.15</v>
      </c>
    </row>
    <row r="61" spans="1:8" x14ac:dyDescent="0.25">
      <c r="A61" s="185"/>
      <c r="B61" s="185"/>
      <c r="C61" s="185"/>
      <c r="D61" s="185"/>
      <c r="E61" s="185"/>
      <c r="F61" s="185"/>
      <c r="G61" s="185"/>
      <c r="H61" s="197"/>
    </row>
    <row r="62" spans="1:8" x14ac:dyDescent="0.25">
      <c r="A62" s="194">
        <v>3</v>
      </c>
      <c r="B62" s="195" t="s">
        <v>4651</v>
      </c>
      <c r="C62" s="185"/>
      <c r="D62" s="185"/>
      <c r="E62" s="185"/>
      <c r="F62" s="185"/>
      <c r="G62" s="185"/>
      <c r="H62" s="185"/>
    </row>
    <row r="63" spans="1:8" x14ac:dyDescent="0.25">
      <c r="A63" s="196"/>
      <c r="B63" s="602" t="s">
        <v>4416</v>
      </c>
      <c r="C63" s="602"/>
      <c r="D63" s="602"/>
      <c r="E63" s="602"/>
      <c r="F63" s="602"/>
      <c r="G63" s="602"/>
      <c r="H63" s="200">
        <v>0.02</v>
      </c>
    </row>
    <row r="64" spans="1:8" x14ac:dyDescent="0.25">
      <c r="A64" s="196"/>
      <c r="B64" s="602" t="s">
        <v>4679</v>
      </c>
      <c r="C64" s="602"/>
      <c r="D64" s="602"/>
      <c r="E64" s="602"/>
      <c r="F64" s="602"/>
      <c r="G64" s="602"/>
      <c r="H64" s="200">
        <v>7.5999999999999998E-2</v>
      </c>
    </row>
    <row r="65" spans="1:8" x14ac:dyDescent="0.25">
      <c r="A65" s="196"/>
      <c r="B65" s="602" t="s">
        <v>4680</v>
      </c>
      <c r="C65" s="602"/>
      <c r="D65" s="602"/>
      <c r="E65" s="602"/>
      <c r="F65" s="602"/>
      <c r="G65" s="602"/>
      <c r="H65" s="200">
        <v>1.6500000000000001E-2</v>
      </c>
    </row>
    <row r="66" spans="1:8" x14ac:dyDescent="0.25">
      <c r="A66" s="196"/>
      <c r="B66" s="605" t="s">
        <v>4681</v>
      </c>
      <c r="C66" s="605"/>
      <c r="D66" s="605"/>
      <c r="E66" s="605"/>
      <c r="F66" s="605"/>
      <c r="G66" s="605"/>
      <c r="H66" s="202">
        <f>SUM(H63:H65)</f>
        <v>0.1125</v>
      </c>
    </row>
    <row r="67" spans="1:8" x14ac:dyDescent="0.25">
      <c r="A67" s="196"/>
      <c r="B67" s="205"/>
      <c r="C67" s="205"/>
      <c r="D67" s="205"/>
      <c r="E67" s="205"/>
      <c r="F67" s="205"/>
      <c r="G67" s="205"/>
      <c r="H67" s="202"/>
    </row>
    <row r="68" spans="1:8" x14ac:dyDescent="0.25">
      <c r="A68" s="196"/>
      <c r="B68" s="205"/>
      <c r="C68" s="205"/>
      <c r="D68" s="205"/>
      <c r="E68" s="205"/>
      <c r="F68" s="205"/>
      <c r="G68" s="205"/>
      <c r="H68" s="202"/>
    </row>
    <row r="69" spans="1:8" x14ac:dyDescent="0.25">
      <c r="A69" s="196"/>
      <c r="B69" s="205"/>
      <c r="C69" s="205"/>
      <c r="D69" s="205"/>
      <c r="E69" s="205"/>
      <c r="F69" s="205"/>
      <c r="G69" s="205"/>
      <c r="H69" s="202"/>
    </row>
    <row r="70" spans="1:8" x14ac:dyDescent="0.25">
      <c r="A70" s="185"/>
      <c r="B70" s="512" t="s">
        <v>34</v>
      </c>
      <c r="C70" s="512"/>
      <c r="D70" s="512"/>
      <c r="E70" s="512"/>
      <c r="F70" s="512"/>
      <c r="G70" s="512"/>
      <c r="H70" s="197"/>
    </row>
    <row r="71" spans="1:8" x14ac:dyDescent="0.25">
      <c r="A71" s="185"/>
      <c r="B71" s="513" t="s">
        <v>4656</v>
      </c>
      <c r="C71" s="513"/>
      <c r="D71" s="513"/>
      <c r="E71" s="513"/>
      <c r="F71" s="513"/>
      <c r="G71" s="513"/>
      <c r="H71" s="197"/>
    </row>
    <row r="72" spans="1:8" x14ac:dyDescent="0.25">
      <c r="A72" s="185"/>
      <c r="B72" s="513" t="str">
        <f>'PO-SEDE'!F6&amp;'PO-SEDE'!G6</f>
        <v>RRT Nº4774233</v>
      </c>
      <c r="C72" s="513"/>
      <c r="D72" s="513"/>
      <c r="E72" s="513"/>
      <c r="F72" s="513"/>
      <c r="G72" s="513"/>
      <c r="H72" s="197"/>
    </row>
    <row r="73" spans="1:8" x14ac:dyDescent="0.25">
      <c r="A73" s="185"/>
      <c r="B73" s="602"/>
      <c r="C73" s="602"/>
      <c r="D73" s="602"/>
      <c r="E73" s="602"/>
      <c r="F73" s="602"/>
      <c r="G73" s="602"/>
      <c r="H73" s="197"/>
    </row>
  </sheetData>
  <mergeCells count="21">
    <mergeCell ref="B73:G73"/>
    <mergeCell ref="B70:G70"/>
    <mergeCell ref="B71:G71"/>
    <mergeCell ref="B8:G8"/>
    <mergeCell ref="B9:G9"/>
    <mergeCell ref="B10:G10"/>
    <mergeCell ref="B48:G48"/>
    <mergeCell ref="B49:G49"/>
    <mergeCell ref="A12:H12"/>
    <mergeCell ref="B50:G50"/>
    <mergeCell ref="B63:G63"/>
    <mergeCell ref="B64:G64"/>
    <mergeCell ref="B65:G65"/>
    <mergeCell ref="B66:G66"/>
    <mergeCell ref="A52:H52"/>
    <mergeCell ref="B55:G55"/>
    <mergeCell ref="B56:G56"/>
    <mergeCell ref="B59:G59"/>
    <mergeCell ref="B60:G60"/>
    <mergeCell ref="B72:G72"/>
    <mergeCell ref="D2:G2"/>
  </mergeCells>
  <pageMargins left="0.51181102362204722" right="0.51181102362204722" top="0.78740157480314965" bottom="0.78740157480314965" header="0.31496062992125984" footer="0.31496062992125984"/>
  <pageSetup paperSize="9" scale="55" orientation="portrait" r:id="rId1"/>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18</vt:i4>
      </vt:variant>
      <vt:variant>
        <vt:lpstr>Intervalos nomeados</vt:lpstr>
      </vt:variant>
      <vt:variant>
        <vt:i4>10</vt:i4>
      </vt:variant>
    </vt:vector>
  </HeadingPairs>
  <TitlesOfParts>
    <vt:vector size="28" baseType="lpstr">
      <vt:lpstr>DESEMBOLSO MENSAL</vt:lpstr>
      <vt:lpstr>PO-SEDE</vt:lpstr>
      <vt:lpstr>CRN-SEDE</vt:lpstr>
      <vt:lpstr>CPU</vt:lpstr>
      <vt:lpstr>BDI Obras</vt:lpstr>
      <vt:lpstr>COTAÇÕES</vt:lpstr>
      <vt:lpstr>CPU PRJ</vt:lpstr>
      <vt:lpstr>K1</vt:lpstr>
      <vt:lpstr>K2</vt:lpstr>
      <vt:lpstr>K3</vt:lpstr>
      <vt:lpstr>K4</vt:lpstr>
      <vt:lpstr>SERVIÇOS</vt:lpstr>
      <vt:lpstr>INSUMOS</vt:lpstr>
      <vt:lpstr>ÍNDICES</vt:lpstr>
      <vt:lpstr>DMT</vt:lpstr>
      <vt:lpstr>Plan1</vt:lpstr>
      <vt:lpstr>CRONOGRAMA $ GLOBAL</vt:lpstr>
      <vt:lpstr>CRONOGRAMA LICITAÇÃO</vt:lpstr>
      <vt:lpstr>'BDI Obras'!Area_de_impressao</vt:lpstr>
      <vt:lpstr>COTAÇÕES!Area_de_impressao</vt:lpstr>
      <vt:lpstr>CPU!Area_de_impressao</vt:lpstr>
      <vt:lpstr>'CPU PRJ'!Area_de_impressao</vt:lpstr>
      <vt:lpstr>'CRN-SEDE'!Area_de_impressao</vt:lpstr>
      <vt:lpstr>'PO-SEDE'!Area_de_impressao</vt:lpstr>
      <vt:lpstr>COTAÇÕES!Titulos_de_impressao</vt:lpstr>
      <vt:lpstr>CPU!Titulos_de_impressao</vt:lpstr>
      <vt:lpstr>'CRN-SEDE'!Titulos_de_impressao</vt:lpstr>
      <vt:lpstr>'PO-SEDE'!Titulos_de_impressao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Perondi Wieck</dc:creator>
  <cp:lastModifiedBy>Markus Vinicius Trevisan</cp:lastModifiedBy>
  <cp:lastPrinted>2018-01-17T16:40:52Z</cp:lastPrinted>
  <dcterms:created xsi:type="dcterms:W3CDTF">2016-05-26T23:29:39Z</dcterms:created>
  <dcterms:modified xsi:type="dcterms:W3CDTF">2018-01-18T14:16:22Z</dcterms:modified>
</cp:coreProperties>
</file>